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GROINDUSTRIA 2020\AGROINDUSTRIA 2020\AZUCAR 2020\"/>
    </mc:Choice>
  </mc:AlternateContent>
  <bookViews>
    <workbookView xWindow="0" yWindow="0" windowWidth="20490" windowHeight="7755" tabRatio="755" activeTab="3"/>
  </bookViews>
  <sheets>
    <sheet name="2020" sheetId="1" r:id="rId1"/>
    <sheet name="2019" sheetId="2" r:id="rId2"/>
    <sheet name="variación" sheetId="3" r:id="rId3"/>
    <sheet name="ANALISIS" sheetId="4" r:id="rId4"/>
    <sheet name="ANALISIS 2" sheetId="7" state="hidden" r:id="rId5"/>
    <sheet name="alcohol_melaza_bagazo" sheetId="6" state="hidden" r:id="rId6"/>
  </sheets>
  <externalReferences>
    <externalReference r:id="rId7"/>
  </externalReferences>
  <definedNames>
    <definedName name="A_IMPRESIÓN_IM">'2020'!#REF!</definedName>
    <definedName name="_xlnm.Print_Area" localSheetId="0">'2020'!$A$1:$I$48</definedName>
  </definedNames>
  <calcPr calcId="152511"/>
</workbook>
</file>

<file path=xl/calcChain.xml><?xml version="1.0" encoding="utf-8"?>
<calcChain xmlns="http://schemas.openxmlformats.org/spreadsheetml/2006/main">
  <c r="X20" i="4" l="1"/>
  <c r="R20" i="4"/>
  <c r="L20" i="4"/>
  <c r="I20" i="4"/>
  <c r="F20" i="4"/>
  <c r="C20" i="4"/>
  <c r="AG20" i="4" l="1"/>
  <c r="AF20" i="4"/>
  <c r="AC20" i="4"/>
  <c r="AJ20" i="4" l="1"/>
  <c r="AD20" i="4"/>
  <c r="AI20" i="4" l="1"/>
  <c r="E32" i="3" l="1"/>
  <c r="J24" i="3" l="1"/>
  <c r="C10" i="3" l="1"/>
  <c r="E16" i="3"/>
  <c r="G16" i="3"/>
  <c r="E17" i="3"/>
  <c r="G17" i="3"/>
  <c r="I58" i="2"/>
  <c r="I57" i="2"/>
  <c r="H58" i="2"/>
  <c r="H57" i="2"/>
  <c r="H64" i="2"/>
  <c r="G64" i="2"/>
  <c r="H63" i="2"/>
  <c r="G63" i="2"/>
  <c r="D58" i="2" l="1"/>
  <c r="E20" i="3"/>
  <c r="G20" i="3"/>
  <c r="E19" i="3"/>
  <c r="G19" i="3"/>
  <c r="E58" i="2" l="1"/>
  <c r="D57" i="2"/>
  <c r="G29" i="3"/>
  <c r="E29" i="3"/>
  <c r="G28" i="3"/>
  <c r="E28" i="3"/>
  <c r="G26" i="3"/>
  <c r="E26" i="3"/>
  <c r="G25" i="3"/>
  <c r="E25" i="3"/>
  <c r="G23" i="3" l="1"/>
  <c r="G22" i="3"/>
  <c r="E23" i="3"/>
  <c r="E22" i="3"/>
  <c r="G13" i="3"/>
  <c r="G14" i="3"/>
  <c r="E13" i="3"/>
  <c r="E14" i="3"/>
  <c r="G11" i="3" l="1"/>
  <c r="G10" i="3"/>
  <c r="F11" i="3"/>
  <c r="F10" i="3"/>
  <c r="E11" i="3" l="1"/>
  <c r="E10" i="3" l="1"/>
  <c r="U18" i="4" l="1"/>
  <c r="G39" i="3" l="1"/>
  <c r="G33" i="3"/>
  <c r="E18" i="3"/>
  <c r="G18" i="3"/>
  <c r="G15" i="3"/>
  <c r="G12" i="3"/>
  <c r="G27" i="3"/>
  <c r="E15" i="3"/>
  <c r="X19" i="4"/>
  <c r="U19" i="4"/>
  <c r="R19" i="4"/>
  <c r="O19" i="4"/>
  <c r="L19" i="4"/>
  <c r="I19" i="4"/>
  <c r="F19" i="4"/>
  <c r="C19" i="4"/>
  <c r="X18" i="4"/>
  <c r="R18" i="4"/>
  <c r="O18" i="4"/>
  <c r="L18" i="4"/>
  <c r="I18" i="4"/>
  <c r="F18" i="4"/>
  <c r="C18" i="4"/>
  <c r="X17" i="4"/>
  <c r="U17" i="4"/>
  <c r="R17" i="4"/>
  <c r="O17" i="4"/>
  <c r="L17" i="4"/>
  <c r="I17" i="4"/>
  <c r="F17" i="4"/>
  <c r="C17" i="4"/>
  <c r="X16" i="4"/>
  <c r="U16" i="4"/>
  <c r="R16" i="4"/>
  <c r="O16" i="4"/>
  <c r="L16" i="4"/>
  <c r="I16" i="4"/>
  <c r="F16" i="4"/>
  <c r="C16" i="4"/>
  <c r="X15" i="4"/>
  <c r="U15" i="4"/>
  <c r="R15" i="4"/>
  <c r="O15" i="4"/>
  <c r="L15" i="4"/>
  <c r="I15" i="4"/>
  <c r="F15" i="4"/>
  <c r="C15" i="4"/>
  <c r="X14" i="4"/>
  <c r="U14" i="4"/>
  <c r="R14" i="4"/>
  <c r="O14" i="4"/>
  <c r="L14" i="4"/>
  <c r="I14" i="4"/>
  <c r="F14" i="4"/>
  <c r="C14" i="4"/>
  <c r="X13" i="4"/>
  <c r="U13" i="4"/>
  <c r="R13" i="4"/>
  <c r="O13" i="4"/>
  <c r="L13" i="4"/>
  <c r="I13" i="4"/>
  <c r="F13" i="4"/>
  <c r="C13" i="4"/>
  <c r="X12" i="4"/>
  <c r="U12" i="4"/>
  <c r="R12" i="4"/>
  <c r="O12" i="4"/>
  <c r="L12" i="4"/>
  <c r="I12" i="4"/>
  <c r="F12" i="4"/>
  <c r="C12" i="4"/>
  <c r="X11" i="4"/>
  <c r="U11" i="4"/>
  <c r="R11" i="4"/>
  <c r="O11" i="4"/>
  <c r="L11" i="4"/>
  <c r="I11" i="4"/>
  <c r="F11" i="4"/>
  <c r="C11" i="4"/>
  <c r="X10" i="4"/>
  <c r="U10" i="4"/>
  <c r="R10" i="4"/>
  <c r="O10" i="4"/>
  <c r="L10" i="4"/>
  <c r="I10" i="4"/>
  <c r="F10" i="4"/>
  <c r="C10" i="4"/>
  <c r="X9" i="4"/>
  <c r="U9" i="4"/>
  <c r="R9" i="4"/>
  <c r="O9" i="4"/>
  <c r="L9" i="4"/>
  <c r="I9" i="4"/>
  <c r="F9" i="4"/>
  <c r="C9" i="4"/>
  <c r="X8" i="4"/>
  <c r="U8" i="4"/>
  <c r="R8" i="4"/>
  <c r="O8" i="4"/>
  <c r="L8" i="4"/>
  <c r="I8" i="4"/>
  <c r="F8" i="4"/>
  <c r="C8" i="4"/>
  <c r="G34" i="3"/>
  <c r="G35" i="3"/>
  <c r="G37" i="3"/>
  <c r="G40" i="3"/>
  <c r="G41" i="3"/>
  <c r="I20" i="3"/>
  <c r="I22" i="3"/>
  <c r="I26" i="3"/>
  <c r="I28" i="3"/>
  <c r="E34" i="3"/>
  <c r="E37" i="3"/>
  <c r="E41" i="3"/>
  <c r="A45" i="1"/>
  <c r="B43" i="3"/>
  <c r="G24" i="3" l="1"/>
  <c r="C21" i="4"/>
  <c r="G32" i="3"/>
  <c r="F21" i="4"/>
  <c r="G31" i="3"/>
  <c r="E35" i="3"/>
  <c r="E33" i="3"/>
  <c r="L21" i="4"/>
  <c r="E27" i="3"/>
  <c r="E24" i="3"/>
  <c r="E31" i="3"/>
  <c r="E30" i="3"/>
  <c r="E21" i="3"/>
  <c r="F15" i="3"/>
  <c r="E39" i="3"/>
  <c r="E40" i="3"/>
  <c r="E38" i="3"/>
  <c r="E36" i="3"/>
  <c r="I34" i="3"/>
  <c r="I32" i="3"/>
  <c r="I24" i="3"/>
  <c r="G21" i="3"/>
  <c r="I18" i="3"/>
  <c r="E12" i="3"/>
  <c r="E6" i="3"/>
  <c r="G7" i="3"/>
  <c r="G6" i="3"/>
  <c r="E7" i="3"/>
  <c r="E8" i="3"/>
  <c r="G8" i="3"/>
  <c r="E9" i="3"/>
  <c r="I16" i="3"/>
  <c r="I14" i="3"/>
  <c r="I15" i="3"/>
  <c r="J6" i="3"/>
  <c r="I11" i="3"/>
  <c r="I13" i="3"/>
  <c r="I17" i="3"/>
  <c r="I19" i="3"/>
  <c r="I21" i="3"/>
  <c r="I23" i="3"/>
  <c r="I25" i="3"/>
  <c r="I27" i="3"/>
  <c r="I29" i="3"/>
  <c r="I33" i="3"/>
  <c r="I35" i="3"/>
  <c r="I37" i="3"/>
  <c r="I6" i="3"/>
  <c r="D57" i="1" l="1"/>
  <c r="H31" i="3"/>
  <c r="I31" i="3"/>
  <c r="H7" i="3"/>
  <c r="I7" i="3"/>
  <c r="I8" i="3"/>
  <c r="H8" i="3"/>
  <c r="AK8" i="4"/>
  <c r="AK19" i="4"/>
  <c r="AK18" i="4"/>
  <c r="AK17" i="4"/>
  <c r="AK16" i="4"/>
  <c r="AK15" i="4"/>
  <c r="AK14" i="4"/>
  <c r="AK13" i="4"/>
  <c r="AK12" i="4"/>
  <c r="AK11" i="4"/>
  <c r="AK10" i="4"/>
  <c r="AK9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O101" i="7"/>
  <c r="N101" i="7"/>
  <c r="M101" i="7"/>
  <c r="L101" i="7"/>
  <c r="K101" i="7"/>
  <c r="J101" i="7"/>
  <c r="I101" i="7"/>
  <c r="H101" i="7"/>
  <c r="G101" i="7"/>
  <c r="F101" i="7"/>
  <c r="E101" i="7"/>
  <c r="Q101" i="7" s="1"/>
  <c r="D101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O40" i="7"/>
  <c r="N40" i="7"/>
  <c r="M40" i="7"/>
  <c r="L40" i="7"/>
  <c r="K40" i="7"/>
  <c r="J40" i="7"/>
  <c r="I40" i="7"/>
  <c r="H40" i="7"/>
  <c r="G40" i="7"/>
  <c r="F40" i="7"/>
  <c r="E40" i="7"/>
  <c r="D40" i="7"/>
  <c r="O39" i="7"/>
  <c r="N39" i="7"/>
  <c r="M39" i="7"/>
  <c r="L39" i="7"/>
  <c r="K39" i="7"/>
  <c r="J39" i="7"/>
  <c r="I39" i="7"/>
  <c r="H39" i="7"/>
  <c r="G39" i="7"/>
  <c r="F39" i="7"/>
  <c r="E39" i="7"/>
  <c r="D39" i="7"/>
  <c r="P32" i="7"/>
  <c r="P31" i="7"/>
  <c r="P30" i="7"/>
  <c r="P29" i="7"/>
  <c r="P28" i="7"/>
  <c r="O27" i="7"/>
  <c r="O71" i="7" s="1"/>
  <c r="N27" i="7"/>
  <c r="N71" i="7" s="1"/>
  <c r="M27" i="7"/>
  <c r="M71" i="7" s="1"/>
  <c r="L27" i="7"/>
  <c r="L71" i="7" s="1"/>
  <c r="K27" i="7"/>
  <c r="K71" i="7" s="1"/>
  <c r="J27" i="7"/>
  <c r="J71" i="7" s="1"/>
  <c r="I27" i="7"/>
  <c r="I71" i="7" s="1"/>
  <c r="H27" i="7"/>
  <c r="H71" i="7" s="1"/>
  <c r="G27" i="7"/>
  <c r="G71" i="7" s="1"/>
  <c r="F27" i="7"/>
  <c r="F71" i="7" s="1"/>
  <c r="E27" i="7"/>
  <c r="E71" i="7" s="1"/>
  <c r="D27" i="7"/>
  <c r="D71" i="7" s="1"/>
  <c r="P26" i="7"/>
  <c r="P25" i="7"/>
  <c r="P24" i="7"/>
  <c r="P23" i="7"/>
  <c r="P22" i="7"/>
  <c r="P21" i="7"/>
  <c r="P101" i="7" s="1"/>
  <c r="P20" i="7"/>
  <c r="P19" i="7"/>
  <c r="AC18" i="7"/>
  <c r="Z18" i="7"/>
  <c r="W18" i="7"/>
  <c r="P18" i="7"/>
  <c r="AC17" i="7"/>
  <c r="Z17" i="7"/>
  <c r="W17" i="7"/>
  <c r="O17" i="7"/>
  <c r="O70" i="7" s="1"/>
  <c r="N17" i="7"/>
  <c r="N70" i="7" s="1"/>
  <c r="M17" i="7"/>
  <c r="M70" i="7" s="1"/>
  <c r="L17" i="7"/>
  <c r="L70" i="7" s="1"/>
  <c r="K17" i="7"/>
  <c r="K70" i="7" s="1"/>
  <c r="J17" i="7"/>
  <c r="J70" i="7" s="1"/>
  <c r="I17" i="7"/>
  <c r="I70" i="7" s="1"/>
  <c r="H17" i="7"/>
  <c r="H70" i="7" s="1"/>
  <c r="G17" i="7"/>
  <c r="G70" i="7" s="1"/>
  <c r="F17" i="7"/>
  <c r="F70" i="7" s="1"/>
  <c r="E17" i="7"/>
  <c r="E70" i="7" s="1"/>
  <c r="D17" i="7"/>
  <c r="D70" i="7" s="1"/>
  <c r="AC16" i="7"/>
  <c r="Z16" i="7"/>
  <c r="W16" i="7"/>
  <c r="P16" i="7"/>
  <c r="AC15" i="7"/>
  <c r="Z15" i="7"/>
  <c r="W15" i="7"/>
  <c r="P15" i="7"/>
  <c r="AC14" i="7"/>
  <c r="Z14" i="7"/>
  <c r="W14" i="7"/>
  <c r="P14" i="7"/>
  <c r="AC13" i="7"/>
  <c r="Z13" i="7"/>
  <c r="W13" i="7"/>
  <c r="P13" i="7"/>
  <c r="AC12" i="7"/>
  <c r="Z12" i="7"/>
  <c r="W12" i="7"/>
  <c r="P12" i="7"/>
  <c r="AC11" i="7"/>
  <c r="Z11" i="7"/>
  <c r="W11" i="7"/>
  <c r="P11" i="7"/>
  <c r="AC10" i="7"/>
  <c r="Z10" i="7"/>
  <c r="W10" i="7"/>
  <c r="P10" i="7"/>
  <c r="AC9" i="7"/>
  <c r="Z9" i="7"/>
  <c r="W9" i="7"/>
  <c r="P9" i="7"/>
  <c r="AC8" i="7"/>
  <c r="Z8" i="7"/>
  <c r="W8" i="7"/>
  <c r="P8" i="7"/>
  <c r="AC7" i="7"/>
  <c r="Z7" i="7"/>
  <c r="W7" i="7"/>
  <c r="P7" i="7"/>
  <c r="AC6" i="7"/>
  <c r="Z6" i="7"/>
  <c r="W6" i="7"/>
  <c r="P6" i="7"/>
  <c r="P100" i="7" s="1"/>
  <c r="P5" i="7"/>
  <c r="N19" i="4"/>
  <c r="B19" i="4"/>
  <c r="B18" i="4"/>
  <c r="B9" i="4"/>
  <c r="B10" i="4"/>
  <c r="B11" i="4"/>
  <c r="B12" i="4"/>
  <c r="B20" i="4" s="1"/>
  <c r="B13" i="4"/>
  <c r="B14" i="4"/>
  <c r="B15" i="4"/>
  <c r="B16" i="4"/>
  <c r="B17" i="4"/>
  <c r="P39" i="7" l="1"/>
  <c r="Q71" i="7"/>
  <c r="P40" i="7"/>
  <c r="Q100" i="7"/>
  <c r="AH20" i="4"/>
  <c r="AK20" i="4"/>
  <c r="AE20" i="4"/>
  <c r="Q70" i="7"/>
  <c r="P17" i="7"/>
  <c r="P70" i="7" s="1"/>
  <c r="P27" i="7"/>
  <c r="P71" i="7" s="1"/>
  <c r="E44" i="3" l="1"/>
  <c r="D44" i="3"/>
  <c r="E43" i="3"/>
  <c r="D43" i="3"/>
  <c r="D42" i="3"/>
  <c r="F44" i="3" l="1"/>
  <c r="F43" i="3"/>
  <c r="K11" i="4"/>
  <c r="K12" i="4"/>
  <c r="K13" i="4"/>
  <c r="K14" i="4"/>
  <c r="K15" i="4"/>
  <c r="K17" i="4"/>
  <c r="K19" i="4"/>
  <c r="AL19" i="4" l="1"/>
  <c r="AO19" i="4"/>
  <c r="AR19" i="4"/>
  <c r="AL15" i="4"/>
  <c r="AO15" i="4"/>
  <c r="AR15" i="4"/>
  <c r="AL11" i="4"/>
  <c r="AR11" i="4"/>
  <c r="AO11" i="4"/>
  <c r="AL14" i="4"/>
  <c r="AR14" i="4"/>
  <c r="AO14" i="4"/>
  <c r="AL17" i="4"/>
  <c r="AO17" i="4"/>
  <c r="AR17" i="4"/>
  <c r="AL13" i="4"/>
  <c r="AO13" i="4"/>
  <c r="AR13" i="4"/>
  <c r="AL12" i="4"/>
  <c r="AR12" i="4"/>
  <c r="AO12" i="4"/>
  <c r="F40" i="6"/>
  <c r="G40" i="6"/>
  <c r="H40" i="6"/>
  <c r="I40" i="6"/>
  <c r="I39" i="6" s="1"/>
  <c r="J40" i="6"/>
  <c r="K40" i="6"/>
  <c r="L40" i="6"/>
  <c r="M40" i="6"/>
  <c r="M39" i="6" s="1"/>
  <c r="N40" i="6"/>
  <c r="O40" i="6"/>
  <c r="P40" i="6"/>
  <c r="F41" i="6"/>
  <c r="G41" i="6"/>
  <c r="H41" i="6"/>
  <c r="I41" i="6"/>
  <c r="J41" i="6"/>
  <c r="K41" i="6"/>
  <c r="L41" i="6"/>
  <c r="M41" i="6"/>
  <c r="N41" i="6"/>
  <c r="O41" i="6"/>
  <c r="P41" i="6"/>
  <c r="F42" i="6"/>
  <c r="G42" i="6"/>
  <c r="H42" i="6"/>
  <c r="I42" i="6"/>
  <c r="J42" i="6"/>
  <c r="K42" i="6"/>
  <c r="L42" i="6"/>
  <c r="M42" i="6"/>
  <c r="N42" i="6"/>
  <c r="O42" i="6"/>
  <c r="P42" i="6"/>
  <c r="F43" i="6"/>
  <c r="G43" i="6"/>
  <c r="H43" i="6"/>
  <c r="I43" i="6"/>
  <c r="J43" i="6"/>
  <c r="K43" i="6"/>
  <c r="L43" i="6"/>
  <c r="M43" i="6"/>
  <c r="N43" i="6"/>
  <c r="O43" i="6"/>
  <c r="P43" i="6"/>
  <c r="F44" i="6"/>
  <c r="G44" i="6"/>
  <c r="H44" i="6"/>
  <c r="I44" i="6"/>
  <c r="J44" i="6"/>
  <c r="K44" i="6"/>
  <c r="L44" i="6"/>
  <c r="M44" i="6"/>
  <c r="N44" i="6"/>
  <c r="O44" i="6"/>
  <c r="P44" i="6"/>
  <c r="F45" i="6"/>
  <c r="G45" i="6"/>
  <c r="H45" i="6"/>
  <c r="I45" i="6"/>
  <c r="J45" i="6"/>
  <c r="K45" i="6"/>
  <c r="L45" i="6"/>
  <c r="M45" i="6"/>
  <c r="N45" i="6"/>
  <c r="O45" i="6"/>
  <c r="P45" i="6"/>
  <c r="E45" i="6"/>
  <c r="E44" i="6"/>
  <c r="E43" i="6"/>
  <c r="E42" i="6"/>
  <c r="E41" i="6"/>
  <c r="E40" i="6"/>
  <c r="E39" i="6" s="1"/>
  <c r="F33" i="6"/>
  <c r="G33" i="6"/>
  <c r="H33" i="6"/>
  <c r="I33" i="6"/>
  <c r="J33" i="6"/>
  <c r="K33" i="6"/>
  <c r="L33" i="6"/>
  <c r="M33" i="6"/>
  <c r="N33" i="6"/>
  <c r="O33" i="6"/>
  <c r="P33" i="6"/>
  <c r="F34" i="6"/>
  <c r="G34" i="6"/>
  <c r="H34" i="6"/>
  <c r="I34" i="6"/>
  <c r="J34" i="6"/>
  <c r="K34" i="6"/>
  <c r="L34" i="6"/>
  <c r="M34" i="6"/>
  <c r="N34" i="6"/>
  <c r="O34" i="6"/>
  <c r="P34" i="6"/>
  <c r="F35" i="6"/>
  <c r="G35" i="6"/>
  <c r="H35" i="6"/>
  <c r="I35" i="6"/>
  <c r="J35" i="6"/>
  <c r="K35" i="6"/>
  <c r="L35" i="6"/>
  <c r="M35" i="6"/>
  <c r="N35" i="6"/>
  <c r="O35" i="6"/>
  <c r="P35" i="6"/>
  <c r="F36" i="6"/>
  <c r="G36" i="6"/>
  <c r="H36" i="6"/>
  <c r="I36" i="6"/>
  <c r="J36" i="6"/>
  <c r="K36" i="6"/>
  <c r="L36" i="6"/>
  <c r="M36" i="6"/>
  <c r="N36" i="6"/>
  <c r="O36" i="6"/>
  <c r="P36" i="6"/>
  <c r="F37" i="6"/>
  <c r="G37" i="6"/>
  <c r="H37" i="6"/>
  <c r="I37" i="6"/>
  <c r="J37" i="6"/>
  <c r="K37" i="6"/>
  <c r="L37" i="6"/>
  <c r="M37" i="6"/>
  <c r="N37" i="6"/>
  <c r="O37" i="6"/>
  <c r="P37" i="6"/>
  <c r="F38" i="6"/>
  <c r="G38" i="6"/>
  <c r="H38" i="6"/>
  <c r="I38" i="6"/>
  <c r="J38" i="6"/>
  <c r="K38" i="6"/>
  <c r="L38" i="6"/>
  <c r="M38" i="6"/>
  <c r="N38" i="6"/>
  <c r="O38" i="6"/>
  <c r="P38" i="6"/>
  <c r="E38" i="6"/>
  <c r="E37" i="6"/>
  <c r="E36" i="6"/>
  <c r="E35" i="6"/>
  <c r="E34" i="6"/>
  <c r="E33" i="6"/>
  <c r="Q31" i="6"/>
  <c r="Q45" i="6" s="1"/>
  <c r="Q30" i="6"/>
  <c r="Q29" i="6"/>
  <c r="Q28" i="6"/>
  <c r="Q27" i="6"/>
  <c r="Q26" i="6"/>
  <c r="Q38" i="6" s="1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42" i="6" s="1"/>
  <c r="Q12" i="6"/>
  <c r="Q41" i="6" s="1"/>
  <c r="Q11" i="6"/>
  <c r="Q40" i="6" s="1"/>
  <c r="Q10" i="6"/>
  <c r="Q9" i="6"/>
  <c r="Q36" i="6" s="1"/>
  <c r="Q8" i="6"/>
  <c r="Q35" i="6" s="1"/>
  <c r="Q7" i="6"/>
  <c r="Q34" i="6" s="1"/>
  <c r="Q6" i="6"/>
  <c r="Q33" i="6" l="1"/>
  <c r="Q37" i="6"/>
  <c r="Q43" i="6"/>
  <c r="P39" i="6"/>
  <c r="L39" i="6"/>
  <c r="H39" i="6"/>
  <c r="O39" i="6"/>
  <c r="K39" i="6"/>
  <c r="G39" i="6"/>
  <c r="Q44" i="6"/>
  <c r="N39" i="6"/>
  <c r="J39" i="6"/>
  <c r="F39" i="6"/>
  <c r="Q39" i="6"/>
  <c r="B49" i="3"/>
  <c r="K36" i="3"/>
  <c r="D38" i="3"/>
  <c r="C38" i="3"/>
  <c r="B38" i="3"/>
  <c r="F37" i="3"/>
  <c r="D37" i="3"/>
  <c r="C37" i="3"/>
  <c r="B37" i="3"/>
  <c r="J36" i="3"/>
  <c r="D36" i="3"/>
  <c r="C36" i="3"/>
  <c r="B36" i="3"/>
  <c r="H37" i="3"/>
  <c r="H19" i="4" l="1"/>
  <c r="T19" i="4"/>
  <c r="W18" i="4" l="1"/>
  <c r="Q19" i="4"/>
  <c r="Z19" i="4" s="1"/>
  <c r="E19" i="4"/>
  <c r="E17" i="4"/>
  <c r="E16" i="4"/>
  <c r="E15" i="4"/>
  <c r="E14" i="4"/>
  <c r="G14" i="4" s="1"/>
  <c r="E13" i="4"/>
  <c r="E12" i="4"/>
  <c r="E11" i="4"/>
  <c r="E10" i="4"/>
  <c r="E9" i="4"/>
  <c r="W19" i="4"/>
  <c r="Q17" i="4"/>
  <c r="Q9" i="4"/>
  <c r="Q10" i="4"/>
  <c r="Q11" i="4"/>
  <c r="Z11" i="4" s="1"/>
  <c r="Q12" i="4"/>
  <c r="Z12" i="4" s="1"/>
  <c r="Q13" i="4"/>
  <c r="Q14" i="4"/>
  <c r="Q15" i="4"/>
  <c r="Q16" i="4"/>
  <c r="Q18" i="4"/>
  <c r="H18" i="4"/>
  <c r="Y18" i="4" l="1"/>
  <c r="Z17" i="4"/>
  <c r="Z14" i="4"/>
  <c r="S14" i="4"/>
  <c r="Z15" i="4"/>
  <c r="Z13" i="4"/>
  <c r="T18" i="4"/>
  <c r="E18" i="4"/>
  <c r="E57" i="2" l="1"/>
  <c r="D58" i="1" l="1"/>
  <c r="T8" i="4" l="1"/>
  <c r="D53" i="2" l="1"/>
  <c r="D51" i="2" s="1"/>
  <c r="AM8" i="4" l="1"/>
  <c r="AP8" i="4"/>
  <c r="AS8" i="4"/>
  <c r="AA8" i="4"/>
  <c r="O20" i="4"/>
  <c r="AM9" i="4"/>
  <c r="AS9" i="4"/>
  <c r="AP9" i="4"/>
  <c r="AA9" i="4"/>
  <c r="AM10" i="4"/>
  <c r="AP10" i="4"/>
  <c r="AA10" i="4"/>
  <c r="AS10" i="4"/>
  <c r="AM11" i="4"/>
  <c r="AN11" i="4" s="1"/>
  <c r="AS11" i="4"/>
  <c r="AT11" i="4" s="1"/>
  <c r="AP11" i="4"/>
  <c r="AQ11" i="4" s="1"/>
  <c r="AA11" i="4"/>
  <c r="AB11" i="4" s="1"/>
  <c r="AM12" i="4"/>
  <c r="AN12" i="4" s="1"/>
  <c r="AP12" i="4"/>
  <c r="AQ12" i="4" s="1"/>
  <c r="AA12" i="4"/>
  <c r="AB12" i="4" s="1"/>
  <c r="AS12" i="4"/>
  <c r="AT12" i="4" s="1"/>
  <c r="AM13" i="4"/>
  <c r="AN13" i="4" s="1"/>
  <c r="AS13" i="4"/>
  <c r="AT13" i="4" s="1"/>
  <c r="AP13" i="4"/>
  <c r="AQ13" i="4" s="1"/>
  <c r="AA13" i="4"/>
  <c r="AB13" i="4" s="1"/>
  <c r="AM14" i="4"/>
  <c r="AN14" i="4" s="1"/>
  <c r="AP14" i="4"/>
  <c r="AQ14" i="4" s="1"/>
  <c r="AA14" i="4"/>
  <c r="AB14" i="4" s="1"/>
  <c r="AS14" i="4"/>
  <c r="AT14" i="4" s="1"/>
  <c r="AM15" i="4"/>
  <c r="AN15" i="4" s="1"/>
  <c r="AS15" i="4"/>
  <c r="AT15" i="4" s="1"/>
  <c r="AP15" i="4"/>
  <c r="AQ15" i="4" s="1"/>
  <c r="AA15" i="4"/>
  <c r="AB15" i="4" s="1"/>
  <c r="AM16" i="4"/>
  <c r="AP16" i="4"/>
  <c r="AA16" i="4"/>
  <c r="AS16" i="4"/>
  <c r="AM17" i="4"/>
  <c r="AN17" i="4" s="1"/>
  <c r="AS17" i="4"/>
  <c r="AT17" i="4" s="1"/>
  <c r="AP17" i="4"/>
  <c r="AQ17" i="4" s="1"/>
  <c r="AA17" i="4"/>
  <c r="AB17" i="4" s="1"/>
  <c r="AM18" i="4"/>
  <c r="AP18" i="4"/>
  <c r="AA18" i="4"/>
  <c r="AS18" i="4"/>
  <c r="AM19" i="4"/>
  <c r="AN19" i="4" s="1"/>
  <c r="AS19" i="4"/>
  <c r="AT19" i="4" s="1"/>
  <c r="AP19" i="4"/>
  <c r="AQ19" i="4" s="1"/>
  <c r="AA19" i="4"/>
  <c r="AB19" i="4" s="1"/>
  <c r="U20" i="4"/>
  <c r="AM20" i="4" l="1"/>
  <c r="AP20" i="4"/>
  <c r="AS20" i="4"/>
  <c r="AA20" i="4"/>
  <c r="D53" i="1" l="1"/>
  <c r="D51" i="1" s="1"/>
  <c r="C32" i="3" l="1"/>
  <c r="H15" i="4" l="1"/>
  <c r="N15" i="4"/>
  <c r="T15" i="4"/>
  <c r="W15" i="4"/>
  <c r="W16" i="4"/>
  <c r="T16" i="4"/>
  <c r="H16" i="4"/>
  <c r="Y15" i="4" l="1"/>
  <c r="V15" i="4"/>
  <c r="J15" i="4"/>
  <c r="S15" i="4"/>
  <c r="K15" i="3" l="1"/>
  <c r="C29" i="3"/>
  <c r="C26" i="3" l="1"/>
  <c r="X21" i="4" l="1"/>
  <c r="R21" i="4"/>
  <c r="I21" i="4"/>
  <c r="AA21" i="4" l="1"/>
  <c r="U21" i="4"/>
  <c r="B8" i="4"/>
  <c r="E8" i="4"/>
  <c r="E20" i="4" s="1"/>
  <c r="H8" i="4"/>
  <c r="K8" i="4"/>
  <c r="N8" i="4"/>
  <c r="Q8" i="4"/>
  <c r="Q20" i="4" s="1"/>
  <c r="W8" i="4"/>
  <c r="H9" i="4"/>
  <c r="T9" i="4"/>
  <c r="W9" i="4"/>
  <c r="H10" i="4"/>
  <c r="T10" i="4"/>
  <c r="W10" i="4"/>
  <c r="H11" i="4"/>
  <c r="N11" i="4"/>
  <c r="P11" i="4" s="1"/>
  <c r="T11" i="4"/>
  <c r="W11" i="4"/>
  <c r="H12" i="4"/>
  <c r="J12" i="4" s="1"/>
  <c r="N12" i="4"/>
  <c r="T12" i="4"/>
  <c r="V12" i="4" s="1"/>
  <c r="W12" i="4"/>
  <c r="Y12" i="4" s="1"/>
  <c r="H13" i="4"/>
  <c r="N13" i="4"/>
  <c r="T13" i="4"/>
  <c r="W13" i="4"/>
  <c r="H14" i="4"/>
  <c r="N14" i="4"/>
  <c r="P14" i="4" s="1"/>
  <c r="T14" i="4"/>
  <c r="W14" i="4"/>
  <c r="P15" i="4"/>
  <c r="J16" i="4"/>
  <c r="H17" i="4"/>
  <c r="N17" i="4"/>
  <c r="T17" i="4"/>
  <c r="W17" i="4"/>
  <c r="G19" i="4"/>
  <c r="W20" i="4" l="1"/>
  <c r="H20" i="4"/>
  <c r="AO8" i="4"/>
  <c r="E21" i="4"/>
  <c r="Q21" i="4"/>
  <c r="W21" i="4"/>
  <c r="H21" i="4"/>
  <c r="J8" i="4"/>
  <c r="AL8" i="4"/>
  <c r="AN8" i="4" s="1"/>
  <c r="AR8" i="4"/>
  <c r="AT8" i="4" s="1"/>
  <c r="AQ8" i="4"/>
  <c r="Z8" i="4"/>
  <c r="AB8" i="4" s="1"/>
  <c r="V8" i="4"/>
  <c r="Y13" i="4"/>
  <c r="D8" i="4"/>
  <c r="Y9" i="4"/>
  <c r="D21" i="4"/>
  <c r="V13" i="4"/>
  <c r="J13" i="4"/>
  <c r="V9" i="4"/>
  <c r="J9" i="4"/>
  <c r="Y14" i="4"/>
  <c r="Y10" i="4"/>
  <c r="G12" i="4"/>
  <c r="G8" i="4"/>
  <c r="D10" i="4"/>
  <c r="D12" i="4"/>
  <c r="D14" i="4"/>
  <c r="M15" i="4"/>
  <c r="G15" i="4"/>
  <c r="V14" i="4"/>
  <c r="J14" i="4"/>
  <c r="S13" i="4"/>
  <c r="G13" i="4"/>
  <c r="P12" i="4"/>
  <c r="Y11" i="4"/>
  <c r="S11" i="4"/>
  <c r="G11" i="4"/>
  <c r="V10" i="4"/>
  <c r="J10" i="4"/>
  <c r="S9" i="4"/>
  <c r="G9" i="4"/>
  <c r="P8" i="4"/>
  <c r="M14" i="4"/>
  <c r="D9" i="4"/>
  <c r="D11" i="4"/>
  <c r="D13" i="4"/>
  <c r="D15" i="4"/>
  <c r="J19" i="4"/>
  <c r="P13" i="4"/>
  <c r="S12" i="4"/>
  <c r="V11" i="4"/>
  <c r="J11" i="4"/>
  <c r="G10" i="4"/>
  <c r="Y8" i="4"/>
  <c r="S8" i="4"/>
  <c r="Y17" i="4"/>
  <c r="S17" i="4"/>
  <c r="G18" i="4"/>
  <c r="J18" i="4"/>
  <c r="M17" i="4"/>
  <c r="G17" i="4"/>
  <c r="D18" i="4"/>
  <c r="D17" i="4"/>
  <c r="M11" i="4"/>
  <c r="S10" i="4"/>
  <c r="M8" i="4"/>
  <c r="M12" i="4"/>
  <c r="M13" i="4"/>
  <c r="J17" i="4"/>
  <c r="D16" i="4"/>
  <c r="G16" i="4"/>
  <c r="S16" i="4"/>
  <c r="Y16" i="4"/>
  <c r="D19" i="4" l="1"/>
  <c r="D20" i="4"/>
  <c r="J20" i="4"/>
  <c r="J21" i="4"/>
  <c r="G21" i="4"/>
  <c r="O21" i="4"/>
  <c r="B24" i="3"/>
  <c r="M19" i="4" l="1"/>
  <c r="V18" i="4"/>
  <c r="S18" i="4"/>
  <c r="T21" i="4" l="1"/>
  <c r="V21" i="4" s="1"/>
  <c r="Y19" i="4"/>
  <c r="V19" i="4"/>
  <c r="S19" i="4"/>
  <c r="T20" i="4"/>
  <c r="V20" i="4" s="1"/>
  <c r="S20" i="4"/>
  <c r="J42" i="3"/>
  <c r="J39" i="3"/>
  <c r="J33" i="3"/>
  <c r="J30" i="3"/>
  <c r="K27" i="3"/>
  <c r="J27" i="3"/>
  <c r="K24" i="3"/>
  <c r="K21" i="3"/>
  <c r="J21" i="3"/>
  <c r="K18" i="3"/>
  <c r="J18" i="3"/>
  <c r="J15" i="3"/>
  <c r="J12" i="3"/>
  <c r="J9" i="3"/>
  <c r="H44" i="3"/>
  <c r="C44" i="3"/>
  <c r="B44" i="3"/>
  <c r="H43" i="3"/>
  <c r="C43" i="3"/>
  <c r="C42" i="3"/>
  <c r="B42" i="3"/>
  <c r="F41" i="3"/>
  <c r="D41" i="3"/>
  <c r="C41" i="3"/>
  <c r="B41" i="3"/>
  <c r="F40" i="3"/>
  <c r="D40" i="3"/>
  <c r="C40" i="3"/>
  <c r="B40" i="3"/>
  <c r="F39" i="3"/>
  <c r="D39" i="3"/>
  <c r="C39" i="3"/>
  <c r="B39" i="3"/>
  <c r="F35" i="3"/>
  <c r="D35" i="3"/>
  <c r="C35" i="3"/>
  <c r="B35" i="3"/>
  <c r="F34" i="3"/>
  <c r="D34" i="3"/>
  <c r="C34" i="3"/>
  <c r="B34" i="3"/>
  <c r="F33" i="3"/>
  <c r="D33" i="3"/>
  <c r="C33" i="3"/>
  <c r="B33" i="3"/>
  <c r="F32" i="3"/>
  <c r="D32" i="3"/>
  <c r="B32" i="3"/>
  <c r="F31" i="3"/>
  <c r="D31" i="3"/>
  <c r="C31" i="3"/>
  <c r="B31" i="3"/>
  <c r="D30" i="3"/>
  <c r="C30" i="3"/>
  <c r="B30" i="3"/>
  <c r="F29" i="3"/>
  <c r="D29" i="3"/>
  <c r="B29" i="3"/>
  <c r="F28" i="3"/>
  <c r="D28" i="3"/>
  <c r="C28" i="3"/>
  <c r="B28" i="3"/>
  <c r="F27" i="3"/>
  <c r="D27" i="3"/>
  <c r="C27" i="3"/>
  <c r="B27" i="3"/>
  <c r="F26" i="3"/>
  <c r="D26" i="3"/>
  <c r="B26" i="3"/>
  <c r="F25" i="3"/>
  <c r="D25" i="3"/>
  <c r="C25" i="3"/>
  <c r="B25" i="3"/>
  <c r="H24" i="3"/>
  <c r="F24" i="3"/>
  <c r="D24" i="3"/>
  <c r="C24" i="3"/>
  <c r="F23" i="3"/>
  <c r="D23" i="3"/>
  <c r="C23" i="3"/>
  <c r="B23" i="3"/>
  <c r="F22" i="3"/>
  <c r="D22" i="3"/>
  <c r="C22" i="3"/>
  <c r="B22" i="3"/>
  <c r="F21" i="3"/>
  <c r="D21" i="3"/>
  <c r="C21" i="3"/>
  <c r="B21" i="3"/>
  <c r="F20" i="3"/>
  <c r="D20" i="3"/>
  <c r="C20" i="3"/>
  <c r="B20" i="3"/>
  <c r="F19" i="3"/>
  <c r="D19" i="3"/>
  <c r="C19" i="3"/>
  <c r="B19" i="3"/>
  <c r="F18" i="3"/>
  <c r="D18" i="3"/>
  <c r="C18" i="3"/>
  <c r="B18" i="3"/>
  <c r="F17" i="3"/>
  <c r="D17" i="3"/>
  <c r="C17" i="3"/>
  <c r="B17" i="3"/>
  <c r="F16" i="3"/>
  <c r="D16" i="3"/>
  <c r="C16" i="3"/>
  <c r="B16" i="3"/>
  <c r="D15" i="3"/>
  <c r="C15" i="3"/>
  <c r="B15" i="3"/>
  <c r="F14" i="3"/>
  <c r="D14" i="3"/>
  <c r="C14" i="3"/>
  <c r="B14" i="3"/>
  <c r="H13" i="3"/>
  <c r="F13" i="3"/>
  <c r="D13" i="3"/>
  <c r="C13" i="3"/>
  <c r="B13" i="3"/>
  <c r="D12" i="3"/>
  <c r="C12" i="3"/>
  <c r="B12" i="3"/>
  <c r="D11" i="3"/>
  <c r="C11" i="3"/>
  <c r="B11" i="3"/>
  <c r="D10" i="3"/>
  <c r="B10" i="3"/>
  <c r="D9" i="3"/>
  <c r="C9" i="3"/>
  <c r="B9" i="3"/>
  <c r="F8" i="3"/>
  <c r="D8" i="3"/>
  <c r="C8" i="3"/>
  <c r="B8" i="3"/>
  <c r="F7" i="3"/>
  <c r="D7" i="3"/>
  <c r="C7" i="3"/>
  <c r="B7" i="3"/>
  <c r="C6" i="3"/>
  <c r="D6" i="3"/>
  <c r="F6" i="3"/>
  <c r="B6" i="3"/>
  <c r="H41" i="3"/>
  <c r="H40" i="3"/>
  <c r="H35" i="3"/>
  <c r="H34" i="3"/>
  <c r="H32" i="3"/>
  <c r="H29" i="3"/>
  <c r="H28" i="3"/>
  <c r="H27" i="3"/>
  <c r="H26" i="3"/>
  <c r="H25" i="3"/>
  <c r="H23" i="3"/>
  <c r="H22" i="3"/>
  <c r="H21" i="3"/>
  <c r="H20" i="3"/>
  <c r="H19" i="3"/>
  <c r="H18" i="3"/>
  <c r="H17" i="3"/>
  <c r="H16" i="3"/>
  <c r="H15" i="3"/>
  <c r="H14" i="3"/>
  <c r="K12" i="3"/>
  <c r="H11" i="3"/>
  <c r="K9" i="3"/>
  <c r="K42" i="3"/>
  <c r="H6" i="3"/>
  <c r="S21" i="4" l="1"/>
  <c r="Y20" i="4"/>
  <c r="Y21" i="4"/>
  <c r="K30" i="3"/>
  <c r="V16" i="4"/>
  <c r="K39" i="3"/>
  <c r="H33" i="3"/>
  <c r="P17" i="4"/>
  <c r="H39" i="3"/>
  <c r="P19" i="4"/>
  <c r="K33" i="3"/>
  <c r="V17" i="4"/>
  <c r="K6" i="3"/>
  <c r="G20" i="4"/>
  <c r="F12" i="3"/>
  <c r="K10" i="4" l="1"/>
  <c r="I12" i="3"/>
  <c r="G9" i="3" l="1"/>
  <c r="F9" i="3"/>
  <c r="K9" i="4"/>
  <c r="K20" i="4" s="1"/>
  <c r="H12" i="3"/>
  <c r="N10" i="4"/>
  <c r="P10" i="4" s="1"/>
  <c r="Z10" i="4"/>
  <c r="AB10" i="4" s="1"/>
  <c r="AR10" i="4"/>
  <c r="AT10" i="4" s="1"/>
  <c r="AL10" i="4"/>
  <c r="AN10" i="4" s="1"/>
  <c r="AO10" i="4"/>
  <c r="AQ10" i="4" s="1"/>
  <c r="M10" i="4"/>
  <c r="AO9" i="4" l="1"/>
  <c r="AQ9" i="4" s="1"/>
  <c r="AL9" i="4"/>
  <c r="AN9" i="4" s="1"/>
  <c r="AR9" i="4"/>
  <c r="AT9" i="4" s="1"/>
  <c r="Z9" i="4"/>
  <c r="AB9" i="4" s="1"/>
  <c r="M9" i="4"/>
  <c r="I9" i="3"/>
  <c r="N9" i="4"/>
  <c r="P9" i="4" s="1"/>
  <c r="H9" i="3"/>
  <c r="H10" i="3"/>
  <c r="I10" i="3"/>
  <c r="F38" i="3" l="1"/>
  <c r="F36" i="3" l="1"/>
  <c r="G38" i="3"/>
  <c r="H38" i="3" l="1"/>
  <c r="I38" i="3"/>
  <c r="G30" i="3"/>
  <c r="K16" i="4"/>
  <c r="F30" i="3"/>
  <c r="G36" i="3"/>
  <c r="K18" i="4"/>
  <c r="Z20" i="4" l="1"/>
  <c r="H36" i="3"/>
  <c r="I36" i="3"/>
  <c r="K21" i="4"/>
  <c r="N21" i="4" s="1"/>
  <c r="P21" i="4" s="1"/>
  <c r="AO16" i="4"/>
  <c r="AQ16" i="4" s="1"/>
  <c r="AL16" i="4"/>
  <c r="AN16" i="4" s="1"/>
  <c r="AR16" i="4"/>
  <c r="AT16" i="4" s="1"/>
  <c r="Z16" i="4"/>
  <c r="AB16" i="4" s="1"/>
  <c r="M16" i="4"/>
  <c r="I30" i="3"/>
  <c r="N16" i="4"/>
  <c r="P16" i="4" s="1"/>
  <c r="H30" i="3"/>
  <c r="E58" i="1"/>
  <c r="C49" i="3"/>
  <c r="D49" i="3" s="1"/>
  <c r="E57" i="1"/>
  <c r="E42" i="3"/>
  <c r="N18" i="4"/>
  <c r="P18" i="4" s="1"/>
  <c r="AO18" i="4"/>
  <c r="AQ18" i="4" s="1"/>
  <c r="AL18" i="4"/>
  <c r="AN18" i="4" s="1"/>
  <c r="M18" i="4"/>
  <c r="AR18" i="4"/>
  <c r="AT18" i="4" s="1"/>
  <c r="Z18" i="4"/>
  <c r="AB18" i="4" s="1"/>
  <c r="M21" i="4" l="1"/>
  <c r="Z21" i="4"/>
  <c r="AB21" i="4" s="1"/>
  <c r="F42" i="3"/>
  <c r="H42" i="3"/>
  <c r="AR20" i="4"/>
  <c r="AT20" i="4" s="1"/>
  <c r="AB20" i="4"/>
  <c r="AO20" i="4"/>
  <c r="AQ20" i="4" s="1"/>
  <c r="M20" i="4"/>
  <c r="N20" i="4"/>
  <c r="P20" i="4" s="1"/>
  <c r="AL20" i="4"/>
  <c r="AN20" i="4" s="1"/>
</calcChain>
</file>

<file path=xl/sharedStrings.xml><?xml version="1.0" encoding="utf-8"?>
<sst xmlns="http://schemas.openxmlformats.org/spreadsheetml/2006/main" count="575" uniqueCount="139">
  <si>
    <t>M  E  S</t>
  </si>
  <si>
    <t>EXISTENCIA</t>
  </si>
  <si>
    <t>SUPERFICIE</t>
  </si>
  <si>
    <t>PRODUCCION</t>
  </si>
  <si>
    <t>RENDIMIENTO</t>
  </si>
  <si>
    <t>DE CAÑA</t>
  </si>
  <si>
    <t>SEMBRADA</t>
  </si>
  <si>
    <t>COSECHADA</t>
  </si>
  <si>
    <t>(HA)</t>
  </si>
  <si>
    <t>(T.M)</t>
  </si>
  <si>
    <t>KG/HA</t>
  </si>
  <si>
    <t xml:space="preserve"> ENERO</t>
  </si>
  <si>
    <t xml:space="preserve">        Propios</t>
  </si>
  <si>
    <t xml:space="preserve">        Terceros</t>
  </si>
  <si>
    <t xml:space="preserve"> ABRIL</t>
  </si>
  <si>
    <t xml:space="preserve"> JUNIO</t>
  </si>
  <si>
    <t xml:space="preserve"> JULIO </t>
  </si>
  <si>
    <t xml:space="preserve"> AGOSTO</t>
  </si>
  <si>
    <t xml:space="preserve"> OCTUBRE</t>
  </si>
  <si>
    <t xml:space="preserve"> NOVIEMBRE</t>
  </si>
  <si>
    <t xml:space="preserve">DICIEMBRE </t>
  </si>
  <si>
    <t>T O T A L</t>
  </si>
  <si>
    <t>Propios</t>
  </si>
  <si>
    <t>Terceros</t>
  </si>
  <si>
    <t>LA LIBERTAD: PRODUCCION DE LA INDUSTRIA AZUCARERA</t>
  </si>
  <si>
    <t xml:space="preserve"> FEBRERO </t>
  </si>
  <si>
    <t xml:space="preserve"> MARZO  </t>
  </si>
  <si>
    <t xml:space="preserve"> MAYO</t>
  </si>
  <si>
    <t xml:space="preserve"> SETIEMBRE  </t>
  </si>
  <si>
    <t>CAÑA MOLIDA</t>
  </si>
  <si>
    <t>AZUCAR COMERCIAL</t>
  </si>
  <si>
    <t>PROM. AZUCAR</t>
  </si>
  <si>
    <t>DE AZUCAR 96%</t>
  </si>
  <si>
    <t>ELABORACIÓN: GERENCIA REGIONAL DE AGRICULTURA - OFICINA DE INFORMACIÓN AGRARIA</t>
  </si>
  <si>
    <t>LA LIBERTAD: VARIACIÓN DE LA PRODUCCION DE LA INDUSTRIA AZUCARERA</t>
  </si>
  <si>
    <t>VARIACIÓN</t>
  </si>
  <si>
    <t>(t)</t>
  </si>
  <si>
    <t>kg/ha</t>
  </si>
  <si>
    <t>(t/ha)</t>
  </si>
  <si>
    <t>(ha)</t>
  </si>
  <si>
    <t>VAR. %</t>
  </si>
  <si>
    <t>PERIODO</t>
  </si>
  <si>
    <t>AÑO</t>
  </si>
  <si>
    <t>INDICE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</si>
  <si>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</si>
  <si>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</si>
  <si>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</si>
  <si>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</si>
  <si>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</si>
  <si>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</si>
  <si>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</si>
  <si>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</si>
  <si>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</si>
  <si>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%</t>
  </si>
  <si>
    <t>OCT.</t>
  </si>
  <si>
    <t>NOV.</t>
  </si>
  <si>
    <t xml:space="preserve">ELABORACIÓN: GERENCIA REGIONAL DE AGRICULTURA - OFICINA DE INFORMACION AGRARIA </t>
  </si>
  <si>
    <r>
      <rPr>
        <b/>
        <sz val="8"/>
        <rFont val="Arial Narrow"/>
        <family val="2"/>
      </rPr>
      <t>INFORME PRELIMINAR</t>
    </r>
    <r>
      <rPr>
        <sz val="8"/>
        <rFont val="Arial Narrow"/>
        <family val="2"/>
      </rPr>
      <t xml:space="preserve">  FUENTE: EMPRESAS AGROINDUSTRIALES AZUCARERAS</t>
    </r>
  </si>
  <si>
    <t>(t/HA)</t>
  </si>
  <si>
    <r>
      <rPr>
        <b/>
        <sz val="8"/>
        <rFont val="Arial Narrow"/>
        <family val="2"/>
      </rPr>
      <t>INFORME PRELIMINAR</t>
    </r>
    <r>
      <rPr>
        <sz val="8"/>
        <rFont val="Arial Narrow"/>
        <family val="2"/>
      </rPr>
      <t xml:space="preserve"> -                                            FUENTE: EMPRESAS AGROINDUSTRIALES AZUCARERAS</t>
    </r>
  </si>
  <si>
    <t>DE CAÑA (*)</t>
  </si>
  <si>
    <t>ENE-DIC CAÑA MOLIDA (t)</t>
  </si>
  <si>
    <t>INFORME PRELIMINAR -FUENTE: EMPRESAS AGROINDUSTRIALES AZUCARERAS - OFICINA DE INFORMACIÓN AGRARIA</t>
  </si>
  <si>
    <t>DIC.</t>
  </si>
  <si>
    <t>EMPRESAS</t>
  </si>
  <si>
    <t>TERCEROS</t>
  </si>
  <si>
    <t>MAX</t>
  </si>
  <si>
    <t>MIN</t>
  </si>
  <si>
    <t>ELABORACIÓN: GERENCIA REGIONAL DE AGRICULTURA - OFICINA DE INFORMACION AGRARIA</t>
  </si>
  <si>
    <t>Part.% sup. Cosech.</t>
  </si>
  <si>
    <t>Part.% Prod. Caña Molid..</t>
  </si>
  <si>
    <r>
      <t xml:space="preserve">ELABORACIÓN: </t>
    </r>
    <r>
      <rPr>
        <sz val="8"/>
        <rFont val="Arial Narrow"/>
        <family val="2"/>
      </rPr>
      <t>GERENCIA</t>
    </r>
    <r>
      <rPr>
        <sz val="9"/>
        <rFont val="Arial Narrow"/>
        <family val="2"/>
      </rPr>
      <t xml:space="preserve"> REGIONAL DE AGRICULTURA - OIA</t>
    </r>
  </si>
  <si>
    <t>PROM. AZUCAR/CAÑA MOLIDA</t>
  </si>
  <si>
    <t>DE ALCOHOL</t>
  </si>
  <si>
    <t>DE MELAZA</t>
  </si>
  <si>
    <t>DE BAGAZO</t>
  </si>
  <si>
    <t>valores estimados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</si>
  <si>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</si>
  <si>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</si>
  <si>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</si>
  <si>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</si>
  <si>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</si>
  <si>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</si>
  <si>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</si>
  <si>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</si>
  <si>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</si>
  <si>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</si>
  <si>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</si>
  <si>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</si>
  <si>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</si>
  <si>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CASAGRANDE</t>
  </si>
  <si>
    <t>Casagrande Alchol Etílico Rectificado</t>
  </si>
  <si>
    <t>L.</t>
  </si>
  <si>
    <t>Casagrande Alchol Etílico Industrial</t>
  </si>
  <si>
    <t>Casagrande Alchol Etílico Deshidratado</t>
  </si>
  <si>
    <t>Melaza</t>
  </si>
  <si>
    <t>T.M.</t>
  </si>
  <si>
    <t>Bagazo</t>
  </si>
  <si>
    <t>LAREDO</t>
  </si>
  <si>
    <t>Alcohol</t>
  </si>
  <si>
    <t>CARTAVIO</t>
  </si>
  <si>
    <t>Cartavio Alchol Etílico rectificado</t>
  </si>
  <si>
    <t>Litro</t>
  </si>
  <si>
    <t>Cartavio Alchol Etílico industrial</t>
  </si>
  <si>
    <t>tonelada</t>
  </si>
  <si>
    <t>Miel B</t>
  </si>
  <si>
    <t>Alchol Etílico Rectificado</t>
  </si>
  <si>
    <t>Alchol Etílico Industrial</t>
  </si>
  <si>
    <t>Alchol Etílico Deshidratado</t>
  </si>
  <si>
    <t>Variación</t>
  </si>
  <si>
    <t>(l)</t>
  </si>
  <si>
    <t>VARIABLE</t>
  </si>
  <si>
    <t>EMPRESA</t>
  </si>
  <si>
    <t>SEP</t>
  </si>
  <si>
    <t>Producción Bagazo (Tm.)</t>
  </si>
  <si>
    <t>EA CASA GRANDE</t>
  </si>
  <si>
    <t>Producción Melaza (Tm.)</t>
  </si>
  <si>
    <t>Producción Alcohol (Lts.)</t>
  </si>
  <si>
    <t xml:space="preserve">     Alcohol Rectificado Fino (Lts.)</t>
  </si>
  <si>
    <t xml:space="preserve">     Alcohol de Segunda (Lts.)</t>
  </si>
  <si>
    <t>EA CARTAVIO</t>
  </si>
  <si>
    <t xml:space="preserve">     Rectificado Fino (Lts.)</t>
  </si>
  <si>
    <t>EA LAREDO</t>
  </si>
  <si>
    <t xml:space="preserve">     Rectificado Fino (Lts.)-Extra Fino</t>
  </si>
  <si>
    <t xml:space="preserve">     Alcohol de Segunda (Lts.)-Industrial </t>
  </si>
  <si>
    <t>PROD. ALCOHOL/CAÑA MOLIDA</t>
  </si>
  <si>
    <t>PROD. MELAZA/CAÑA MOLIDA (%)</t>
  </si>
  <si>
    <t>PROD. BAGAZO/CAÑA MOLIDA (%)</t>
  </si>
  <si>
    <t>Proporción de Superficie Cosechada y Producción según conductores-2016</t>
  </si>
  <si>
    <t>ha</t>
  </si>
  <si>
    <t>2016/2015</t>
  </si>
  <si>
    <t>ELABORACIÓN: GERENCIA REGIONAL DE AGRICULTURA - OFICINA DE INFORMACION AGRARIA/aarr</t>
  </si>
  <si>
    <t>ENERO - DICIEMBRE 2019</t>
  </si>
  <si>
    <t>Proporciòn de Superficie Cosechada y Producciòn segùn conductores-2018</t>
  </si>
  <si>
    <t>Rendimientos de caña Molida segùn conductores-2018</t>
  </si>
  <si>
    <t>ENERO - DICIEMBRE 2019/2018</t>
  </si>
  <si>
    <t>ENERO - DICIEMBRE 2020</t>
  </si>
  <si>
    <t>AZÚCAR COMERCIAL                                         (con caña de La Libertad)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</si>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</sst>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0.00_)"/>
    <numFmt numFmtId="165" formatCode="0.000_)"/>
    <numFmt numFmtId="166" formatCode="#,##0.000_);\(#,##0.000\)"/>
    <numFmt numFmtId="167" formatCode="0_)"/>
    <numFmt numFmtId="168" formatCode="0.0%"/>
    <numFmt numFmtId="169" formatCode="0.000%"/>
    <numFmt numFmtId="170" formatCode="#,##0.00000"/>
    <numFmt numFmtId="171" formatCode="0.0_)"/>
    <numFmt numFmtId="172" formatCode="0.0000_)"/>
    <numFmt numFmtId="173" formatCode="0.000000_)"/>
    <numFmt numFmtId="176" formatCode="0.00000_)"/>
  </numFmts>
  <fonts count="29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8"/>
      <name val="Helv"/>
    </font>
    <font>
      <sz val="12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13"/>
      <name val="Arial Narrow"/>
      <family val="2"/>
    </font>
    <font>
      <sz val="11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10"/>
      <name val="Helv"/>
    </font>
    <font>
      <b/>
      <sz val="10"/>
      <color rgb="FFFF0000"/>
      <name val="Helv"/>
    </font>
    <font>
      <sz val="11"/>
      <color rgb="FFFF0000"/>
      <name val="Arial Narrow"/>
      <family val="2"/>
    </font>
    <font>
      <sz val="7"/>
      <name val="Helv"/>
    </font>
    <font>
      <b/>
      <sz val="11"/>
      <color rgb="FFFF0000"/>
      <name val="Arial Narrow"/>
      <family val="2"/>
    </font>
    <font>
      <sz val="10"/>
      <color theme="0"/>
      <name val="Arial Narrow"/>
      <family val="2"/>
    </font>
    <font>
      <b/>
      <sz val="11"/>
      <color rgb="FF000000"/>
      <name val="Calibri"/>
      <family val="2"/>
    </font>
    <font>
      <b/>
      <sz val="10"/>
      <color rgb="FFFF0000"/>
      <name val="Arial Narrow"/>
      <family val="2"/>
    </font>
    <font>
      <b/>
      <sz val="10"/>
      <name val="Arial"/>
      <family val="2"/>
    </font>
    <font>
      <sz val="10"/>
      <color theme="0"/>
      <name val="Helv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Helv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3">
    <xf numFmtId="164" fontId="0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7">
    <xf numFmtId="164" fontId="0" fillId="0" borderId="0" xfId="0"/>
    <xf numFmtId="164" fontId="2" fillId="0" borderId="0" xfId="0" applyNumberFormat="1" applyFont="1" applyProtection="1"/>
    <xf numFmtId="164" fontId="2" fillId="0" borderId="0" xfId="0" applyFont="1"/>
    <xf numFmtId="164" fontId="5" fillId="0" borderId="0" xfId="0" applyFont="1"/>
    <xf numFmtId="164" fontId="6" fillId="0" borderId="0" xfId="0" applyFont="1"/>
    <xf numFmtId="164" fontId="2" fillId="0" borderId="0" xfId="0" applyNumberFormat="1" applyFont="1" applyAlignment="1" applyProtection="1">
      <alignment horizontal="left"/>
    </xf>
    <xf numFmtId="166" fontId="2" fillId="0" borderId="0" xfId="0" applyNumberFormat="1" applyFont="1" applyProtection="1"/>
    <xf numFmtId="164" fontId="8" fillId="0" borderId="0" xfId="0" applyNumberFormat="1" applyFont="1" applyProtection="1"/>
    <xf numFmtId="164" fontId="3" fillId="0" borderId="1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164" fontId="6" fillId="0" borderId="0" xfId="0" applyFont="1" applyBorder="1"/>
    <xf numFmtId="164" fontId="3" fillId="0" borderId="6" xfId="0" applyNumberFormat="1" applyFont="1" applyBorder="1" applyProtection="1"/>
    <xf numFmtId="164" fontId="3" fillId="0" borderId="7" xfId="0" applyNumberFormat="1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4" fontId="9" fillId="3" borderId="9" xfId="0" applyNumberFormat="1" applyFont="1" applyFill="1" applyBorder="1" applyProtection="1"/>
    <xf numFmtId="164" fontId="8" fillId="4" borderId="0" xfId="0" applyNumberFormat="1" applyFont="1" applyFill="1" applyAlignment="1" applyProtection="1">
      <alignment horizontal="left"/>
    </xf>
    <xf numFmtId="164" fontId="3" fillId="0" borderId="10" xfId="0" applyNumberFormat="1" applyFont="1" applyBorder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left"/>
    </xf>
    <xf numFmtId="164" fontId="2" fillId="0" borderId="12" xfId="0" applyNumberFormat="1" applyFont="1" applyBorder="1" applyAlignment="1" applyProtection="1">
      <alignment horizontal="left"/>
    </xf>
    <xf numFmtId="164" fontId="11" fillId="4" borderId="13" xfId="0" applyNumberFormat="1" applyFont="1" applyFill="1" applyBorder="1" applyProtection="1"/>
    <xf numFmtId="4" fontId="11" fillId="0" borderId="4" xfId="0" applyNumberFormat="1" applyFont="1" applyBorder="1" applyProtection="1"/>
    <xf numFmtId="4" fontId="11" fillId="0" borderId="13" xfId="0" applyNumberFormat="1" applyFont="1" applyBorder="1" applyProtection="1"/>
    <xf numFmtId="4" fontId="11" fillId="0" borderId="13" xfId="0" applyNumberFormat="1" applyFont="1" applyBorder="1"/>
    <xf numFmtId="164" fontId="9" fillId="2" borderId="16" xfId="0" applyNumberFormat="1" applyFont="1" applyFill="1" applyBorder="1" applyProtection="1"/>
    <xf numFmtId="164" fontId="3" fillId="2" borderId="11" xfId="0" applyNumberFormat="1" applyFont="1" applyFill="1" applyBorder="1" applyProtection="1"/>
    <xf numFmtId="164" fontId="2" fillId="4" borderId="11" xfId="0" applyNumberFormat="1" applyFont="1" applyFill="1" applyBorder="1" applyAlignment="1" applyProtection="1">
      <alignment horizontal="left"/>
    </xf>
    <xf numFmtId="165" fontId="11" fillId="4" borderId="16" xfId="0" applyNumberFormat="1" applyFont="1" applyFill="1" applyBorder="1" applyProtection="1"/>
    <xf numFmtId="164" fontId="9" fillId="3" borderId="17" xfId="0" applyNumberFormat="1" applyFont="1" applyFill="1" applyBorder="1" applyAlignment="1" applyProtection="1">
      <alignment horizontal="left"/>
    </xf>
    <xf numFmtId="4" fontId="9" fillId="3" borderId="18" xfId="0" applyNumberFormat="1" applyFont="1" applyFill="1" applyBorder="1" applyProtection="1"/>
    <xf numFmtId="4" fontId="11" fillId="0" borderId="16" xfId="0" applyNumberFormat="1" applyFont="1" applyBorder="1" applyProtection="1"/>
    <xf numFmtId="9" fontId="9" fillId="2" borderId="13" xfId="1" applyFont="1" applyFill="1" applyBorder="1" applyProtection="1"/>
    <xf numFmtId="164" fontId="8" fillId="0" borderId="21" xfId="0" applyNumberFormat="1" applyFont="1" applyBorder="1" applyProtection="1"/>
    <xf numFmtId="164" fontId="2" fillId="0" borderId="21" xfId="0" applyFont="1" applyBorder="1" applyAlignment="1">
      <alignment horizontal="center"/>
    </xf>
    <xf numFmtId="10" fontId="9" fillId="3" borderId="9" xfId="1" applyNumberFormat="1" applyFont="1" applyFill="1" applyBorder="1" applyProtection="1"/>
    <xf numFmtId="10" fontId="11" fillId="0" borderId="13" xfId="1" applyNumberFormat="1" applyFont="1" applyBorder="1" applyProtection="1"/>
    <xf numFmtId="10" fontId="11" fillId="0" borderId="13" xfId="0" applyNumberFormat="1" applyFont="1" applyBorder="1"/>
    <xf numFmtId="10" fontId="11" fillId="0" borderId="16" xfId="0" applyNumberFormat="1" applyFont="1" applyBorder="1" applyProtection="1"/>
    <xf numFmtId="10" fontId="11" fillId="0" borderId="15" xfId="0" applyNumberFormat="1" applyFont="1" applyBorder="1" applyProtection="1"/>
    <xf numFmtId="10" fontId="11" fillId="0" borderId="19" xfId="0" applyNumberFormat="1" applyFont="1" applyBorder="1" applyProtection="1"/>
    <xf numFmtId="10" fontId="9" fillId="2" borderId="13" xfId="1" applyNumberFormat="1" applyFont="1" applyFill="1" applyBorder="1" applyProtection="1"/>
    <xf numFmtId="10" fontId="11" fillId="4" borderId="13" xfId="1" applyNumberFormat="1" applyFont="1" applyFill="1" applyBorder="1" applyProtection="1"/>
    <xf numFmtId="10" fontId="9" fillId="2" borderId="16" xfId="1" applyNumberFormat="1" applyFont="1" applyFill="1" applyBorder="1" applyProtection="1"/>
    <xf numFmtId="10" fontId="11" fillId="4" borderId="13" xfId="0" applyNumberFormat="1" applyFont="1" applyFill="1" applyBorder="1" applyProtection="1"/>
    <xf numFmtId="10" fontId="9" fillId="4" borderId="13" xfId="0" applyNumberFormat="1" applyFont="1" applyFill="1" applyBorder="1" applyProtection="1"/>
    <xf numFmtId="10" fontId="11" fillId="4" borderId="16" xfId="0" applyNumberFormat="1" applyFont="1" applyFill="1" applyBorder="1" applyProtection="1"/>
    <xf numFmtId="10" fontId="9" fillId="2" borderId="13" xfId="0" applyNumberFormat="1" applyFont="1" applyFill="1" applyBorder="1" applyProtection="1"/>
    <xf numFmtId="10" fontId="9" fillId="2" borderId="16" xfId="0" applyNumberFormat="1" applyFont="1" applyFill="1" applyBorder="1" applyProtection="1"/>
    <xf numFmtId="4" fontId="9" fillId="2" borderId="13" xfId="0" applyNumberFormat="1" applyFont="1" applyFill="1" applyBorder="1" applyProtection="1"/>
    <xf numFmtId="4" fontId="11" fillId="4" borderId="13" xfId="0" applyNumberFormat="1" applyFont="1" applyFill="1" applyBorder="1" applyProtection="1"/>
    <xf numFmtId="4" fontId="9" fillId="4" borderId="13" xfId="0" applyNumberFormat="1" applyFont="1" applyFill="1" applyBorder="1" applyProtection="1"/>
    <xf numFmtId="4" fontId="11" fillId="4" borderId="16" xfId="0" applyNumberFormat="1" applyFont="1" applyFill="1" applyBorder="1" applyProtection="1"/>
    <xf numFmtId="4" fontId="11" fillId="4" borderId="13" xfId="0" applyNumberFormat="1" applyFont="1" applyFill="1" applyBorder="1" applyAlignment="1" applyProtection="1">
      <alignment horizontal="right"/>
    </xf>
    <xf numFmtId="164" fontId="13" fillId="0" borderId="21" xfId="0" applyNumberFormat="1" applyFont="1" applyBorder="1" applyAlignment="1" applyProtection="1">
      <alignment horizontal="justify" vertical="top" wrapText="1"/>
    </xf>
    <xf numFmtId="4" fontId="2" fillId="0" borderId="21" xfId="0" applyNumberFormat="1" applyFont="1" applyBorder="1"/>
    <xf numFmtId="167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 applyProtection="1">
      <alignment horizontal="center"/>
    </xf>
    <xf numFmtId="164" fontId="3" fillId="0" borderId="23" xfId="0" applyNumberFormat="1" applyFont="1" applyBorder="1" applyAlignment="1" applyProtection="1">
      <alignment horizontal="center"/>
    </xf>
    <xf numFmtId="164" fontId="3" fillId="0" borderId="23" xfId="0" applyNumberFormat="1" applyFont="1" applyBorder="1" applyProtection="1"/>
    <xf numFmtId="164" fontId="0" fillId="0" borderId="21" xfId="0" applyBorder="1"/>
    <xf numFmtId="167" fontId="15" fillId="0" borderId="26" xfId="0" applyNumberFormat="1" applyFont="1" applyBorder="1" applyAlignment="1">
      <alignment horizontal="center"/>
    </xf>
    <xf numFmtId="167" fontId="15" fillId="0" borderId="27" xfId="0" applyNumberFormat="1" applyFont="1" applyBorder="1" applyAlignment="1">
      <alignment horizontal="center"/>
    </xf>
    <xf numFmtId="167" fontId="15" fillId="0" borderId="28" xfId="0" applyNumberFormat="1" applyFont="1" applyBorder="1" applyAlignment="1">
      <alignment horizontal="center"/>
    </xf>
    <xf numFmtId="168" fontId="15" fillId="0" borderId="21" xfId="1" applyNumberFormat="1" applyFont="1" applyBorder="1"/>
    <xf numFmtId="164" fontId="0" fillId="0" borderId="29" xfId="0" applyBorder="1"/>
    <xf numFmtId="168" fontId="15" fillId="0" borderId="29" xfId="1" applyNumberFormat="1" applyFont="1" applyBorder="1"/>
    <xf numFmtId="164" fontId="0" fillId="0" borderId="30" xfId="0" applyBorder="1"/>
    <xf numFmtId="164" fontId="15" fillId="0" borderId="21" xfId="0" applyFont="1" applyBorder="1"/>
    <xf numFmtId="167" fontId="0" fillId="0" borderId="21" xfId="0" applyNumberFormat="1" applyBorder="1"/>
    <xf numFmtId="167" fontId="15" fillId="0" borderId="21" xfId="0" applyNumberFormat="1" applyFont="1" applyBorder="1"/>
    <xf numFmtId="167" fontId="0" fillId="0" borderId="29" xfId="0" applyNumberFormat="1" applyBorder="1"/>
    <xf numFmtId="168" fontId="16" fillId="0" borderId="21" xfId="1" applyNumberFormat="1" applyFont="1" applyBorder="1"/>
    <xf numFmtId="168" fontId="16" fillId="0" borderId="29" xfId="1" applyNumberFormat="1" applyFont="1" applyBorder="1"/>
    <xf numFmtId="10" fontId="11" fillId="4" borderId="13" xfId="0" applyNumberFormat="1" applyFont="1" applyFill="1" applyBorder="1" applyAlignment="1" applyProtection="1">
      <alignment horizontal="right"/>
    </xf>
    <xf numFmtId="10" fontId="17" fillId="0" borderId="13" xfId="1" applyNumberFormat="1" applyFont="1" applyBorder="1" applyProtection="1"/>
    <xf numFmtId="10" fontId="17" fillId="0" borderId="15" xfId="1" applyNumberFormat="1" applyFont="1" applyBorder="1" applyProtection="1"/>
    <xf numFmtId="10" fontId="19" fillId="3" borderId="9" xfId="1" applyNumberFormat="1" applyFont="1" applyFill="1" applyBorder="1" applyProtection="1"/>
    <xf numFmtId="10" fontId="19" fillId="2" borderId="13" xfId="1" applyNumberFormat="1" applyFont="1" applyFill="1" applyBorder="1" applyProtection="1"/>
    <xf numFmtId="10" fontId="17" fillId="4" borderId="13" xfId="1" applyNumberFormat="1" applyFont="1" applyFill="1" applyBorder="1" applyProtection="1"/>
    <xf numFmtId="10" fontId="19" fillId="2" borderId="13" xfId="0" applyNumberFormat="1" applyFont="1" applyFill="1" applyBorder="1" applyProtection="1"/>
    <xf numFmtId="10" fontId="19" fillId="2" borderId="16" xfId="0" applyNumberFormat="1" applyFont="1" applyFill="1" applyBorder="1" applyProtection="1"/>
    <xf numFmtId="10" fontId="11" fillId="0" borderId="15" xfId="1" applyNumberFormat="1" applyFont="1" applyBorder="1" applyProtection="1"/>
    <xf numFmtId="170" fontId="11" fillId="0" borderId="13" xfId="0" applyNumberFormat="1" applyFont="1" applyBorder="1"/>
    <xf numFmtId="164" fontId="3" fillId="2" borderId="32" xfId="0" applyNumberFormat="1" applyFont="1" applyFill="1" applyBorder="1" applyProtection="1"/>
    <xf numFmtId="4" fontId="9" fillId="2" borderId="33" xfId="0" applyNumberFormat="1" applyFont="1" applyFill="1" applyBorder="1" applyProtection="1"/>
    <xf numFmtId="4" fontId="9" fillId="2" borderId="34" xfId="0" applyNumberFormat="1" applyFont="1" applyFill="1" applyBorder="1" applyProtection="1"/>
    <xf numFmtId="164" fontId="2" fillId="0" borderId="35" xfId="0" applyNumberFormat="1" applyFont="1" applyBorder="1" applyAlignment="1" applyProtection="1">
      <alignment horizontal="left"/>
    </xf>
    <xf numFmtId="4" fontId="11" fillId="4" borderId="36" xfId="0" applyNumberFormat="1" applyFont="1" applyFill="1" applyBorder="1" applyProtection="1"/>
    <xf numFmtId="4" fontId="11" fillId="0" borderId="36" xfId="0" applyNumberFormat="1" applyFont="1" applyBorder="1" applyProtection="1"/>
    <xf numFmtId="4" fontId="11" fillId="0" borderId="37" xfId="0" applyNumberFormat="1" applyFont="1" applyBorder="1" applyProtection="1"/>
    <xf numFmtId="1" fontId="0" fillId="0" borderId="29" xfId="0" applyNumberFormat="1" applyBorder="1"/>
    <xf numFmtId="164" fontId="17" fillId="4" borderId="13" xfId="0" applyNumberFormat="1" applyFont="1" applyFill="1" applyBorder="1" applyAlignment="1" applyProtection="1">
      <alignment horizontal="right"/>
    </xf>
    <xf numFmtId="171" fontId="0" fillId="0" borderId="29" xfId="0" applyNumberFormat="1" applyBorder="1"/>
    <xf numFmtId="171" fontId="0" fillId="0" borderId="21" xfId="0" applyNumberFormat="1" applyBorder="1"/>
    <xf numFmtId="171" fontId="15" fillId="0" borderId="21" xfId="0" applyNumberFormat="1" applyFont="1" applyBorder="1"/>
    <xf numFmtId="172" fontId="2" fillId="0" borderId="0" xfId="0" applyNumberFormat="1" applyFont="1"/>
    <xf numFmtId="173" fontId="2" fillId="0" borderId="0" xfId="0" applyNumberFormat="1" applyFont="1"/>
    <xf numFmtId="164" fontId="20" fillId="0" borderId="0" xfId="0" applyFont="1"/>
    <xf numFmtId="164" fontId="20" fillId="0" borderId="0" xfId="0" applyNumberFormat="1" applyFont="1" applyAlignment="1" applyProtection="1">
      <alignment horizontal="left"/>
    </xf>
    <xf numFmtId="164" fontId="18" fillId="4" borderId="0" xfId="0" applyNumberFormat="1" applyFont="1" applyFill="1" applyAlignment="1" applyProtection="1">
      <alignment horizontal="left"/>
    </xf>
    <xf numFmtId="3" fontId="0" fillId="0" borderId="29" xfId="0" applyNumberFormat="1" applyBorder="1"/>
    <xf numFmtId="3" fontId="0" fillId="0" borderId="21" xfId="0" applyNumberFormat="1" applyBorder="1"/>
    <xf numFmtId="10" fontId="16" fillId="0" borderId="21" xfId="1" applyNumberFormat="1" applyFont="1" applyBorder="1"/>
    <xf numFmtId="168" fontId="2" fillId="0" borderId="0" xfId="1" applyNumberFormat="1" applyFont="1"/>
    <xf numFmtId="10" fontId="15" fillId="0" borderId="21" xfId="1" applyNumberFormat="1" applyFont="1" applyBorder="1"/>
    <xf numFmtId="168" fontId="2" fillId="0" borderId="21" xfId="1" applyNumberFormat="1" applyFont="1" applyBorder="1"/>
    <xf numFmtId="164" fontId="2" fillId="0" borderId="39" xfId="0" applyFont="1" applyBorder="1"/>
    <xf numFmtId="164" fontId="2" fillId="0" borderId="40" xfId="0" applyFont="1" applyBorder="1" applyAlignment="1">
      <alignment horizontal="center" vertical="top" wrapText="1"/>
    </xf>
    <xf numFmtId="164" fontId="2" fillId="0" borderId="41" xfId="0" applyFont="1" applyBorder="1" applyAlignment="1">
      <alignment horizontal="center" vertical="top" wrapText="1"/>
    </xf>
    <xf numFmtId="164" fontId="2" fillId="0" borderId="42" xfId="0" applyNumberFormat="1" applyFont="1" applyBorder="1" applyAlignment="1" applyProtection="1">
      <alignment horizontal="left"/>
    </xf>
    <xf numFmtId="168" fontId="2" fillId="0" borderId="43" xfId="1" applyNumberFormat="1" applyFont="1" applyBorder="1"/>
    <xf numFmtId="164" fontId="2" fillId="0" borderId="44" xfId="0" applyNumberFormat="1" applyFont="1" applyBorder="1" applyAlignment="1" applyProtection="1">
      <alignment horizontal="left"/>
    </xf>
    <xf numFmtId="168" fontId="2" fillId="0" borderId="45" xfId="1" applyNumberFormat="1" applyFont="1" applyBorder="1"/>
    <xf numFmtId="168" fontId="2" fillId="0" borderId="46" xfId="1" applyNumberFormat="1" applyFont="1" applyBorder="1"/>
    <xf numFmtId="2" fontId="2" fillId="0" borderId="21" xfId="1" applyNumberFormat="1" applyFont="1" applyBorder="1"/>
    <xf numFmtId="2" fontId="2" fillId="0" borderId="43" xfId="1" applyNumberFormat="1" applyFont="1" applyBorder="1"/>
    <xf numFmtId="2" fontId="2" fillId="0" borderId="45" xfId="1" applyNumberFormat="1" applyFont="1" applyBorder="1"/>
    <xf numFmtId="2" fontId="2" fillId="0" borderId="46" xfId="1" applyNumberFormat="1" applyFont="1" applyBorder="1"/>
    <xf numFmtId="10" fontId="19" fillId="3" borderId="18" xfId="1" applyNumberFormat="1" applyFont="1" applyFill="1" applyBorder="1" applyProtection="1"/>
    <xf numFmtId="164" fontId="17" fillId="4" borderId="13" xfId="0" applyNumberFormat="1" applyFont="1" applyFill="1" applyBorder="1" applyProtection="1"/>
    <xf numFmtId="10" fontId="19" fillId="2" borderId="16" xfId="1" applyNumberFormat="1" applyFont="1" applyFill="1" applyBorder="1" applyProtection="1"/>
    <xf numFmtId="165" fontId="17" fillId="4" borderId="16" xfId="0" applyNumberFormat="1" applyFont="1" applyFill="1" applyBorder="1" applyProtection="1"/>
    <xf numFmtId="168" fontId="19" fillId="2" borderId="13" xfId="1" applyNumberFormat="1" applyFont="1" applyFill="1" applyBorder="1" applyProtection="1"/>
    <xf numFmtId="164" fontId="8" fillId="5" borderId="0" xfId="0" applyNumberFormat="1" applyFont="1" applyFill="1" applyProtection="1"/>
    <xf numFmtId="164" fontId="9" fillId="2" borderId="13" xfId="0" applyFont="1" applyFill="1" applyBorder="1" applyProtection="1"/>
    <xf numFmtId="164" fontId="11" fillId="0" borderId="13" xfId="0" applyFont="1" applyBorder="1" applyProtection="1"/>
    <xf numFmtId="164" fontId="11" fillId="0" borderId="13" xfId="0" applyFont="1" applyBorder="1" applyAlignment="1" applyProtection="1">
      <alignment horizontal="right"/>
    </xf>
    <xf numFmtId="164" fontId="9" fillId="2" borderId="13" xfId="0" applyFont="1" applyFill="1" applyBorder="1" applyAlignment="1" applyProtection="1">
      <alignment horizontal="right"/>
    </xf>
    <xf numFmtId="164" fontId="21" fillId="0" borderId="21" xfId="0" applyFont="1" applyBorder="1"/>
    <xf numFmtId="164" fontId="0" fillId="0" borderId="48" xfId="0" applyBorder="1"/>
    <xf numFmtId="164" fontId="0" fillId="0" borderId="0" xfId="0" applyBorder="1"/>
    <xf numFmtId="164" fontId="0" fillId="0" borderId="0" xfId="0" applyFont="1"/>
    <xf numFmtId="164" fontId="0" fillId="0" borderId="49" xfId="0" applyBorder="1"/>
    <xf numFmtId="1" fontId="0" fillId="0" borderId="21" xfId="0" applyNumberFormat="1" applyBorder="1"/>
    <xf numFmtId="1" fontId="0" fillId="5" borderId="21" xfId="0" applyNumberFormat="1" applyFill="1" applyBorder="1"/>
    <xf numFmtId="1" fontId="0" fillId="6" borderId="21" xfId="0" applyNumberFormat="1" applyFill="1" applyBorder="1"/>
    <xf numFmtId="1" fontId="0" fillId="6" borderId="50" xfId="0" applyNumberFormat="1" applyFill="1" applyBorder="1"/>
    <xf numFmtId="1" fontId="0" fillId="7" borderId="30" xfId="0" applyNumberFormat="1" applyFill="1" applyBorder="1"/>
    <xf numFmtId="1" fontId="0" fillId="7" borderId="51" xfId="0" applyNumberFormat="1" applyFill="1" applyBorder="1"/>
    <xf numFmtId="1" fontId="0" fillId="7" borderId="52" xfId="0" applyNumberFormat="1" applyFill="1" applyBorder="1"/>
    <xf numFmtId="169" fontId="22" fillId="0" borderId="21" xfId="1" applyNumberFormat="1" applyFont="1" applyBorder="1"/>
    <xf numFmtId="9" fontId="11" fillId="4" borderId="13" xfId="1" applyFont="1" applyFill="1" applyBorder="1" applyProtection="1"/>
    <xf numFmtId="164" fontId="19" fillId="2" borderId="13" xfId="0" applyNumberFormat="1" applyFont="1" applyFill="1" applyBorder="1" applyProtection="1"/>
    <xf numFmtId="169" fontId="19" fillId="3" borderId="9" xfId="1" applyNumberFormat="1" applyFont="1" applyFill="1" applyBorder="1" applyProtection="1"/>
    <xf numFmtId="10" fontId="17" fillId="4" borderId="13" xfId="1" applyNumberFormat="1" applyFont="1" applyFill="1" applyBorder="1" applyAlignment="1" applyProtection="1">
      <alignment horizontal="right"/>
    </xf>
    <xf numFmtId="9" fontId="19" fillId="2" borderId="13" xfId="1" applyFont="1" applyFill="1" applyBorder="1" applyProtection="1"/>
    <xf numFmtId="9" fontId="17" fillId="4" borderId="13" xfId="1" applyFont="1" applyFill="1" applyBorder="1" applyProtection="1"/>
    <xf numFmtId="9" fontId="17" fillId="4" borderId="13" xfId="1" applyFont="1" applyFill="1" applyBorder="1" applyAlignment="1" applyProtection="1">
      <alignment horizontal="right"/>
    </xf>
    <xf numFmtId="9" fontId="17" fillId="4" borderId="14" xfId="1" applyFont="1" applyFill="1" applyBorder="1" applyAlignment="1" applyProtection="1">
      <alignment horizontal="right"/>
    </xf>
    <xf numFmtId="164" fontId="23" fillId="0" borderId="53" xfId="0" applyFont="1" applyBorder="1" applyAlignment="1">
      <alignment horizontal="center"/>
    </xf>
    <xf numFmtId="164" fontId="23" fillId="0" borderId="27" xfId="0" applyFont="1" applyBorder="1" applyAlignment="1">
      <alignment horizontal="center"/>
    </xf>
    <xf numFmtId="164" fontId="23" fillId="0" borderId="54" xfId="0" applyFont="1" applyBorder="1" applyAlignment="1">
      <alignment horizontal="center"/>
    </xf>
    <xf numFmtId="164" fontId="23" fillId="0" borderId="10" xfId="0" applyFont="1" applyBorder="1"/>
    <xf numFmtId="4" fontId="23" fillId="0" borderId="0" xfId="0" applyNumberFormat="1" applyFont="1" applyBorder="1"/>
    <xf numFmtId="1" fontId="23" fillId="0" borderId="30" xfId="0" applyNumberFormat="1" applyFont="1" applyBorder="1"/>
    <xf numFmtId="4" fontId="23" fillId="0" borderId="55" xfId="0" applyNumberFormat="1" applyFont="1" applyBorder="1"/>
    <xf numFmtId="4" fontId="23" fillId="0" borderId="4" xfId="0" applyNumberFormat="1" applyFont="1" applyBorder="1"/>
    <xf numFmtId="4" fontId="23" fillId="0" borderId="25" xfId="0" applyNumberFormat="1" applyFont="1" applyBorder="1"/>
    <xf numFmtId="164" fontId="23" fillId="0" borderId="21" xfId="0" applyFont="1" applyBorder="1"/>
    <xf numFmtId="1" fontId="23" fillId="0" borderId="56" xfId="0" applyNumberFormat="1" applyFont="1" applyBorder="1"/>
    <xf numFmtId="168" fontId="0" fillId="0" borderId="21" xfId="1" applyNumberFormat="1" applyFont="1" applyBorder="1"/>
    <xf numFmtId="3" fontId="23" fillId="0" borderId="0" xfId="0" applyNumberFormat="1" applyFont="1" applyBorder="1"/>
    <xf numFmtId="3" fontId="23" fillId="0" borderId="55" xfId="0" applyNumberFormat="1" applyFont="1" applyBorder="1"/>
    <xf numFmtId="3" fontId="23" fillId="0" borderId="25" xfId="0" applyNumberFormat="1" applyFont="1" applyBorder="1"/>
    <xf numFmtId="164" fontId="0" fillId="0" borderId="10" xfId="0" applyBorder="1"/>
    <xf numFmtId="3" fontId="0" fillId="0" borderId="0" xfId="0" applyNumberFormat="1" applyBorder="1"/>
    <xf numFmtId="3" fontId="0" fillId="0" borderId="55" xfId="0" applyNumberFormat="1" applyBorder="1"/>
    <xf numFmtId="3" fontId="0" fillId="0" borderId="4" xfId="0" applyNumberFormat="1" applyBorder="1"/>
    <xf numFmtId="3" fontId="0" fillId="0" borderId="25" xfId="0" applyNumberFormat="1" applyBorder="1"/>
    <xf numFmtId="164" fontId="0" fillId="0" borderId="6" xfId="0" applyBorder="1"/>
    <xf numFmtId="3" fontId="0" fillId="0" borderId="38" xfId="0" applyNumberFormat="1" applyBorder="1"/>
    <xf numFmtId="1" fontId="23" fillId="0" borderId="57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164" fontId="0" fillId="0" borderId="56" xfId="0" applyBorder="1"/>
    <xf numFmtId="164" fontId="0" fillId="0" borderId="57" xfId="0" applyBorder="1"/>
    <xf numFmtId="4" fontId="23" fillId="0" borderId="30" xfId="0" applyNumberFormat="1" applyFont="1" applyBorder="1"/>
    <xf numFmtId="4" fontId="23" fillId="0" borderId="56" xfId="0" applyNumberFormat="1" applyFont="1" applyBorder="1"/>
    <xf numFmtId="4" fontId="0" fillId="0" borderId="0" xfId="0" applyNumberFormat="1"/>
    <xf numFmtId="3" fontId="23" fillId="0" borderId="56" xfId="0" applyNumberFormat="1" applyFont="1" applyBorder="1"/>
    <xf numFmtId="164" fontId="0" fillId="0" borderId="23" xfId="0" applyBorder="1"/>
    <xf numFmtId="3" fontId="0" fillId="0" borderId="56" xfId="0" applyNumberFormat="1" applyBorder="1"/>
    <xf numFmtId="164" fontId="0" fillId="0" borderId="60" xfId="0" applyBorder="1"/>
    <xf numFmtId="3" fontId="0" fillId="0" borderId="57" xfId="0" applyNumberFormat="1" applyBorder="1"/>
    <xf numFmtId="164" fontId="0" fillId="5" borderId="0" xfId="0" applyFill="1"/>
    <xf numFmtId="164" fontId="0" fillId="0" borderId="29" xfId="0" applyNumberFormat="1" applyBorder="1"/>
    <xf numFmtId="164" fontId="15" fillId="0" borderId="21" xfId="0" applyNumberFormat="1" applyFont="1" applyBorder="1"/>
    <xf numFmtId="165" fontId="0" fillId="0" borderId="29" xfId="0" applyNumberFormat="1" applyBorder="1"/>
    <xf numFmtId="165" fontId="0" fillId="0" borderId="21" xfId="0" applyNumberFormat="1" applyBorder="1"/>
    <xf numFmtId="165" fontId="15" fillId="0" borderId="21" xfId="0" applyNumberFormat="1" applyFont="1" applyBorder="1"/>
    <xf numFmtId="164" fontId="9" fillId="2" borderId="4" xfId="0" quotePrefix="1" applyNumberFormat="1" applyFont="1" applyFill="1" applyBorder="1" applyAlignment="1">
      <alignment horizontal="right"/>
    </xf>
    <xf numFmtId="164" fontId="11" fillId="0" borderId="4" xfId="0" applyFont="1" applyBorder="1" applyProtection="1"/>
    <xf numFmtId="164" fontId="2" fillId="0" borderId="0" xfId="0" applyNumberFormat="1" applyFont="1" applyBorder="1" applyAlignment="1" applyProtection="1">
      <alignment horizontal="left"/>
    </xf>
    <xf numFmtId="164" fontId="2" fillId="0" borderId="0" xfId="0" applyFont="1" applyBorder="1"/>
    <xf numFmtId="164" fontId="2" fillId="0" borderId="0" xfId="0" applyFont="1" applyBorder="1" applyAlignment="1">
      <alignment horizontal="center"/>
    </xf>
    <xf numFmtId="169" fontId="22" fillId="0" borderId="0" xfId="1" applyNumberFormat="1" applyFont="1" applyBorder="1"/>
    <xf numFmtId="2" fontId="9" fillId="2" borderId="13" xfId="1" applyNumberFormat="1" applyFont="1" applyFill="1" applyBorder="1" applyProtection="1"/>
    <xf numFmtId="2" fontId="11" fillId="0" borderId="13" xfId="1" applyNumberFormat="1" applyFont="1" applyBorder="1" applyProtection="1"/>
    <xf numFmtId="2" fontId="11" fillId="4" borderId="13" xfId="1" applyNumberFormat="1" applyFont="1" applyFill="1" applyBorder="1" applyProtection="1"/>
    <xf numFmtId="2" fontId="17" fillId="4" borderId="13" xfId="1" applyNumberFormat="1" applyFont="1" applyFill="1" applyBorder="1" applyProtection="1"/>
    <xf numFmtId="2" fontId="19" fillId="2" borderId="13" xfId="1" applyNumberFormat="1" applyFont="1" applyFill="1" applyBorder="1" applyProtection="1"/>
    <xf numFmtId="2" fontId="17" fillId="0" borderId="13" xfId="1" applyNumberFormat="1" applyFont="1" applyBorder="1" applyProtection="1"/>
    <xf numFmtId="2" fontId="17" fillId="4" borderId="13" xfId="1" applyNumberFormat="1" applyFont="1" applyFill="1" applyBorder="1" applyAlignment="1" applyProtection="1">
      <alignment horizontal="right"/>
    </xf>
    <xf numFmtId="2" fontId="19" fillId="3" borderId="9" xfId="1" applyNumberFormat="1" applyFont="1" applyFill="1" applyBorder="1" applyProtection="1"/>
    <xf numFmtId="2" fontId="17" fillId="0" borderId="15" xfId="1" applyNumberFormat="1" applyFont="1" applyBorder="1" applyProtection="1"/>
    <xf numFmtId="164" fontId="2" fillId="0" borderId="0" xfId="0" applyFont="1" applyBorder="1" applyAlignment="1">
      <alignment horizontal="center" vertical="top" wrapText="1"/>
    </xf>
    <xf numFmtId="164" fontId="2" fillId="0" borderId="0" xfId="0" applyFont="1" applyFill="1" applyBorder="1" applyAlignment="1">
      <alignment horizontal="center" vertical="top" wrapText="1"/>
    </xf>
    <xf numFmtId="2" fontId="2" fillId="0" borderId="0" xfId="1" applyNumberFormat="1" applyFont="1" applyBorder="1"/>
    <xf numFmtId="168" fontId="0" fillId="0" borderId="0" xfId="1" applyNumberFormat="1" applyFont="1" applyBorder="1"/>
    <xf numFmtId="4" fontId="11" fillId="4" borderId="63" xfId="0" applyNumberFormat="1" applyFont="1" applyFill="1" applyBorder="1" applyProtection="1"/>
    <xf numFmtId="4" fontId="11" fillId="0" borderId="5" xfId="0" applyNumberFormat="1" applyFont="1" applyBorder="1" applyProtection="1"/>
    <xf numFmtId="4" fontId="9" fillId="2" borderId="5" xfId="0" applyNumberFormat="1" applyFont="1" applyFill="1" applyBorder="1" applyProtection="1"/>
    <xf numFmtId="4" fontId="11" fillId="4" borderId="5" xfId="0" applyNumberFormat="1" applyFont="1" applyFill="1" applyBorder="1" applyProtection="1"/>
    <xf numFmtId="10" fontId="9" fillId="2" borderId="64" xfId="1" applyNumberFormat="1" applyFont="1" applyFill="1" applyBorder="1" applyProtection="1"/>
    <xf numFmtId="164" fontId="24" fillId="0" borderId="0" xfId="0" applyFont="1"/>
    <xf numFmtId="164" fontId="22" fillId="2" borderId="65" xfId="0" applyNumberFormat="1" applyFont="1" applyFill="1" applyBorder="1" applyProtection="1"/>
    <xf numFmtId="2" fontId="25" fillId="4" borderId="13" xfId="1" applyNumberFormat="1" applyFont="1" applyFill="1" applyBorder="1" applyProtection="1"/>
    <xf numFmtId="164" fontId="26" fillId="0" borderId="0" xfId="0" applyNumberFormat="1" applyFont="1" applyProtection="1"/>
    <xf numFmtId="10" fontId="25" fillId="0" borderId="15" xfId="1" applyNumberFormat="1" applyFont="1" applyBorder="1" applyProtection="1"/>
    <xf numFmtId="10" fontId="25" fillId="4" borderId="13" xfId="1" applyNumberFormat="1" applyFont="1" applyFill="1" applyBorder="1" applyProtection="1"/>
    <xf numFmtId="2" fontId="27" fillId="2" borderId="13" xfId="1" applyNumberFormat="1" applyFont="1" applyFill="1" applyBorder="1" applyProtection="1"/>
    <xf numFmtId="10" fontId="27" fillId="2" borderId="13" xfId="1" applyNumberFormat="1" applyFont="1" applyFill="1" applyBorder="1" applyProtection="1"/>
    <xf numFmtId="10" fontId="27" fillId="2" borderId="13" xfId="0" applyNumberFormat="1" applyFont="1" applyFill="1" applyBorder="1" applyProtection="1"/>
    <xf numFmtId="2" fontId="9" fillId="8" borderId="13" xfId="1" applyNumberFormat="1" applyFont="1" applyFill="1" applyBorder="1" applyProtection="1"/>
    <xf numFmtId="168" fontId="28" fillId="0" borderId="21" xfId="1" applyNumberFormat="1" applyFont="1" applyBorder="1"/>
    <xf numFmtId="168" fontId="16" fillId="4" borderId="21" xfId="1" applyNumberFormat="1" applyFont="1" applyFill="1" applyBorder="1"/>
    <xf numFmtId="10" fontId="28" fillId="0" borderId="21" xfId="1" applyNumberFormat="1" applyFont="1" applyBorder="1"/>
    <xf numFmtId="176" fontId="2" fillId="0" borderId="0" xfId="0" applyNumberFormat="1" applyFont="1"/>
    <xf numFmtId="164" fontId="3" fillId="2" borderId="2" xfId="0" applyNumberFormat="1" applyFont="1" applyFill="1" applyBorder="1" applyProtection="1"/>
    <xf numFmtId="164" fontId="3" fillId="2" borderId="62" xfId="0" applyNumberFormat="1" applyFont="1" applyFill="1" applyBorder="1" applyProtection="1"/>
    <xf numFmtId="164" fontId="3" fillId="2" borderId="3" xfId="0" applyNumberFormat="1" applyFont="1" applyFill="1" applyBorder="1" applyProtection="1"/>
    <xf numFmtId="164" fontId="11" fillId="4" borderId="4" xfId="0" applyFont="1" applyFill="1" applyBorder="1" applyProtection="1"/>
    <xf numFmtId="164" fontId="11" fillId="4" borderId="55" xfId="0" applyFont="1" applyFill="1" applyBorder="1" applyProtection="1"/>
    <xf numFmtId="4" fontId="11" fillId="4" borderId="4" xfId="0" applyNumberFormat="1" applyFont="1" applyFill="1" applyBorder="1" applyProtection="1"/>
    <xf numFmtId="4" fontId="11" fillId="4" borderId="4" xfId="0" applyNumberFormat="1" applyFont="1" applyFill="1" applyBorder="1"/>
    <xf numFmtId="164" fontId="11" fillId="4" borderId="4" xfId="0" applyFont="1" applyFill="1" applyBorder="1" applyAlignment="1" applyProtection="1">
      <alignment horizontal="right"/>
    </xf>
    <xf numFmtId="164" fontId="11" fillId="4" borderId="55" xfId="0" applyFont="1" applyFill="1" applyBorder="1" applyAlignment="1" applyProtection="1">
      <alignment horizontal="right"/>
    </xf>
    <xf numFmtId="164" fontId="3" fillId="2" borderId="4" xfId="0" applyNumberFormat="1" applyFont="1" applyFill="1" applyBorder="1" applyProtection="1"/>
    <xf numFmtId="164" fontId="3" fillId="2" borderId="55" xfId="0" applyNumberFormat="1" applyFont="1" applyFill="1" applyBorder="1" applyProtection="1"/>
    <xf numFmtId="164" fontId="3" fillId="2" borderId="5" xfId="0" applyNumberFormat="1" applyFont="1" applyFill="1" applyBorder="1" applyProtection="1"/>
    <xf numFmtId="170" fontId="11" fillId="4" borderId="4" xfId="0" applyNumberFormat="1" applyFont="1" applyFill="1" applyBorder="1"/>
    <xf numFmtId="4" fontId="9" fillId="4" borderId="4" xfId="0" applyNumberFormat="1" applyFont="1" applyFill="1" applyBorder="1" applyProtection="1"/>
    <xf numFmtId="164" fontId="9" fillId="2" borderId="4" xfId="0" applyFont="1" applyFill="1" applyBorder="1" applyAlignment="1" applyProtection="1">
      <alignment horizontal="right"/>
    </xf>
    <xf numFmtId="164" fontId="9" fillId="2" borderId="55" xfId="0" applyFont="1" applyFill="1" applyBorder="1" applyAlignment="1" applyProtection="1">
      <alignment horizontal="right"/>
    </xf>
    <xf numFmtId="4" fontId="9" fillId="2" borderId="4" xfId="0" applyNumberFormat="1" applyFont="1" applyFill="1" applyBorder="1" applyProtection="1"/>
    <xf numFmtId="164" fontId="11" fillId="0" borderId="55" xfId="0" applyFont="1" applyBorder="1" applyProtection="1"/>
    <xf numFmtId="170" fontId="11" fillId="0" borderId="4" xfId="0" applyNumberFormat="1" applyFont="1" applyBorder="1"/>
    <xf numFmtId="164" fontId="11" fillId="0" borderId="4" xfId="0" applyFont="1" applyBorder="1" applyAlignment="1" applyProtection="1">
      <alignment horizontal="right"/>
    </xf>
    <xf numFmtId="164" fontId="11" fillId="0" borderId="55" xfId="0" applyFont="1" applyBorder="1" applyAlignment="1" applyProtection="1">
      <alignment horizontal="right"/>
    </xf>
    <xf numFmtId="4" fontId="11" fillId="4" borderId="4" xfId="0" applyNumberFormat="1" applyFont="1" applyFill="1" applyBorder="1" applyAlignment="1" applyProtection="1">
      <alignment horizontal="right"/>
    </xf>
    <xf numFmtId="4" fontId="9" fillId="3" borderId="21" xfId="0" applyNumberFormat="1" applyFont="1" applyFill="1" applyBorder="1" applyProtection="1"/>
    <xf numFmtId="4" fontId="9" fillId="3" borderId="49" xfId="0" applyNumberFormat="1" applyFont="1" applyFill="1" applyBorder="1" applyProtection="1"/>
    <xf numFmtId="4" fontId="9" fillId="3" borderId="43" xfId="0" applyNumberFormat="1" applyFont="1" applyFill="1" applyBorder="1" applyProtection="1"/>
    <xf numFmtId="4" fontId="11" fillId="0" borderId="64" xfId="0" applyNumberFormat="1" applyFont="1" applyBorder="1" applyProtection="1"/>
    <xf numFmtId="4" fontId="11" fillId="0" borderId="4" xfId="0" applyNumberFormat="1" applyFont="1" applyBorder="1"/>
    <xf numFmtId="4" fontId="11" fillId="0" borderId="66" xfId="0" applyNumberFormat="1" applyFont="1" applyBorder="1" applyProtection="1"/>
    <xf numFmtId="4" fontId="11" fillId="0" borderId="7" xfId="0" applyNumberFormat="1" applyFont="1" applyBorder="1" applyProtection="1"/>
    <xf numFmtId="4" fontId="11" fillId="0" borderId="67" xfId="0" applyNumberFormat="1" applyFont="1" applyBorder="1" applyProtection="1"/>
    <xf numFmtId="10" fontId="11" fillId="0" borderId="4" xfId="1" applyNumberFormat="1" applyFont="1" applyBorder="1" applyProtection="1"/>
    <xf numFmtId="2" fontId="19" fillId="4" borderId="13" xfId="1" applyNumberFormat="1" applyFont="1" applyFill="1" applyBorder="1" applyProtection="1"/>
    <xf numFmtId="1" fontId="0" fillId="0" borderId="0" xfId="0" applyNumberFormat="1" applyBorder="1" applyAlignment="1">
      <alignment horizontal="center"/>
    </xf>
    <xf numFmtId="164" fontId="7" fillId="4" borderId="0" xfId="0" quotePrefix="1" applyNumberFormat="1" applyFont="1" applyFill="1" applyBorder="1" applyAlignment="1" applyProtection="1">
      <alignment horizontal="center"/>
    </xf>
    <xf numFmtId="164" fontId="7" fillId="4" borderId="0" xfId="0" applyNumberFormat="1" applyFont="1" applyFill="1" applyBorder="1" applyAlignment="1" applyProtection="1">
      <alignment horizontal="center"/>
    </xf>
    <xf numFmtId="164" fontId="10" fillId="4" borderId="0" xfId="0" applyNumberFormat="1" applyFont="1" applyFill="1" applyBorder="1" applyAlignment="1" applyProtection="1">
      <alignment horizontal="center"/>
    </xf>
    <xf numFmtId="164" fontId="8" fillId="0" borderId="31" xfId="0" applyNumberFormat="1" applyFont="1" applyBorder="1" applyAlignment="1" applyProtection="1">
      <alignment horizontal="left" wrapText="1"/>
    </xf>
    <xf numFmtId="164" fontId="3" fillId="0" borderId="0" xfId="0" applyFont="1" applyAlignment="1">
      <alignment horizontal="center" vertical="top" wrapText="1"/>
    </xf>
    <xf numFmtId="164" fontId="3" fillId="0" borderId="0" xfId="0" applyFont="1" applyBorder="1" applyAlignment="1">
      <alignment horizontal="center" vertical="top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8" fillId="0" borderId="0" xfId="0" applyNumberFormat="1" applyFont="1" applyBorder="1" applyAlignment="1" applyProtection="1">
      <alignment horizontal="left" wrapText="1"/>
    </xf>
    <xf numFmtId="164" fontId="8" fillId="0" borderId="20" xfId="0" applyNumberFormat="1" applyFont="1" applyBorder="1" applyAlignment="1" applyProtection="1">
      <alignment horizontal="left" wrapText="1"/>
    </xf>
    <xf numFmtId="164" fontId="2" fillId="0" borderId="20" xfId="0" applyNumberFormat="1" applyFont="1" applyBorder="1" applyAlignment="1" applyProtection="1">
      <alignment horizontal="left" wrapText="1"/>
    </xf>
    <xf numFmtId="164" fontId="2" fillId="0" borderId="0" xfId="0" applyFont="1" applyAlignment="1">
      <alignment horizontal="justify" vertical="top" wrapText="1"/>
    </xf>
    <xf numFmtId="164" fontId="0" fillId="0" borderId="0" xfId="0" applyAlignment="1">
      <alignment horizontal="justify" vertical="top" wrapText="1"/>
    </xf>
    <xf numFmtId="164" fontId="3" fillId="0" borderId="47" xfId="0" applyNumberFormat="1" applyFont="1" applyBorder="1" applyAlignment="1" applyProtection="1">
      <alignment horizontal="center"/>
    </xf>
    <xf numFmtId="164" fontId="3" fillId="0" borderId="62" xfId="0" applyNumberFormat="1" applyFont="1" applyBorder="1" applyAlignment="1" applyProtection="1">
      <alignment horizontal="center"/>
    </xf>
    <xf numFmtId="164" fontId="3" fillId="0" borderId="61" xfId="0" applyNumberFormat="1" applyFont="1" applyBorder="1" applyAlignment="1" applyProtection="1">
      <alignment horizontal="center"/>
    </xf>
    <xf numFmtId="164" fontId="3" fillId="0" borderId="55" xfId="0" applyNumberFormat="1" applyFont="1" applyBorder="1" applyAlignment="1" applyProtection="1">
      <alignment horizontal="center"/>
    </xf>
    <xf numFmtId="164" fontId="3" fillId="0" borderId="22" xfId="0" applyNumberFormat="1" applyFont="1" applyBorder="1" applyAlignment="1" applyProtection="1">
      <alignment horizontal="center"/>
    </xf>
    <xf numFmtId="164" fontId="3" fillId="0" borderId="20" xfId="0" applyNumberFormat="1" applyFont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center"/>
    </xf>
    <xf numFmtId="164" fontId="3" fillId="0" borderId="23" xfId="0" applyNumberFormat="1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164" fontId="3" fillId="0" borderId="25" xfId="0" applyNumberFormat="1" applyFont="1" applyBorder="1" applyAlignment="1" applyProtection="1">
      <alignment horizontal="center" vertical="center" wrapText="1"/>
    </xf>
    <xf numFmtId="164" fontId="3" fillId="0" borderId="23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center"/>
    </xf>
    <xf numFmtId="164" fontId="0" fillId="0" borderId="60" xfId="0" applyBorder="1" applyAlignment="1">
      <alignment horizontal="center" vertical="center" wrapText="1"/>
    </xf>
    <xf numFmtId="164" fontId="0" fillId="0" borderId="38" xfId="0" applyBorder="1" applyAlignment="1">
      <alignment horizontal="center" vertical="center" wrapText="1"/>
    </xf>
    <xf numFmtId="164" fontId="0" fillId="0" borderId="59" xfId="0" applyBorder="1" applyAlignment="1">
      <alignment horizontal="center" vertical="center" wrapText="1"/>
    </xf>
    <xf numFmtId="164" fontId="7" fillId="4" borderId="38" xfId="0" quotePrefix="1" applyNumberFormat="1" applyFont="1" applyFill="1" applyBorder="1" applyAlignment="1" applyProtection="1">
      <alignment horizontal="center"/>
    </xf>
    <xf numFmtId="164" fontId="0" fillId="0" borderId="0" xfId="0" applyAlignment="1">
      <alignment horizontal="center"/>
    </xf>
    <xf numFmtId="168" fontId="28" fillId="0" borderId="29" xfId="1" applyNumberFormat="1" applyFont="1" applyBorder="1"/>
    <xf numFmtId="10" fontId="16" fillId="0" borderId="29" xfId="1" applyNumberFormat="1" applyFont="1" applyBorder="1"/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50"/>
            </a:pPr>
            <a:r>
              <a:rPr lang="es-PE" sz="1050"/>
              <a:t>LA LIBERTAD: SUPERFICIE COSECHADA DE </a:t>
            </a:r>
            <a:r>
              <a:rPr lang="es-PE" sz="1100"/>
              <a:t>CAÑA</a:t>
            </a:r>
            <a:r>
              <a:rPr lang="es-PE" sz="1050"/>
              <a:t> DE AZÚCAR</a:t>
            </a:r>
            <a:r>
              <a:rPr lang="es-PE" sz="1050" baseline="0"/>
              <a:t> (ha)</a:t>
            </a:r>
            <a:endParaRPr lang="es-PE" sz="105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43285214348208"/>
          <c:y val="0.15298811606882473"/>
          <c:w val="0.86301159230096247"/>
          <c:h val="0.731032006415864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ANALISIS!$H$7</c:f>
              <c:strCache>
                <c:ptCount val="1"/>
                <c:pt idx="0">
                  <c:v>2020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ANALISIS!$H$8:$H$19</c:f>
              <c:numCache>
                <c:formatCode>0_)</c:formatCode>
                <c:ptCount val="6"/>
                <c:pt idx="0">
                  <c:v>4010.7999999999997</c:v>
                </c:pt>
                <c:pt idx="1">
                  <c:v>3640.08</c:v>
                </c:pt>
                <c:pt idx="2">
                  <c:v>2090.25</c:v>
                </c:pt>
                <c:pt idx="3">
                  <c:v>2305.1999999999998</c:v>
                </c:pt>
                <c:pt idx="4">
                  <c:v>3101.9000000000005</c:v>
                </c:pt>
                <c:pt idx="5">
                  <c:v>3198.5650000000001</c:v>
                </c:pt>
              </c:numCache>
            </c:numRef>
          </c:val>
        </c:ser>
        <c:ser>
          <c:idx val="1"/>
          <c:order val="1"/>
          <c:tx>
            <c:strRef>
              <c:f>ANALISIS!$I$7</c:f>
              <c:strCache>
                <c:ptCount val="1"/>
                <c:pt idx="0">
                  <c:v>2019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ANALISIS!$I$8:$I$19</c:f>
              <c:numCache>
                <c:formatCode>0_)</c:formatCode>
                <c:ptCount val="6"/>
                <c:pt idx="0">
                  <c:v>3337.02</c:v>
                </c:pt>
                <c:pt idx="1">
                  <c:v>3409.14</c:v>
                </c:pt>
                <c:pt idx="2">
                  <c:v>4305.28</c:v>
                </c:pt>
                <c:pt idx="3">
                  <c:v>2648.12</c:v>
                </c:pt>
                <c:pt idx="4">
                  <c:v>1992.85</c:v>
                </c:pt>
                <c:pt idx="5">
                  <c:v>1593.63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5877016"/>
        <c:axId val="224589592"/>
        <c:axId val="0"/>
      </c:bar3DChart>
      <c:catAx>
        <c:axId val="28587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s-PE" sz="800" b="0"/>
            </a:pPr>
            <a:endParaRPr lang="es-PE"/>
          </a:p>
        </c:txPr>
        <c:crossAx val="224589592"/>
        <c:crosses val="autoZero"/>
        <c:auto val="1"/>
        <c:lblAlgn val="ctr"/>
        <c:lblOffset val="100"/>
        <c:noMultiLvlLbl val="0"/>
      </c:catAx>
      <c:valAx>
        <c:axId val="2245895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PE" b="1"/>
            </a:pPr>
            <a:endParaRPr lang="es-PE"/>
          </a:p>
        </c:txPr>
        <c:crossAx val="285877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735974148512456"/>
          <c:y val="0.15675918861670449"/>
          <c:w val="0.37204724409448819"/>
          <c:h val="7.9968674556991901E-2"/>
        </c:manualLayout>
      </c:layout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100"/>
            </a:pPr>
            <a:r>
              <a:rPr lang="es-PE" sz="1100" b="1" i="0" u="none" strike="noStrike" baseline="0">
                <a:effectLst/>
              </a:rPr>
              <a:t>LA LIBERTAD: PRODUCCIÓN CAÑA MOLIDA (t)</a:t>
            </a:r>
            <a:endParaRPr lang="es-PE" sz="1100"/>
          </a:p>
        </c:rich>
      </c:tx>
      <c:layout>
        <c:manualLayout>
          <c:xMode val="edge"/>
          <c:yMode val="edge"/>
          <c:x val="0.20097922134733162"/>
          <c:y val="1.38888888888888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59951881014873"/>
          <c:y val="0.11396033829104692"/>
          <c:w val="0.8348449256342958"/>
          <c:h val="0.770059784193642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ANALISIS!$K$7</c:f>
              <c:strCache>
                <c:ptCount val="1"/>
                <c:pt idx="0">
                  <c:v>2020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ANALISIS!$K$8:$K$19</c:f>
              <c:numCache>
                <c:formatCode>#,##0</c:formatCode>
                <c:ptCount val="6"/>
                <c:pt idx="0">
                  <c:v>419784.5</c:v>
                </c:pt>
                <c:pt idx="1">
                  <c:v>470766.92</c:v>
                </c:pt>
                <c:pt idx="2">
                  <c:v>267433.40100000001</c:v>
                </c:pt>
                <c:pt idx="3">
                  <c:v>336954.47</c:v>
                </c:pt>
                <c:pt idx="4">
                  <c:v>452542.011</c:v>
                </c:pt>
                <c:pt idx="5">
                  <c:v>481068.11700000003</c:v>
                </c:pt>
              </c:numCache>
            </c:numRef>
          </c:val>
        </c:ser>
        <c:ser>
          <c:idx val="1"/>
          <c:order val="1"/>
          <c:tx>
            <c:strRef>
              <c:f>ANALISIS!$L$7</c:f>
              <c:strCache>
                <c:ptCount val="1"/>
                <c:pt idx="0">
                  <c:v>2019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ANALISIS!$L$8:$L$19</c:f>
              <c:numCache>
                <c:formatCode>#,##0</c:formatCode>
                <c:ptCount val="6"/>
                <c:pt idx="0">
                  <c:v>457188.25999999995</c:v>
                </c:pt>
                <c:pt idx="1">
                  <c:v>435803.31400000001</c:v>
                </c:pt>
                <c:pt idx="2">
                  <c:v>515622.853</c:v>
                </c:pt>
                <c:pt idx="3">
                  <c:v>331126.77600000001</c:v>
                </c:pt>
                <c:pt idx="4">
                  <c:v>328198.94799999997</c:v>
                </c:pt>
                <c:pt idx="5">
                  <c:v>298046.07400000002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591552"/>
        <c:axId val="224591160"/>
        <c:axId val="0"/>
      </c:bar3DChart>
      <c:catAx>
        <c:axId val="22459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s-PE" sz="800"/>
            </a:pPr>
            <a:endParaRPr lang="es-PE"/>
          </a:p>
        </c:txPr>
        <c:crossAx val="224591160"/>
        <c:crosses val="autoZero"/>
        <c:auto val="1"/>
        <c:lblAlgn val="ctr"/>
        <c:lblOffset val="100"/>
        <c:noMultiLvlLbl val="0"/>
      </c:catAx>
      <c:valAx>
        <c:axId val="2245911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22459155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100"/>
            </a:pPr>
            <a:r>
              <a:rPr lang="es-PE" sz="1100" b="1" i="0" u="none" strike="noStrike" baseline="0">
                <a:effectLst/>
              </a:rPr>
              <a:t>LA LIBERTAD: RENDIMIENTO DE CAÑA MOLIDA DE CAÑA (t/ha) </a:t>
            </a:r>
            <a:endParaRPr lang="es-PE" sz="11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7386264216973"/>
          <c:y val="0.21269867308253138"/>
          <c:w val="0.83944203849518828"/>
          <c:h val="0.6620621901428989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ANALISIS!$N$7</c:f>
              <c:strCache>
                <c:ptCount val="1"/>
                <c:pt idx="0">
                  <c:v>2020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ANALISIS!$N$8:$N$19</c:f>
              <c:numCache>
                <c:formatCode>0.0_)</c:formatCode>
                <c:ptCount val="6"/>
                <c:pt idx="0">
                  <c:v>104.66353345965892</c:v>
                </c:pt>
                <c:pt idx="1">
                  <c:v>129.32872903892223</c:v>
                </c:pt>
                <c:pt idx="2">
                  <c:v>127.94326085396484</c:v>
                </c:pt>
                <c:pt idx="3">
                  <c:v>146.17146885302793</c:v>
                </c:pt>
                <c:pt idx="4">
                  <c:v>145.89187626938326</c:v>
                </c:pt>
                <c:pt idx="5">
                  <c:v>150.4012321150266</c:v>
                </c:pt>
              </c:numCache>
            </c:numRef>
          </c:val>
        </c:ser>
        <c:ser>
          <c:idx val="1"/>
          <c:order val="1"/>
          <c:tx>
            <c:strRef>
              <c:f>ANALISIS!$O$7</c:f>
              <c:strCache>
                <c:ptCount val="1"/>
                <c:pt idx="0">
                  <c:v>2019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ANALISIS!$O$8:$O$19</c:f>
              <c:numCache>
                <c:formatCode>0.0_)</c:formatCode>
                <c:ptCount val="6"/>
                <c:pt idx="0">
                  <c:v>137.00495052471965</c:v>
                </c:pt>
                <c:pt idx="1">
                  <c:v>127.83379796664262</c:v>
                </c:pt>
                <c:pt idx="2">
                  <c:v>119.76523083283783</c:v>
                </c:pt>
                <c:pt idx="3">
                  <c:v>125.04220956754227</c:v>
                </c:pt>
                <c:pt idx="4">
                  <c:v>164.68823443811627</c:v>
                </c:pt>
                <c:pt idx="5">
                  <c:v>187.02338309394275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4590376"/>
        <c:axId val="224590768"/>
        <c:axId val="0"/>
      </c:bar3DChart>
      <c:catAx>
        <c:axId val="224590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PE" sz="800"/>
            </a:pPr>
            <a:endParaRPr lang="es-PE"/>
          </a:p>
        </c:txPr>
        <c:crossAx val="224590768"/>
        <c:crosses val="autoZero"/>
        <c:auto val="1"/>
        <c:lblAlgn val="ctr"/>
        <c:lblOffset val="100"/>
        <c:noMultiLvlLbl val="0"/>
      </c:catAx>
      <c:valAx>
        <c:axId val="224590768"/>
        <c:scaling>
          <c:orientation val="minMax"/>
        </c:scaling>
        <c:delete val="0"/>
        <c:axPos val="b"/>
        <c:majorGridlines/>
        <c:numFmt formatCode="0.0_)" sourceLinked="1"/>
        <c:majorTickMark val="out"/>
        <c:minorTickMark val="none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224590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658508311461088"/>
          <c:y val="0.16601851851851848"/>
          <c:w val="0.22349650043744537"/>
          <c:h val="8.1869429145991657E-2"/>
        </c:manualLayout>
      </c:layout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/>
              <a:t>LA</a:t>
            </a:r>
            <a:r>
              <a:rPr lang="es-PE" sz="1200" baseline="0"/>
              <a:t> LIBERTAD: PRODUCCIÓN DE AZÚCAR COMERCIAL (t)-2020-2019</a:t>
            </a:r>
          </a:p>
          <a:p>
            <a:pPr>
              <a:defRPr sz="1200"/>
            </a:pPr>
            <a:endParaRPr lang="es-PE" sz="12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517105426199407"/>
          <c:y val="0.18524563290261328"/>
          <c:w val="0.80548702871368549"/>
          <c:h val="0.723005780763334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ANALISIS!$W$7</c:f>
              <c:strCache>
                <c:ptCount val="1"/>
                <c:pt idx="0">
                  <c:v>2020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ANALISIS!$Q$8:$Q$19</c:f>
              <c:numCache>
                <c:formatCode>0_)</c:formatCode>
                <c:ptCount val="6"/>
                <c:pt idx="0">
                  <c:v>45985.904999999999</c:v>
                </c:pt>
                <c:pt idx="1">
                  <c:v>35318.822</c:v>
                </c:pt>
                <c:pt idx="2">
                  <c:v>31160.21</c:v>
                </c:pt>
                <c:pt idx="3">
                  <c:v>32883.478000000003</c:v>
                </c:pt>
                <c:pt idx="4">
                  <c:v>49002.695</c:v>
                </c:pt>
                <c:pt idx="5">
                  <c:v>52856.543000000005</c:v>
                </c:pt>
              </c:numCache>
            </c:numRef>
          </c:val>
        </c:ser>
        <c:ser>
          <c:idx val="1"/>
          <c:order val="1"/>
          <c:tx>
            <c:strRef>
              <c:f>ANALISIS!$X$7</c:f>
              <c:strCache>
                <c:ptCount val="1"/>
                <c:pt idx="0">
                  <c:v>2019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ANALISIS!$R$8:$R$19</c:f>
              <c:numCache>
                <c:formatCode>0_)</c:formatCode>
                <c:ptCount val="6"/>
                <c:pt idx="0">
                  <c:v>48497.126000000004</c:v>
                </c:pt>
                <c:pt idx="1">
                  <c:v>45321.375</c:v>
                </c:pt>
                <c:pt idx="2">
                  <c:v>54425.343000000008</c:v>
                </c:pt>
                <c:pt idx="3">
                  <c:v>37527.648000000001</c:v>
                </c:pt>
                <c:pt idx="4">
                  <c:v>36600.205000000002</c:v>
                </c:pt>
                <c:pt idx="5">
                  <c:v>33992.18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205760"/>
        <c:axId val="284204192"/>
        <c:axId val="0"/>
      </c:bar3DChart>
      <c:catAx>
        <c:axId val="28420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284204192"/>
        <c:crosses val="autoZero"/>
        <c:auto val="1"/>
        <c:lblAlgn val="ctr"/>
        <c:lblOffset val="100"/>
        <c:noMultiLvlLbl val="0"/>
      </c:catAx>
      <c:valAx>
        <c:axId val="284204192"/>
        <c:scaling>
          <c:orientation val="minMax"/>
        </c:scaling>
        <c:delete val="0"/>
        <c:axPos val="l"/>
        <c:majorGridlines/>
        <c:numFmt formatCode="0_)" sourceLinked="1"/>
        <c:majorTickMark val="out"/>
        <c:minorTickMark val="none"/>
        <c:tickLblPos val="nextTo"/>
        <c:crossAx val="2842057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PE" sz="1100"/>
              <a:t>LA</a:t>
            </a:r>
            <a:r>
              <a:rPr lang="es-PE" sz="1100" baseline="0"/>
              <a:t> LIBERTAD: ÍNDICE PROMEDIO DE AZÚCAR/TONELADA DE CAÑA MOLIDA-2020-2019 (%)</a:t>
            </a:r>
            <a:endParaRPr lang="es-PE" sz="11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81755329365"/>
          <c:y val="0.2401072206399732"/>
          <c:w val="0.82438730981798003"/>
          <c:h val="0.599120906043230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ANALISIS!$Z$7</c:f>
              <c:strCache>
                <c:ptCount val="1"/>
                <c:pt idx="0">
                  <c:v>2020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ANALISIS!$Z$8:$Z$19</c:f>
              <c:numCache>
                <c:formatCode>0.00_)</c:formatCode>
                <c:ptCount val="6"/>
                <c:pt idx="0">
                  <c:v>10.954645776582984</c:v>
                </c:pt>
                <c:pt idx="1">
                  <c:v>7.5024009758374701</c:v>
                </c:pt>
                <c:pt idx="2">
                  <c:v>11.651577508076487</c:v>
                </c:pt>
                <c:pt idx="3">
                  <c:v>9.7590270875468743</c:v>
                </c:pt>
                <c:pt idx="4">
                  <c:v>10.828319539155448</c:v>
                </c:pt>
                <c:pt idx="5">
                  <c:v>10.987330303579441</c:v>
                </c:pt>
              </c:numCache>
            </c:numRef>
          </c:val>
        </c:ser>
        <c:ser>
          <c:idx val="1"/>
          <c:order val="1"/>
          <c:tx>
            <c:strRef>
              <c:f>ANALISIS!$AA$7</c:f>
              <c:strCache>
                <c:ptCount val="1"/>
                <c:pt idx="0">
                  <c:v>2019 </c:v>
                </c:pt>
              </c:strCache>
            </c:strRef>
          </c:tx>
          <c:invertIfNegative val="0"/>
          <c:cat>
            <c:strRef>
              <c:f>ANALISIS!$A$8:$A$19</c:f>
              <c:strCache>
                <c:ptCount val="6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</c:strCache>
            </c:strRef>
          </c:cat>
          <c:val>
            <c:numRef>
              <c:f>ANALISIS!$AA$8:$AA$19</c:f>
              <c:numCache>
                <c:formatCode>0.00_)</c:formatCode>
                <c:ptCount val="6"/>
                <c:pt idx="0">
                  <c:v>10.607692769713729</c:v>
                </c:pt>
                <c:pt idx="1">
                  <c:v>10.399502147888668</c:v>
                </c:pt>
                <c:pt idx="2">
                  <c:v>10.555261987195127</c:v>
                </c:pt>
                <c:pt idx="3">
                  <c:v>11.333317242819408</c:v>
                </c:pt>
                <c:pt idx="4">
                  <c:v>11.151834953474623</c:v>
                </c:pt>
                <c:pt idx="5">
                  <c:v>11.405008475300365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207328"/>
        <c:axId val="284205368"/>
        <c:axId val="0"/>
      </c:bar3DChart>
      <c:catAx>
        <c:axId val="28420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PE"/>
          </a:p>
        </c:txPr>
        <c:crossAx val="284205368"/>
        <c:crosses val="autoZero"/>
        <c:auto val="1"/>
        <c:lblAlgn val="ctr"/>
        <c:lblOffset val="100"/>
        <c:noMultiLvlLbl val="0"/>
      </c:catAx>
      <c:valAx>
        <c:axId val="284205368"/>
        <c:scaling>
          <c:orientation val="minMax"/>
        </c:scaling>
        <c:delete val="0"/>
        <c:axPos val="l"/>
        <c:majorGridlines/>
        <c:numFmt formatCode="0.00_)" sourceLinked="1"/>
        <c:majorTickMark val="out"/>
        <c:minorTickMark val="none"/>
        <c:tickLblPos val="nextTo"/>
        <c:crossAx val="284207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388424770074474"/>
          <c:y val="0.22553191489361701"/>
          <c:w val="0.27255670785054309"/>
          <c:h val="8.27403952680245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/>
              <a:t>LA LIBERTAD: PRODUCCIÓN MENSUAL DE DE BAGAZO (t)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714398917769111E-2"/>
          <c:y val="4.8287037037037038E-2"/>
          <c:w val="0.91422885431165335"/>
          <c:h val="0.84026210265383494"/>
        </c:manualLayout>
      </c:layout>
      <c:line3DChart>
        <c:grouping val="standard"/>
        <c:varyColors val="0"/>
        <c:ser>
          <c:idx val="0"/>
          <c:order val="0"/>
          <c:tx>
            <c:strRef>
              <c:f>[1]Hoja1!$C$39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[1]Hoja1!$D$38:$O$38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[1]Hoja1!$D$39:$O$39</c:f>
              <c:numCache>
                <c:formatCode>General</c:formatCode>
                <c:ptCount val="12"/>
                <c:pt idx="0">
                  <c:v>135650.459</c:v>
                </c:pt>
                <c:pt idx="1">
                  <c:v>149915.91499999998</c:v>
                </c:pt>
                <c:pt idx="2">
                  <c:v>158491.261</c:v>
                </c:pt>
                <c:pt idx="3">
                  <c:v>161336.54800000001</c:v>
                </c:pt>
                <c:pt idx="4">
                  <c:v>139782.603</c:v>
                </c:pt>
                <c:pt idx="5">
                  <c:v>96168.063999999998</c:v>
                </c:pt>
                <c:pt idx="6">
                  <c:v>87055.758000000002</c:v>
                </c:pt>
                <c:pt idx="7">
                  <c:v>173354.152</c:v>
                </c:pt>
                <c:pt idx="8">
                  <c:v>168183.71900000001</c:v>
                </c:pt>
                <c:pt idx="9">
                  <c:v>169245.829</c:v>
                </c:pt>
                <c:pt idx="10">
                  <c:v>164638.035</c:v>
                </c:pt>
                <c:pt idx="11">
                  <c:v>162043.758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[1]Hoja1!$C$40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[1]Hoja1!$D$38:$O$38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[1]Hoja1!$D$40:$O$40</c:f>
              <c:numCache>
                <c:formatCode>General</c:formatCode>
                <c:ptCount val="12"/>
                <c:pt idx="0">
                  <c:v>138441.27799999999</c:v>
                </c:pt>
                <c:pt idx="1">
                  <c:v>155641.23800000001</c:v>
                </c:pt>
                <c:pt idx="2">
                  <c:v>162855.36599999998</c:v>
                </c:pt>
                <c:pt idx="3">
                  <c:v>127697.95600000001</c:v>
                </c:pt>
                <c:pt idx="4">
                  <c:v>97390.749000000011</c:v>
                </c:pt>
                <c:pt idx="5">
                  <c:v>108733.68700000001</c:v>
                </c:pt>
                <c:pt idx="6">
                  <c:v>96406.351999999999</c:v>
                </c:pt>
                <c:pt idx="7">
                  <c:v>157721.51300000001</c:v>
                </c:pt>
                <c:pt idx="8">
                  <c:v>134796.11600000001</c:v>
                </c:pt>
                <c:pt idx="9">
                  <c:v>159947.285</c:v>
                </c:pt>
                <c:pt idx="10">
                  <c:v>150403.95000000001</c:v>
                </c:pt>
                <c:pt idx="11">
                  <c:v>155484.97100000002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74024"/>
        <c:axId val="106175200"/>
        <c:axId val="230309016"/>
      </c:line3DChart>
      <c:catAx>
        <c:axId val="10617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6175200"/>
        <c:crosses val="autoZero"/>
        <c:auto val="1"/>
        <c:lblAlgn val="ctr"/>
        <c:lblOffset val="100"/>
        <c:noMultiLvlLbl val="0"/>
      </c:catAx>
      <c:valAx>
        <c:axId val="106175200"/>
        <c:scaling>
          <c:orientation val="minMax"/>
          <c:min val="40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174024"/>
        <c:crosses val="autoZero"/>
        <c:crossBetween val="between"/>
      </c:valAx>
      <c:serAx>
        <c:axId val="230309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061752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624490904154226"/>
          <c:y val="0.10242994689931112"/>
          <c:w val="0.17196045896561779"/>
          <c:h val="5.9011800902779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LA LIBERTAD: PRODUCCIÓN MENSUAL DE ALCOHOL (l)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641615050175758E-2"/>
          <c:y val="8.3464469569725946E-2"/>
          <c:w val="0.88809925647594568"/>
          <c:h val="0.768563721820428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[1]Hoja1!$C$70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[1]Hoja1!$D$69:$O$69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[1]Hoja1!$D$70:$O$70</c:f>
              <c:numCache>
                <c:formatCode>General</c:formatCode>
                <c:ptCount val="12"/>
                <c:pt idx="0">
                  <c:v>4824314</c:v>
                </c:pt>
                <c:pt idx="1">
                  <c:v>5404903</c:v>
                </c:pt>
                <c:pt idx="2">
                  <c:v>6858208</c:v>
                </c:pt>
                <c:pt idx="3">
                  <c:v>5399690</c:v>
                </c:pt>
                <c:pt idx="4">
                  <c:v>5597692</c:v>
                </c:pt>
                <c:pt idx="5">
                  <c:v>2581154</c:v>
                </c:pt>
                <c:pt idx="6">
                  <c:v>3616170</c:v>
                </c:pt>
                <c:pt idx="7">
                  <c:v>5797763</c:v>
                </c:pt>
                <c:pt idx="8">
                  <c:v>5508731</c:v>
                </c:pt>
                <c:pt idx="9">
                  <c:v>6989811</c:v>
                </c:pt>
                <c:pt idx="10">
                  <c:v>5917119</c:v>
                </c:pt>
                <c:pt idx="11">
                  <c:v>6060470</c:v>
                </c:pt>
              </c:numCache>
            </c:numRef>
          </c:val>
        </c:ser>
        <c:ser>
          <c:idx val="1"/>
          <c:order val="1"/>
          <c:tx>
            <c:strRef>
              <c:f>[1]Hoja1!$C$71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[1]Hoja1!$D$69:$O$69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[1]Hoja1!$D$71:$O$71</c:f>
              <c:numCache>
                <c:formatCode>General</c:formatCode>
                <c:ptCount val="12"/>
                <c:pt idx="0">
                  <c:v>4528954</c:v>
                </c:pt>
                <c:pt idx="1">
                  <c:v>5316807</c:v>
                </c:pt>
                <c:pt idx="2">
                  <c:v>5597163</c:v>
                </c:pt>
                <c:pt idx="3">
                  <c:v>4077478</c:v>
                </c:pt>
                <c:pt idx="4">
                  <c:v>2395803</c:v>
                </c:pt>
                <c:pt idx="5">
                  <c:v>5046605</c:v>
                </c:pt>
                <c:pt idx="6">
                  <c:v>2853412</c:v>
                </c:pt>
                <c:pt idx="7">
                  <c:v>5367241</c:v>
                </c:pt>
                <c:pt idx="8">
                  <c:v>4781305</c:v>
                </c:pt>
                <c:pt idx="9">
                  <c:v>4984210</c:v>
                </c:pt>
                <c:pt idx="10">
                  <c:v>5303823</c:v>
                </c:pt>
                <c:pt idx="11">
                  <c:v>5172361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5783704"/>
        <c:axId val="285785272"/>
        <c:axId val="0"/>
      </c:bar3DChart>
      <c:catAx>
        <c:axId val="28578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85785272"/>
        <c:crosses val="autoZero"/>
        <c:auto val="1"/>
        <c:lblAlgn val="ctr"/>
        <c:lblOffset val="100"/>
        <c:noMultiLvlLbl val="0"/>
      </c:catAx>
      <c:valAx>
        <c:axId val="285785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8578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468924785761678"/>
          <c:y val="9.256191918284247E-2"/>
          <c:w val="0.13019136063088874"/>
          <c:h val="6.3655841021839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LA LIBERTAD: PRODUCCIÓN MENSUAL DE MELAZA (t) 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520381243831535E-2"/>
          <c:y val="8.911564003782553E-2"/>
          <c:w val="0.8968282726703779"/>
          <c:h val="0.75227076880706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[1]Hoja1!$C$100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[1]Hoja1!$D$99:$O$99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[1]Hoja1!$D$100:$O$100</c:f>
              <c:numCache>
                <c:formatCode>General</c:formatCode>
                <c:ptCount val="12"/>
                <c:pt idx="0">
                  <c:v>12278.989</c:v>
                </c:pt>
                <c:pt idx="1">
                  <c:v>14743.229000000001</c:v>
                </c:pt>
                <c:pt idx="2">
                  <c:v>15977.574000000001</c:v>
                </c:pt>
                <c:pt idx="3">
                  <c:v>16248.327000000001</c:v>
                </c:pt>
                <c:pt idx="4">
                  <c:v>17218.800999999999</c:v>
                </c:pt>
                <c:pt idx="5">
                  <c:v>12507.268</c:v>
                </c:pt>
                <c:pt idx="6">
                  <c:v>11881.628999999999</c:v>
                </c:pt>
                <c:pt idx="7">
                  <c:v>21232.13</c:v>
                </c:pt>
                <c:pt idx="8">
                  <c:v>20776.781000000003</c:v>
                </c:pt>
                <c:pt idx="9">
                  <c:v>21845.203000000001</c:v>
                </c:pt>
                <c:pt idx="10">
                  <c:v>22144.826999999997</c:v>
                </c:pt>
                <c:pt idx="11">
                  <c:v>22757.388999999999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25336"/>
        <c:axId val="226124944"/>
      </c:barChart>
      <c:lineChart>
        <c:grouping val="standard"/>
        <c:varyColors val="0"/>
        <c:ser>
          <c:idx val="1"/>
          <c:order val="1"/>
          <c:tx>
            <c:strRef>
              <c:f>[1]Hoja1!$C$101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[1]Hoja1!$D$99:$O$99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[1]Hoja1!$D$101:$O$101</c:f>
              <c:numCache>
                <c:formatCode>General</c:formatCode>
                <c:ptCount val="12"/>
                <c:pt idx="0">
                  <c:v>18474.695000000003</c:v>
                </c:pt>
                <c:pt idx="1">
                  <c:v>22393.298000000003</c:v>
                </c:pt>
                <c:pt idx="2">
                  <c:v>23810.270097892302</c:v>
                </c:pt>
                <c:pt idx="3">
                  <c:v>22208.486999999997</c:v>
                </c:pt>
                <c:pt idx="4">
                  <c:v>14931.367</c:v>
                </c:pt>
                <c:pt idx="5">
                  <c:v>16406.942999999999</c:v>
                </c:pt>
                <c:pt idx="6">
                  <c:v>13206.143</c:v>
                </c:pt>
                <c:pt idx="7">
                  <c:v>22466.645</c:v>
                </c:pt>
                <c:pt idx="8">
                  <c:v>19558.310000000001</c:v>
                </c:pt>
                <c:pt idx="9">
                  <c:v>22872.514999999999</c:v>
                </c:pt>
                <c:pt idx="10">
                  <c:v>21297.567999999999</c:v>
                </c:pt>
                <c:pt idx="11">
                  <c:v>22907.280999999999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25336"/>
        <c:axId val="226124944"/>
      </c:lineChart>
      <c:catAx>
        <c:axId val="22612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6124944"/>
        <c:crosses val="autoZero"/>
        <c:auto val="1"/>
        <c:lblAlgn val="ctr"/>
        <c:lblOffset val="100"/>
        <c:noMultiLvlLbl val="0"/>
      </c:catAx>
      <c:valAx>
        <c:axId val="226124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26125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84102139198171"/>
          <c:y val="0.1294227949363711"/>
          <c:w val="0.16031783269491354"/>
          <c:h val="5.7640358417309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508634</xdr:colOff>
      <xdr:row>27</xdr:row>
      <xdr:rowOff>85725</xdr:rowOff>
    </xdr:from>
    <xdr:to>
      <xdr:col>8</xdr:col>
      <xdr:colOff>91439</xdr:colOff>
      <xdr:row>45</xdr:row>
      <xdr:rowOff>42862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27</xdr:row>
      <xdr:rowOff>119061</xdr:rowOff>
    </xdr:from>
    <xdr:to>
      <xdr:col>14</xdr:col>
      <xdr:colOff>352425</xdr:colOff>
      <xdr:row>45</xdr:row>
      <xdr:rowOff>47624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160020</xdr:colOff>
      <xdr:row>27</xdr:row>
      <xdr:rowOff>152400</xdr:rowOff>
    </xdr:from>
    <xdr:to>
      <xdr:col>21</xdr:col>
      <xdr:colOff>379095</xdr:colOff>
      <xdr:row>45</xdr:row>
      <xdr:rowOff>91440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495300</xdr:colOff>
      <xdr:row>46</xdr:row>
      <xdr:rowOff>19050</xdr:rowOff>
    </xdr:from>
    <xdr:to>
      <xdr:col>8</xdr:col>
      <xdr:colOff>45720</xdr:colOff>
      <xdr:row>63</xdr:row>
      <xdr:rowOff>41910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409575</xdr:colOff>
      <xdr:row>46</xdr:row>
      <xdr:rowOff>62865</xdr:rowOff>
    </xdr:from>
    <xdr:to>
      <xdr:col>15</xdr:col>
      <xdr:colOff>142875</xdr:colOff>
      <xdr:row>63</xdr:row>
      <xdr:rowOff>85725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43</xdr:row>
      <xdr:rowOff>57150</xdr:rowOff>
    </xdr:from>
    <xdr:to>
      <xdr:col>13</xdr:col>
      <xdr:colOff>99219</xdr:colOff>
      <xdr:row>66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244077</xdr:colOff>
      <xdr:row>72</xdr:row>
      <xdr:rowOff>9923</xdr:rowOff>
    </xdr:from>
    <xdr:to>
      <xdr:col>13</xdr:col>
      <xdr:colOff>158750</xdr:colOff>
      <xdr:row>96</xdr:row>
      <xdr:rowOff>49609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363141</xdr:colOff>
      <xdr:row>103</xdr:row>
      <xdr:rowOff>12501</xdr:rowOff>
    </xdr:from>
    <xdr:to>
      <xdr:col>13</xdr:col>
      <xdr:colOff>257969</xdr:colOff>
      <xdr:row>126</xdr:row>
      <xdr:rowOff>79375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ROINDUSTRIA\2015\azucar\BASE_AZUCAR%20LA%20LIBERTAD%202014_2015_B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a Grande14"/>
      <sheetName val="Cartavio14"/>
      <sheetName val="Hoja1"/>
      <sheetName val="Hoja2"/>
      <sheetName val="Laredo14"/>
      <sheetName val="Libertad14"/>
      <sheetName val="Ajustes Casa Grande-Cartavio"/>
    </sheetNames>
    <sheetDataSet>
      <sheetData sheetId="0"/>
      <sheetData sheetId="1"/>
      <sheetData sheetId="2">
        <row r="38">
          <cell r="D38" t="str">
            <v>ENE</v>
          </cell>
          <cell r="E38" t="str">
            <v>FEB</v>
          </cell>
          <cell r="F38" t="str">
            <v>MAR</v>
          </cell>
          <cell r="G38" t="str">
            <v>ABR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AGO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DIC</v>
          </cell>
        </row>
        <row r="39">
          <cell r="C39">
            <v>2014</v>
          </cell>
          <cell r="D39">
            <v>135650.459</v>
          </cell>
          <cell r="E39">
            <v>149915.91499999998</v>
          </cell>
          <cell r="F39">
            <v>158491.261</v>
          </cell>
          <cell r="G39">
            <v>161336.54800000001</v>
          </cell>
          <cell r="H39">
            <v>139782.603</v>
          </cell>
          <cell r="I39">
            <v>96168.063999999998</v>
          </cell>
          <cell r="J39">
            <v>87055.758000000002</v>
          </cell>
          <cell r="K39">
            <v>173354.152</v>
          </cell>
          <cell r="L39">
            <v>168183.71900000001</v>
          </cell>
          <cell r="M39">
            <v>169245.829</v>
          </cell>
          <cell r="N39">
            <v>164638.035</v>
          </cell>
          <cell r="O39">
            <v>162043.758</v>
          </cell>
        </row>
        <row r="40">
          <cell r="C40">
            <v>2015</v>
          </cell>
          <cell r="D40">
            <v>138441.27799999999</v>
          </cell>
          <cell r="E40">
            <v>155641.23800000001</v>
          </cell>
          <cell r="F40">
            <v>162855.36599999998</v>
          </cell>
          <cell r="G40">
            <v>127697.95600000001</v>
          </cell>
          <cell r="H40">
            <v>97390.749000000011</v>
          </cell>
          <cell r="I40">
            <v>108733.68700000001</v>
          </cell>
          <cell r="J40">
            <v>96406.351999999999</v>
          </cell>
          <cell r="K40">
            <v>157721.51300000001</v>
          </cell>
          <cell r="L40">
            <v>134796.11600000001</v>
          </cell>
          <cell r="M40">
            <v>159947.285</v>
          </cell>
          <cell r="N40">
            <v>150403.95000000001</v>
          </cell>
          <cell r="O40">
            <v>155484.97100000002</v>
          </cell>
        </row>
        <row r="69">
          <cell r="D69" t="str">
            <v>ENE</v>
          </cell>
          <cell r="E69" t="str">
            <v>FEB</v>
          </cell>
          <cell r="F69" t="str">
            <v>MAR</v>
          </cell>
          <cell r="G69" t="str">
            <v>ABR</v>
          </cell>
          <cell r="H69" t="str">
            <v>MAY</v>
          </cell>
          <cell r="I69" t="str">
            <v>JUN</v>
          </cell>
          <cell r="J69" t="str">
            <v>JUL</v>
          </cell>
          <cell r="K69" t="str">
            <v>AGO</v>
          </cell>
          <cell r="L69" t="str">
            <v>SEP</v>
          </cell>
          <cell r="M69" t="str">
            <v>OCT</v>
          </cell>
          <cell r="N69" t="str">
            <v>NOV</v>
          </cell>
          <cell r="O69" t="str">
            <v>DIC</v>
          </cell>
        </row>
        <row r="70">
          <cell r="C70">
            <v>2014</v>
          </cell>
          <cell r="D70">
            <v>4824314</v>
          </cell>
          <cell r="E70">
            <v>5404903</v>
          </cell>
          <cell r="F70">
            <v>6858208</v>
          </cell>
          <cell r="G70">
            <v>5399690</v>
          </cell>
          <cell r="H70">
            <v>5597692</v>
          </cell>
          <cell r="I70">
            <v>2581154</v>
          </cell>
          <cell r="J70">
            <v>3616170</v>
          </cell>
          <cell r="K70">
            <v>5797763</v>
          </cell>
          <cell r="L70">
            <v>5508731</v>
          </cell>
          <cell r="M70">
            <v>6989811</v>
          </cell>
          <cell r="N70">
            <v>5917119</v>
          </cell>
          <cell r="O70">
            <v>6060470</v>
          </cell>
        </row>
        <row r="71">
          <cell r="C71">
            <v>2015</v>
          </cell>
          <cell r="D71">
            <v>4528954</v>
          </cell>
          <cell r="E71">
            <v>5316807</v>
          </cell>
          <cell r="F71">
            <v>5597163</v>
          </cell>
          <cell r="G71">
            <v>4077478</v>
          </cell>
          <cell r="H71">
            <v>2395803</v>
          </cell>
          <cell r="I71">
            <v>5046605</v>
          </cell>
          <cell r="J71">
            <v>2853412</v>
          </cell>
          <cell r="K71">
            <v>5367241</v>
          </cell>
          <cell r="L71">
            <v>4781305</v>
          </cell>
          <cell r="M71">
            <v>4984210</v>
          </cell>
          <cell r="N71">
            <v>5303823</v>
          </cell>
          <cell r="O71">
            <v>5172361</v>
          </cell>
        </row>
        <row r="99">
          <cell r="D99" t="str">
            <v>ENE</v>
          </cell>
          <cell r="E99" t="str">
            <v>FEB</v>
          </cell>
          <cell r="F99" t="str">
            <v>MAR</v>
          </cell>
          <cell r="G99" t="str">
            <v>ABR</v>
          </cell>
          <cell r="H99" t="str">
            <v>MAY</v>
          </cell>
          <cell r="I99" t="str">
            <v>JUN</v>
          </cell>
          <cell r="J99" t="str">
            <v>JUL</v>
          </cell>
          <cell r="K99" t="str">
            <v>AGO</v>
          </cell>
          <cell r="L99" t="str">
            <v>SEP</v>
          </cell>
          <cell r="M99" t="str">
            <v>OCT</v>
          </cell>
          <cell r="N99" t="str">
            <v>NOV</v>
          </cell>
          <cell r="O99" t="str">
            <v>DIC</v>
          </cell>
        </row>
        <row r="100">
          <cell r="C100">
            <v>2014</v>
          </cell>
          <cell r="D100">
            <v>12278.989</v>
          </cell>
          <cell r="E100">
            <v>14743.229000000001</v>
          </cell>
          <cell r="F100">
            <v>15977.574000000001</v>
          </cell>
          <cell r="G100">
            <v>16248.327000000001</v>
          </cell>
          <cell r="H100">
            <v>17218.800999999999</v>
          </cell>
          <cell r="I100">
            <v>12507.268</v>
          </cell>
          <cell r="J100">
            <v>11881.628999999999</v>
          </cell>
          <cell r="K100">
            <v>21232.13</v>
          </cell>
          <cell r="L100">
            <v>20776.781000000003</v>
          </cell>
          <cell r="M100">
            <v>21845.203000000001</v>
          </cell>
          <cell r="N100">
            <v>22144.826999999997</v>
          </cell>
          <cell r="O100">
            <v>22757.388999999999</v>
          </cell>
        </row>
        <row r="101">
          <cell r="C101">
            <v>2015</v>
          </cell>
          <cell r="D101">
            <v>18474.695000000003</v>
          </cell>
          <cell r="E101">
            <v>22393.298000000003</v>
          </cell>
          <cell r="F101">
            <v>23810.270097892302</v>
          </cell>
          <cell r="G101">
            <v>22208.486999999997</v>
          </cell>
          <cell r="H101">
            <v>14931.367</v>
          </cell>
          <cell r="I101">
            <v>16406.942999999999</v>
          </cell>
          <cell r="J101">
            <v>13206.143</v>
          </cell>
          <cell r="K101">
            <v>22466.645</v>
          </cell>
          <cell r="L101">
            <v>19558.310000000001</v>
          </cell>
          <cell r="M101">
            <v>22872.514999999999</v>
          </cell>
          <cell r="N101">
            <v>21297.567999999999</v>
          </cell>
          <cell r="O101">
            <v>22907.280999999999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Hoja1"/>
  <dimension ref="A1:T69"/>
  <sheetViews>
    <sheetView zoomScale="60" zoomScaleNormal="60" workbookViewId="0">
      <selection activeCell="A49" sqref="A49"/>
    </sheetView>
  </sheetViews>
  <sheetFormatPr baseColWidth="10" defaultColWidth="9.7109375" defaultRowHeight="12.75" x14ac:dyDescent="0.2"/>
  <cols>
    <col min="1" max="1" width="15.85546875" customWidth="1"/>
    <col min="2" max="2" width="15.7109375" customWidth="1"/>
    <col min="3" max="3" width="14.7109375" customWidth="1"/>
    <col min="4" max="4" width="14.42578125" customWidth="1"/>
    <col min="5" max="5" width="17.5703125" customWidth="1"/>
    <col min="6" max="6" width="14.5703125" customWidth="1"/>
    <col min="7" max="7" width="19.5703125" customWidth="1"/>
    <col min="8" max="8" width="16" customWidth="1"/>
    <col min="9" max="9" width="18.42578125" customWidth="1"/>
    <col min="10" max="10" width="12.140625" customWidth="1"/>
    <col min="11" max="11" width="7" customWidth="1"/>
    <col min="12" max="12" width="10.5703125" bestFit="1" customWidth="1"/>
    <col min="13" max="13" width="10.7109375" customWidth="1"/>
    <col min="14" max="14" width="11.7109375" customWidth="1"/>
    <col min="16" max="16" width="13.42578125" customWidth="1"/>
    <col min="17" max="17" width="12" customWidth="1"/>
  </cols>
  <sheetData>
    <row r="1" spans="1:11" ht="26.25" customHeight="1" x14ac:dyDescent="0.3">
      <c r="A1" s="266" t="s">
        <v>24</v>
      </c>
      <c r="B1" s="266"/>
      <c r="C1" s="266"/>
      <c r="D1" s="266"/>
      <c r="E1" s="266"/>
      <c r="F1" s="266"/>
      <c r="G1" s="266"/>
      <c r="H1" s="266"/>
      <c r="I1" s="266"/>
      <c r="J1" s="2"/>
      <c r="K1" s="2"/>
    </row>
    <row r="2" spans="1:11" ht="15" customHeight="1" thickBot="1" x14ac:dyDescent="0.3">
      <c r="A2" s="264" t="s">
        <v>136</v>
      </c>
      <c r="B2" s="265"/>
      <c r="C2" s="265"/>
      <c r="D2" s="265"/>
      <c r="E2" s="265"/>
      <c r="F2" s="265"/>
      <c r="G2" s="265"/>
      <c r="H2" s="265"/>
      <c r="I2" s="265"/>
      <c r="J2" s="2"/>
      <c r="K2" s="2"/>
    </row>
    <row r="3" spans="1:11" ht="11.25" customHeight="1" x14ac:dyDescent="0.2">
      <c r="A3" s="8"/>
      <c r="B3" s="9" t="s">
        <v>1</v>
      </c>
      <c r="C3" s="9" t="s">
        <v>2</v>
      </c>
      <c r="D3" s="9" t="s">
        <v>2</v>
      </c>
      <c r="E3" s="9" t="s">
        <v>3</v>
      </c>
      <c r="F3" s="9" t="s">
        <v>4</v>
      </c>
      <c r="G3" s="9" t="s">
        <v>3</v>
      </c>
      <c r="H3" s="9" t="s">
        <v>4</v>
      </c>
      <c r="I3" s="10" t="s">
        <v>3</v>
      </c>
      <c r="J3" s="2"/>
      <c r="K3" s="2"/>
    </row>
    <row r="4" spans="1:11" ht="11.25" customHeight="1" x14ac:dyDescent="0.2">
      <c r="A4" s="19" t="s">
        <v>0</v>
      </c>
      <c r="B4" s="11" t="s">
        <v>5</v>
      </c>
      <c r="C4" s="11" t="s">
        <v>6</v>
      </c>
      <c r="D4" s="11" t="s">
        <v>7</v>
      </c>
      <c r="E4" s="11" t="s">
        <v>29</v>
      </c>
      <c r="F4" s="11" t="s">
        <v>29</v>
      </c>
      <c r="G4" s="11" t="s">
        <v>30</v>
      </c>
      <c r="H4" s="11" t="s">
        <v>31</v>
      </c>
      <c r="I4" s="12" t="s">
        <v>32</v>
      </c>
      <c r="J4" s="2"/>
      <c r="K4" s="2"/>
    </row>
    <row r="5" spans="1:11" ht="11.25" customHeight="1" thickBot="1" x14ac:dyDescent="0.25">
      <c r="A5" s="14"/>
      <c r="B5" s="15" t="s">
        <v>39</v>
      </c>
      <c r="C5" s="15" t="s">
        <v>39</v>
      </c>
      <c r="D5" s="15" t="s">
        <v>39</v>
      </c>
      <c r="E5" s="15" t="s">
        <v>36</v>
      </c>
      <c r="F5" s="15" t="s">
        <v>38</v>
      </c>
      <c r="G5" s="15" t="s">
        <v>36</v>
      </c>
      <c r="H5" s="15" t="s">
        <v>37</v>
      </c>
      <c r="I5" s="16" t="s">
        <v>36</v>
      </c>
      <c r="J5" s="2"/>
      <c r="K5" s="2"/>
    </row>
    <row r="6" spans="1:11" ht="14.25" customHeight="1" x14ac:dyDescent="0.3">
      <c r="A6" s="85" t="s">
        <v>11</v>
      </c>
      <c r="B6" s="126">
        <v>43192.979999999996</v>
      </c>
      <c r="C6" s="126">
        <v>563.9</v>
      </c>
      <c r="D6" s="126">
        <v>4010.7999999999997</v>
      </c>
      <c r="E6" s="126">
        <v>419784.5</v>
      </c>
      <c r="F6" s="86">
        <v>104.66353345965892</v>
      </c>
      <c r="G6" s="86">
        <v>45985.904999999999</v>
      </c>
      <c r="H6" s="86">
        <v>11465.519347761046</v>
      </c>
      <c r="I6" s="87">
        <v>48178.644023363748</v>
      </c>
      <c r="J6" s="2"/>
      <c r="K6" s="2"/>
    </row>
    <row r="7" spans="1:11" ht="14.25" customHeight="1" x14ac:dyDescent="0.3">
      <c r="A7" s="20" t="s">
        <v>12</v>
      </c>
      <c r="B7" s="127">
        <v>35182.68</v>
      </c>
      <c r="C7" s="127">
        <v>545.02</v>
      </c>
      <c r="D7" s="127">
        <v>2908.29</v>
      </c>
      <c r="E7" s="127">
        <v>328544.09999999998</v>
      </c>
      <c r="F7" s="24">
        <v>112.96813591491907</v>
      </c>
      <c r="G7" s="25"/>
      <c r="H7" s="25"/>
      <c r="I7" s="213"/>
      <c r="J7" s="2"/>
      <c r="K7" s="2"/>
    </row>
    <row r="8" spans="1:11" ht="14.25" customHeight="1" x14ac:dyDescent="0.3">
      <c r="A8" s="20" t="s">
        <v>13</v>
      </c>
      <c r="B8" s="128">
        <v>8010.3</v>
      </c>
      <c r="C8" s="128">
        <v>18.88</v>
      </c>
      <c r="D8" s="128">
        <v>1102.51</v>
      </c>
      <c r="E8" s="128">
        <v>91240.4</v>
      </c>
      <c r="F8" s="24">
        <v>82.75698179608348</v>
      </c>
      <c r="G8" s="25"/>
      <c r="H8" s="212"/>
      <c r="I8" s="213"/>
      <c r="J8" s="2"/>
    </row>
    <row r="9" spans="1:11" ht="14.25" customHeight="1" x14ac:dyDescent="0.3">
      <c r="A9" s="27" t="s">
        <v>25</v>
      </c>
      <c r="B9" s="129">
        <v>42772.5</v>
      </c>
      <c r="C9" s="129">
        <v>461.19000000000005</v>
      </c>
      <c r="D9" s="129">
        <v>3640.08</v>
      </c>
      <c r="E9" s="129">
        <v>470766.92</v>
      </c>
      <c r="F9" s="50">
        <v>129.32872903892223</v>
      </c>
      <c r="G9" s="50">
        <v>35318.822</v>
      </c>
      <c r="H9" s="50">
        <v>9702.7598294542986</v>
      </c>
      <c r="I9" s="214">
        <v>36952.733325466754</v>
      </c>
      <c r="J9" s="2"/>
    </row>
    <row r="10" spans="1:11" ht="14.25" customHeight="1" x14ac:dyDescent="0.3">
      <c r="A10" s="28" t="s">
        <v>12</v>
      </c>
      <c r="B10" s="127">
        <v>34856.33</v>
      </c>
      <c r="C10" s="127">
        <v>441.90000000000003</v>
      </c>
      <c r="D10" s="127">
        <v>2424.69</v>
      </c>
      <c r="E10" s="127">
        <v>341721.93300000002</v>
      </c>
      <c r="F10" s="51">
        <v>140.93427737154028</v>
      </c>
      <c r="G10" s="51"/>
      <c r="H10" s="51"/>
      <c r="I10" s="213"/>
      <c r="J10" s="2"/>
    </row>
    <row r="11" spans="1:11" ht="17.25" customHeight="1" x14ac:dyDescent="0.3">
      <c r="A11" s="28" t="s">
        <v>13</v>
      </c>
      <c r="B11" s="128">
        <v>7916.17</v>
      </c>
      <c r="C11" s="128">
        <v>19.29</v>
      </c>
      <c r="D11" s="128">
        <v>1215.3899999999999</v>
      </c>
      <c r="E11" s="128">
        <v>129044.98699999999</v>
      </c>
      <c r="F11" s="51">
        <v>106.17578472753603</v>
      </c>
      <c r="G11" s="51"/>
      <c r="H11" s="51"/>
      <c r="I11" s="53"/>
      <c r="J11" s="2"/>
    </row>
    <row r="12" spans="1:11" ht="14.25" customHeight="1" x14ac:dyDescent="0.3">
      <c r="A12" s="27" t="s">
        <v>26</v>
      </c>
      <c r="B12" s="129">
        <v>42826.58</v>
      </c>
      <c r="C12" s="129">
        <v>516.89</v>
      </c>
      <c r="D12" s="129">
        <v>2090.25</v>
      </c>
      <c r="E12" s="129">
        <v>267433.40100000001</v>
      </c>
      <c r="F12" s="50">
        <v>127.94326085396484</v>
      </c>
      <c r="G12" s="214">
        <v>31160.21</v>
      </c>
      <c r="H12" s="50">
        <v>14907.408204760197</v>
      </c>
      <c r="I12" s="214">
        <v>13316.110830317812</v>
      </c>
      <c r="J12" s="2"/>
      <c r="K12" s="2"/>
    </row>
    <row r="13" spans="1:11" ht="14.25" customHeight="1" x14ac:dyDescent="0.3">
      <c r="A13" s="28" t="s">
        <v>12</v>
      </c>
      <c r="B13" s="127">
        <v>35047.619999999995</v>
      </c>
      <c r="C13" s="127">
        <v>501.68</v>
      </c>
      <c r="D13" s="128">
        <v>1056.95</v>
      </c>
      <c r="E13" s="128">
        <v>170128.17500000002</v>
      </c>
      <c r="F13" s="51">
        <v>160.96142201617863</v>
      </c>
      <c r="G13" s="51"/>
      <c r="H13" s="51"/>
      <c r="I13" s="53"/>
      <c r="J13" s="2"/>
      <c r="K13" s="2"/>
    </row>
    <row r="14" spans="1:11" ht="24" customHeight="1" x14ac:dyDescent="0.3">
      <c r="A14" s="28" t="s">
        <v>13</v>
      </c>
      <c r="B14" s="128">
        <v>7778.96</v>
      </c>
      <c r="C14" s="128">
        <v>15.21</v>
      </c>
      <c r="D14" s="128">
        <v>1033.3</v>
      </c>
      <c r="E14" s="128">
        <v>97305.225999999995</v>
      </c>
      <c r="F14" s="51">
        <v>94.169385464047224</v>
      </c>
      <c r="G14" s="51"/>
      <c r="H14" s="51"/>
      <c r="I14" s="53"/>
      <c r="J14" s="2"/>
      <c r="K14" s="2"/>
    </row>
    <row r="15" spans="1:11" ht="14.25" customHeight="1" x14ac:dyDescent="0.3">
      <c r="A15" s="27" t="s">
        <v>14</v>
      </c>
      <c r="B15" s="129">
        <v>42597.06</v>
      </c>
      <c r="C15" s="129">
        <v>366.9</v>
      </c>
      <c r="D15" s="129">
        <v>2305.1999999999998</v>
      </c>
      <c r="E15" s="129">
        <v>336954.47</v>
      </c>
      <c r="F15" s="50">
        <v>146.17146885302793</v>
      </c>
      <c r="G15" s="214">
        <v>32883.478000000003</v>
      </c>
      <c r="H15" s="50">
        <v>14264.913239632138</v>
      </c>
      <c r="I15" s="214">
        <v>34409.523406361441</v>
      </c>
      <c r="J15" s="2"/>
      <c r="K15" s="2"/>
    </row>
    <row r="16" spans="1:11" ht="14.25" customHeight="1" x14ac:dyDescent="0.3">
      <c r="A16" s="28" t="s">
        <v>12</v>
      </c>
      <c r="B16" s="127">
        <v>35113.599999999999</v>
      </c>
      <c r="C16" s="127">
        <v>355.26</v>
      </c>
      <c r="D16" s="127">
        <v>1150.04</v>
      </c>
      <c r="E16" s="127">
        <v>262147.58400000003</v>
      </c>
      <c r="F16" s="51">
        <v>227.94649229592017</v>
      </c>
      <c r="G16" s="51"/>
      <c r="H16" s="84"/>
      <c r="I16" s="53"/>
      <c r="J16" s="2"/>
      <c r="K16" s="2"/>
    </row>
    <row r="17" spans="1:11" ht="14.25" customHeight="1" x14ac:dyDescent="0.3">
      <c r="A17" s="28" t="s">
        <v>13</v>
      </c>
      <c r="B17" s="128">
        <v>7483.46</v>
      </c>
      <c r="C17" s="128">
        <v>11.64</v>
      </c>
      <c r="D17" s="128">
        <v>1155.1599999999999</v>
      </c>
      <c r="E17" s="128">
        <v>74806.885999999999</v>
      </c>
      <c r="F17" s="51">
        <v>64.758895737387036</v>
      </c>
      <c r="G17" s="51"/>
      <c r="H17" s="52"/>
      <c r="I17" s="53"/>
      <c r="J17" s="2"/>
      <c r="K17" s="2"/>
    </row>
    <row r="18" spans="1:11" ht="14.25" customHeight="1" x14ac:dyDescent="0.3">
      <c r="A18" s="27" t="s">
        <v>27</v>
      </c>
      <c r="B18" s="129">
        <v>42561.42</v>
      </c>
      <c r="C18" s="129">
        <v>259.20000000000005</v>
      </c>
      <c r="D18" s="129">
        <v>3101.9000000000005</v>
      </c>
      <c r="E18" s="129">
        <v>452542.011</v>
      </c>
      <c r="F18" s="129">
        <v>145.89187626938326</v>
      </c>
      <c r="G18" s="214">
        <v>49002.695</v>
      </c>
      <c r="H18" s="50">
        <v>15797.638544118119</v>
      </c>
      <c r="I18" s="214">
        <v>51300.963666220894</v>
      </c>
      <c r="J18" s="2"/>
      <c r="K18" s="2"/>
    </row>
    <row r="19" spans="1:11" ht="14.25" customHeight="1" x14ac:dyDescent="0.3">
      <c r="A19" s="28" t="s">
        <v>12</v>
      </c>
      <c r="B19" s="127">
        <v>35375.870000000003</v>
      </c>
      <c r="C19" s="127">
        <v>258.26000000000005</v>
      </c>
      <c r="D19" s="127">
        <v>2435.0299999999997</v>
      </c>
      <c r="E19" s="127">
        <v>351422.94499999995</v>
      </c>
      <c r="F19" s="51">
        <v>144.31975992082232</v>
      </c>
      <c r="G19" s="51"/>
      <c r="H19" s="84"/>
      <c r="I19" s="53"/>
      <c r="J19" s="2"/>
      <c r="K19" s="2"/>
    </row>
    <row r="20" spans="1:11" ht="19.5" customHeight="1" x14ac:dyDescent="0.3">
      <c r="A20" s="28" t="s">
        <v>13</v>
      </c>
      <c r="B20" s="128">
        <v>7185.55</v>
      </c>
      <c r="C20" s="128">
        <v>0.94</v>
      </c>
      <c r="D20" s="128">
        <v>666.87000000000012</v>
      </c>
      <c r="E20" s="128">
        <v>101119.06599999999</v>
      </c>
      <c r="F20" s="51">
        <v>151.63235113290443</v>
      </c>
      <c r="G20" s="51"/>
      <c r="H20" s="52"/>
      <c r="I20" s="53"/>
      <c r="J20" s="2"/>
      <c r="K20" s="2"/>
    </row>
    <row r="21" spans="1:11" ht="21.75" customHeight="1" x14ac:dyDescent="0.3">
      <c r="A21" s="27" t="s">
        <v>15</v>
      </c>
      <c r="B21" s="129">
        <v>42542.850000000006</v>
      </c>
      <c r="C21" s="129">
        <v>107.73</v>
      </c>
      <c r="D21" s="129">
        <v>3198.5650000000001</v>
      </c>
      <c r="E21" s="129">
        <v>481068.11700000003</v>
      </c>
      <c r="F21" s="50">
        <v>150.4012321150266</v>
      </c>
      <c r="G21" s="50">
        <v>52856.543000000005</v>
      </c>
      <c r="H21" s="50">
        <v>16525.080153131174</v>
      </c>
      <c r="I21" s="214">
        <v>55339.666559812249</v>
      </c>
      <c r="J21" s="2"/>
      <c r="K21" s="2"/>
    </row>
    <row r="22" spans="1:11" ht="19.5" customHeight="1" x14ac:dyDescent="0.3">
      <c r="A22" s="28" t="s">
        <v>12</v>
      </c>
      <c r="B22" s="127">
        <v>35307.480000000003</v>
      </c>
      <c r="C22" s="127">
        <v>105.24000000000001</v>
      </c>
      <c r="D22" s="128">
        <v>2550.9699999999998</v>
      </c>
      <c r="E22" s="128">
        <v>345505.76799999998</v>
      </c>
      <c r="F22" s="51">
        <v>135.44093736892242</v>
      </c>
      <c r="G22" s="51"/>
      <c r="H22" s="51"/>
      <c r="I22" s="53"/>
      <c r="J22" s="2"/>
      <c r="K22" s="2"/>
    </row>
    <row r="23" spans="1:11" ht="27" customHeight="1" x14ac:dyDescent="0.3">
      <c r="A23" s="28" t="s">
        <v>13</v>
      </c>
      <c r="B23" s="128">
        <v>7235.37</v>
      </c>
      <c r="C23" s="128">
        <v>2.4900000000000002</v>
      </c>
      <c r="D23" s="128">
        <v>647.59500000000003</v>
      </c>
      <c r="E23" s="128">
        <v>135562.34899999999</v>
      </c>
      <c r="F23" s="51">
        <v>209.33198835692059</v>
      </c>
      <c r="G23" s="51"/>
      <c r="H23" s="51"/>
      <c r="I23" s="53"/>
      <c r="J23" s="2"/>
      <c r="K23" s="2"/>
    </row>
    <row r="24" spans="1:11" ht="20.25" hidden="1" customHeight="1" x14ac:dyDescent="0.3">
      <c r="A24" s="27" t="s">
        <v>16</v>
      </c>
      <c r="B24" s="129">
        <v>0</v>
      </c>
      <c r="C24" s="129">
        <v>0</v>
      </c>
      <c r="D24" s="129">
        <v>0</v>
      </c>
      <c r="E24" s="129">
        <v>0</v>
      </c>
      <c r="F24" s="50" t="s">
        <v>138</v>
      </c>
      <c r="G24" s="50">
        <v>0</v>
      </c>
      <c r="H24" s="50" t="s">
        <v>138</v>
      </c>
      <c r="I24" s="214">
        <v>0</v>
      </c>
      <c r="J24" s="2"/>
      <c r="K24" s="2"/>
    </row>
    <row r="25" spans="1:11" ht="18" hidden="1" customHeight="1" x14ac:dyDescent="0.3">
      <c r="A25" s="28" t="s">
        <v>12</v>
      </c>
      <c r="B25" s="127">
        <v>0</v>
      </c>
      <c r="C25" s="127">
        <v>0</v>
      </c>
      <c r="D25" s="128">
        <v>0</v>
      </c>
      <c r="E25" s="128">
        <v>0</v>
      </c>
      <c r="F25" s="51" t="s">
        <v>138</v>
      </c>
      <c r="G25" s="51"/>
      <c r="H25" s="51"/>
      <c r="I25" s="53"/>
      <c r="J25" s="2"/>
      <c r="K25" s="2"/>
    </row>
    <row r="26" spans="1:11" ht="18" hidden="1" customHeight="1" x14ac:dyDescent="0.3">
      <c r="A26" s="28" t="s">
        <v>13</v>
      </c>
      <c r="B26" s="128">
        <v>0</v>
      </c>
      <c r="C26" s="128">
        <v>0</v>
      </c>
      <c r="D26" s="128">
        <v>0</v>
      </c>
      <c r="E26" s="128">
        <v>0</v>
      </c>
      <c r="F26" s="51" t="s">
        <v>138</v>
      </c>
      <c r="G26" s="51"/>
      <c r="H26" s="51"/>
      <c r="I26" s="53"/>
      <c r="J26" s="2"/>
      <c r="K26" s="2"/>
    </row>
    <row r="27" spans="1:11" ht="18" hidden="1" customHeight="1" x14ac:dyDescent="0.3">
      <c r="A27" s="27" t="s">
        <v>17</v>
      </c>
      <c r="B27" s="129">
        <v>0</v>
      </c>
      <c r="C27" s="129">
        <v>0</v>
      </c>
      <c r="D27" s="129">
        <v>0</v>
      </c>
      <c r="E27" s="129">
        <v>0</v>
      </c>
      <c r="F27" s="50" t="s">
        <v>138</v>
      </c>
      <c r="G27" s="50">
        <v>0</v>
      </c>
      <c r="H27" s="50" t="s">
        <v>138</v>
      </c>
      <c r="I27" s="214">
        <v>0</v>
      </c>
      <c r="J27" s="2"/>
      <c r="K27" s="2"/>
    </row>
    <row r="28" spans="1:11" ht="14.25" hidden="1" customHeight="1" x14ac:dyDescent="0.3">
      <c r="A28" s="28" t="s">
        <v>12</v>
      </c>
      <c r="B28" s="127">
        <v>0</v>
      </c>
      <c r="C28" s="127">
        <v>0</v>
      </c>
      <c r="D28" s="128">
        <v>0</v>
      </c>
      <c r="E28" s="128">
        <v>0</v>
      </c>
      <c r="F28" s="51" t="s">
        <v>138</v>
      </c>
      <c r="G28" s="51"/>
      <c r="H28" s="51"/>
      <c r="I28" s="53"/>
      <c r="J28" s="2"/>
      <c r="K28" s="2"/>
    </row>
    <row r="29" spans="1:11" ht="23.25" hidden="1" customHeight="1" x14ac:dyDescent="0.3">
      <c r="A29" s="28" t="s">
        <v>13</v>
      </c>
      <c r="B29" s="128">
        <v>0</v>
      </c>
      <c r="C29" s="128">
        <v>0</v>
      </c>
      <c r="D29" s="128">
        <v>0</v>
      </c>
      <c r="E29" s="128">
        <v>0</v>
      </c>
      <c r="F29" s="51" t="s">
        <v>138</v>
      </c>
      <c r="G29" s="51"/>
      <c r="H29" s="51"/>
      <c r="I29" s="53"/>
      <c r="J29" s="2"/>
      <c r="K29" s="2"/>
    </row>
    <row r="30" spans="1:11" ht="22.5" hidden="1" customHeight="1" x14ac:dyDescent="0.3">
      <c r="A30" s="27" t="s">
        <v>28</v>
      </c>
      <c r="B30" s="129">
        <v>0</v>
      </c>
      <c r="C30" s="129">
        <v>0</v>
      </c>
      <c r="D30" s="129">
        <v>0</v>
      </c>
      <c r="E30" s="129">
        <v>0</v>
      </c>
      <c r="F30" s="50" t="s">
        <v>138</v>
      </c>
      <c r="G30" s="50">
        <v>0</v>
      </c>
      <c r="H30" s="50" t="s">
        <v>138</v>
      </c>
      <c r="I30" s="214">
        <v>0</v>
      </c>
      <c r="J30" s="2"/>
      <c r="K30" s="2"/>
    </row>
    <row r="31" spans="1:11" ht="14.25" hidden="1" customHeight="1" x14ac:dyDescent="0.3">
      <c r="A31" s="28" t="s">
        <v>12</v>
      </c>
      <c r="B31" s="127">
        <v>0</v>
      </c>
      <c r="C31" s="127">
        <v>0</v>
      </c>
      <c r="D31" s="127">
        <v>0</v>
      </c>
      <c r="E31" s="127">
        <v>0</v>
      </c>
      <c r="F31" s="51" t="s">
        <v>138</v>
      </c>
      <c r="G31" s="51"/>
      <c r="H31" s="54"/>
      <c r="I31" s="53"/>
      <c r="J31" s="2"/>
      <c r="K31" s="2"/>
    </row>
    <row r="32" spans="1:11" ht="21.75" hidden="1" customHeight="1" x14ac:dyDescent="0.3">
      <c r="A32" s="28" t="s">
        <v>13</v>
      </c>
      <c r="B32" s="127">
        <v>0</v>
      </c>
      <c r="C32" s="127">
        <v>0</v>
      </c>
      <c r="D32" s="127">
        <v>0</v>
      </c>
      <c r="E32" s="127">
        <v>0</v>
      </c>
      <c r="F32" s="51" t="s">
        <v>138</v>
      </c>
      <c r="G32" s="51"/>
      <c r="H32" s="54"/>
      <c r="I32" s="53"/>
      <c r="J32" s="2"/>
      <c r="K32" s="2"/>
    </row>
    <row r="33" spans="1:20" ht="16.5" hidden="1" x14ac:dyDescent="0.3">
      <c r="A33" s="27" t="s">
        <v>18</v>
      </c>
      <c r="B33" s="129">
        <v>0</v>
      </c>
      <c r="C33" s="129">
        <v>0</v>
      </c>
      <c r="D33" s="129">
        <v>0</v>
      </c>
      <c r="E33" s="129">
        <v>0</v>
      </c>
      <c r="F33" s="50" t="s">
        <v>138</v>
      </c>
      <c r="G33" s="50">
        <v>0</v>
      </c>
      <c r="H33" s="50" t="s">
        <v>138</v>
      </c>
      <c r="I33" s="214">
        <v>0</v>
      </c>
      <c r="J33" s="2"/>
      <c r="K33" s="2"/>
    </row>
    <row r="34" spans="1:20" ht="14.25" hidden="1" customHeight="1" x14ac:dyDescent="0.3">
      <c r="A34" s="28" t="s">
        <v>12</v>
      </c>
      <c r="B34" s="127">
        <v>0</v>
      </c>
      <c r="C34" s="127">
        <v>0</v>
      </c>
      <c r="D34" s="127">
        <v>0</v>
      </c>
      <c r="E34" s="127">
        <v>0</v>
      </c>
      <c r="F34" s="51" t="s">
        <v>138</v>
      </c>
      <c r="G34" s="51"/>
      <c r="H34" s="54"/>
      <c r="I34" s="53"/>
      <c r="J34" s="2"/>
      <c r="K34" s="2"/>
    </row>
    <row r="35" spans="1:20" ht="14.25" hidden="1" customHeight="1" x14ac:dyDescent="0.3">
      <c r="A35" s="28" t="s">
        <v>13</v>
      </c>
      <c r="B35" s="127">
        <v>0</v>
      </c>
      <c r="C35" s="127">
        <v>0</v>
      </c>
      <c r="D35" s="127">
        <v>0</v>
      </c>
      <c r="E35" s="127">
        <v>0</v>
      </c>
      <c r="F35" s="51" t="s">
        <v>138</v>
      </c>
      <c r="G35" s="51"/>
      <c r="H35" s="54"/>
      <c r="I35" s="53"/>
      <c r="J35" s="2"/>
      <c r="K35" s="2"/>
    </row>
    <row r="36" spans="1:20" ht="17.25" hidden="1" customHeight="1" x14ac:dyDescent="0.3">
      <c r="A36" s="27" t="s">
        <v>19</v>
      </c>
      <c r="B36" s="129">
        <v>0</v>
      </c>
      <c r="C36" s="129">
        <v>0</v>
      </c>
      <c r="D36" s="129">
        <v>0</v>
      </c>
      <c r="E36" s="129">
        <v>0</v>
      </c>
      <c r="F36" s="50" t="s">
        <v>138</v>
      </c>
      <c r="G36" s="50">
        <v>0</v>
      </c>
      <c r="H36" s="50" t="s">
        <v>138</v>
      </c>
      <c r="I36" s="214">
        <v>0</v>
      </c>
      <c r="J36" s="2"/>
      <c r="K36" s="97"/>
    </row>
    <row r="37" spans="1:20" ht="15.75" hidden="1" customHeight="1" x14ac:dyDescent="0.3">
      <c r="A37" s="28" t="s">
        <v>12</v>
      </c>
      <c r="B37" s="127">
        <v>0</v>
      </c>
      <c r="C37" s="127">
        <v>0</v>
      </c>
      <c r="D37" s="127">
        <v>0</v>
      </c>
      <c r="E37" s="127">
        <v>0</v>
      </c>
      <c r="F37" s="51" t="s">
        <v>138</v>
      </c>
      <c r="G37" s="51"/>
      <c r="H37" s="54"/>
      <c r="I37" s="53"/>
      <c r="J37" s="2"/>
      <c r="K37" s="2"/>
    </row>
    <row r="38" spans="1:20" ht="15.75" hidden="1" customHeight="1" x14ac:dyDescent="0.3">
      <c r="A38" s="28" t="s">
        <v>13</v>
      </c>
      <c r="B38" s="127">
        <v>0</v>
      </c>
      <c r="C38" s="127">
        <v>0</v>
      </c>
      <c r="D38" s="127">
        <v>0</v>
      </c>
      <c r="E38" s="127">
        <v>0</v>
      </c>
      <c r="F38" s="51" t="s">
        <v>138</v>
      </c>
      <c r="G38" s="51"/>
      <c r="H38" s="54"/>
      <c r="I38" s="53"/>
      <c r="J38" s="2"/>
      <c r="K38" s="2"/>
    </row>
    <row r="39" spans="1:20" ht="17.25" hidden="1" customHeight="1" x14ac:dyDescent="0.3">
      <c r="A39" s="27" t="s">
        <v>20</v>
      </c>
      <c r="B39" s="129">
        <v>0</v>
      </c>
      <c r="C39" s="129">
        <v>0</v>
      </c>
      <c r="D39" s="129">
        <v>0</v>
      </c>
      <c r="E39" s="129">
        <v>0</v>
      </c>
      <c r="F39" s="50" t="s">
        <v>138</v>
      </c>
      <c r="G39" s="50">
        <v>0</v>
      </c>
      <c r="H39" s="50" t="s">
        <v>138</v>
      </c>
      <c r="I39" s="214">
        <v>0</v>
      </c>
      <c r="J39" s="2"/>
      <c r="K39" s="2"/>
    </row>
    <row r="40" spans="1:20" ht="13.5" hidden="1" customHeight="1" x14ac:dyDescent="0.3">
      <c r="A40" s="28" t="s">
        <v>12</v>
      </c>
      <c r="B40" s="127">
        <v>0</v>
      </c>
      <c r="C40" s="127">
        <v>0</v>
      </c>
      <c r="D40" s="127">
        <v>0</v>
      </c>
      <c r="E40" s="127">
        <v>0</v>
      </c>
      <c r="F40" s="51" t="s">
        <v>138</v>
      </c>
      <c r="G40" s="51"/>
      <c r="H40" s="54"/>
      <c r="I40" s="53"/>
      <c r="J40" s="2"/>
      <c r="K40" s="2"/>
    </row>
    <row r="41" spans="1:20" ht="16.5" hidden="1" x14ac:dyDescent="0.3">
      <c r="A41" s="28" t="s">
        <v>13</v>
      </c>
      <c r="B41" s="127">
        <v>0</v>
      </c>
      <c r="C41" s="127">
        <v>0</v>
      </c>
      <c r="D41" s="127">
        <v>0</v>
      </c>
      <c r="E41" s="127">
        <v>0</v>
      </c>
      <c r="F41" s="51" t="s">
        <v>138</v>
      </c>
      <c r="G41" s="51"/>
      <c r="H41" s="54"/>
      <c r="I41" s="53"/>
      <c r="J41" s="2"/>
      <c r="K41" s="2"/>
    </row>
    <row r="42" spans="1:20" ht="16.5" customHeight="1" x14ac:dyDescent="0.3">
      <c r="A42" s="30" t="s">
        <v>21</v>
      </c>
      <c r="B42" s="17">
        <v>42542.850000000006</v>
      </c>
      <c r="C42" s="17">
        <v>2275.81</v>
      </c>
      <c r="D42" s="17">
        <v>18346.794999999998</v>
      </c>
      <c r="E42" s="17">
        <v>2428549.4189999998</v>
      </c>
      <c r="F42" s="17">
        <v>132.36913689829748</v>
      </c>
      <c r="G42" s="17">
        <v>247207.65300000002</v>
      </c>
      <c r="H42" s="17">
        <v>13474.160091721746</v>
      </c>
      <c r="I42" s="31">
        <v>239497.64181154291</v>
      </c>
      <c r="J42" s="2"/>
      <c r="K42" s="2"/>
    </row>
    <row r="43" spans="1:20" ht="14.25" customHeight="1" x14ac:dyDescent="0.3">
      <c r="A43" s="20" t="s">
        <v>22</v>
      </c>
      <c r="B43" s="23">
        <v>35307.480000000003</v>
      </c>
      <c r="C43" s="24">
        <v>2207.3600000000006</v>
      </c>
      <c r="D43" s="24">
        <v>12525.97</v>
      </c>
      <c r="E43" s="24">
        <v>1799470.5050000001</v>
      </c>
      <c r="F43" s="24">
        <v>143.65917409989009</v>
      </c>
      <c r="G43" s="25"/>
      <c r="H43" s="25"/>
      <c r="I43" s="32"/>
      <c r="J43" s="2"/>
      <c r="K43" s="2"/>
    </row>
    <row r="44" spans="1:20" ht="14.25" customHeight="1" thickBot="1" x14ac:dyDescent="0.35">
      <c r="A44" s="88" t="s">
        <v>23</v>
      </c>
      <c r="B44" s="89">
        <v>7235.37</v>
      </c>
      <c r="C44" s="90">
        <v>68.45</v>
      </c>
      <c r="D44" s="90">
        <v>5820.8249999999998</v>
      </c>
      <c r="E44" s="90">
        <v>629078.91399999999</v>
      </c>
      <c r="F44" s="90">
        <v>108.07384073563456</v>
      </c>
      <c r="G44" s="90"/>
      <c r="H44" s="90"/>
      <c r="I44" s="91"/>
      <c r="J44" s="2"/>
      <c r="K44" s="2"/>
    </row>
    <row r="45" spans="1:20" ht="27.75" customHeight="1" x14ac:dyDescent="0.25">
      <c r="A45" s="267">
        <f>+B35</f>
        <v>0</v>
      </c>
      <c r="B45" s="267"/>
      <c r="C45" s="267"/>
      <c r="D45" s="267"/>
      <c r="E45" s="267"/>
      <c r="F45" s="267"/>
      <c r="G45" s="267"/>
      <c r="H45" s="267"/>
      <c r="I45" s="267"/>
      <c r="J45" s="2"/>
      <c r="K45" s="2"/>
    </row>
    <row r="46" spans="1:20" ht="13.5" x14ac:dyDescent="0.25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2"/>
      <c r="K46" s="98"/>
    </row>
    <row r="47" spans="1:20" ht="13.5" customHeight="1" x14ac:dyDescent="0.25">
      <c r="A47" s="7" t="s">
        <v>68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20" ht="33" customHeight="1" x14ac:dyDescent="0.25">
      <c r="A48" s="270"/>
      <c r="B48" s="271"/>
      <c r="C48" s="271"/>
      <c r="D48" s="271"/>
      <c r="E48" s="271"/>
      <c r="F48" s="271"/>
      <c r="G48" s="271"/>
      <c r="H48" s="271"/>
      <c r="I48" s="271"/>
      <c r="J48" s="2"/>
      <c r="K48" s="2"/>
      <c r="L48" s="7"/>
      <c r="M48" s="2"/>
      <c r="N48" s="2"/>
      <c r="O48" s="2"/>
      <c r="P48" s="2"/>
      <c r="Q48" s="2"/>
      <c r="R48" s="2"/>
      <c r="S48" s="2"/>
      <c r="T48" s="2"/>
    </row>
    <row r="49" spans="1:13" ht="13.5" x14ac:dyDescent="0.25">
      <c r="A49" s="125" t="s">
        <v>76</v>
      </c>
      <c r="B49" s="2"/>
      <c r="F49" s="2"/>
      <c r="G49" s="2"/>
      <c r="H49" s="2"/>
      <c r="I49" s="2"/>
      <c r="J49" s="2"/>
      <c r="K49" s="2"/>
    </row>
    <row r="50" spans="1:13" x14ac:dyDescent="0.2">
      <c r="A50" s="5"/>
      <c r="B50" s="2"/>
      <c r="F50" s="2"/>
      <c r="G50" s="2"/>
      <c r="H50" s="2"/>
      <c r="I50" s="2"/>
      <c r="J50" s="2"/>
      <c r="K50" s="2"/>
    </row>
    <row r="51" spans="1:13" x14ac:dyDescent="0.2">
      <c r="A51" s="5"/>
      <c r="C51" s="2"/>
      <c r="D51" s="99">
        <f>+D53+D58</f>
        <v>20799.318991813943</v>
      </c>
      <c r="E51" s="2"/>
      <c r="F51" s="2"/>
      <c r="G51" s="2"/>
      <c r="H51" s="2"/>
      <c r="I51" s="2"/>
      <c r="J51" s="2"/>
      <c r="K51" s="2"/>
    </row>
    <row r="52" spans="1:13" x14ac:dyDescent="0.2">
      <c r="A52" s="5"/>
      <c r="C52" s="5"/>
      <c r="D52" s="100"/>
      <c r="E52" s="2"/>
      <c r="F52" s="2"/>
      <c r="G52" s="2"/>
      <c r="H52" s="2"/>
      <c r="I52" s="2"/>
      <c r="J52" s="2"/>
      <c r="K52" s="2"/>
    </row>
    <row r="53" spans="1:13" x14ac:dyDescent="0.2">
      <c r="A53" s="2"/>
      <c r="B53" s="2"/>
      <c r="C53" s="5"/>
      <c r="D53" s="100">
        <f>+D43/(11*0.054749)</f>
        <v>20799.001725228689</v>
      </c>
      <c r="E53" s="2"/>
      <c r="F53" s="2"/>
      <c r="G53" s="2"/>
      <c r="H53" s="2"/>
      <c r="I53" s="2"/>
      <c r="J53" s="2"/>
      <c r="K53" s="2"/>
    </row>
    <row r="54" spans="1:13" x14ac:dyDescent="0.2">
      <c r="A54" s="2"/>
      <c r="B54" s="2"/>
      <c r="C54" s="5"/>
      <c r="D54" s="2"/>
      <c r="E54" s="2"/>
      <c r="F54" s="2"/>
      <c r="G54" s="2"/>
      <c r="H54" s="2"/>
      <c r="I54" s="2"/>
      <c r="J54" s="2"/>
      <c r="K54" s="2"/>
    </row>
    <row r="55" spans="1:13" ht="30" customHeight="1" thickBot="1" x14ac:dyDescent="0.25">
      <c r="A55" s="2"/>
      <c r="B55" s="2"/>
      <c r="C55" s="268" t="s">
        <v>128</v>
      </c>
      <c r="D55" s="268"/>
      <c r="E55" s="268"/>
      <c r="F55" s="2"/>
      <c r="G55" s="269"/>
      <c r="H55" s="269"/>
      <c r="I55" s="269"/>
      <c r="J55" s="269"/>
      <c r="K55" s="269"/>
      <c r="L55" s="269"/>
      <c r="M55" s="269"/>
    </row>
    <row r="56" spans="1:13" ht="27.75" customHeight="1" x14ac:dyDescent="0.2">
      <c r="A56" s="5"/>
      <c r="B56" s="2"/>
      <c r="C56" s="108"/>
      <c r="D56" s="109" t="s">
        <v>69</v>
      </c>
      <c r="E56" s="110" t="s">
        <v>70</v>
      </c>
      <c r="F56" s="2"/>
      <c r="G56" s="132"/>
      <c r="H56" s="263"/>
      <c r="I56" s="263"/>
      <c r="J56" s="263"/>
      <c r="K56" s="263"/>
      <c r="L56" s="132"/>
      <c r="M56" s="132"/>
    </row>
    <row r="57" spans="1:13" x14ac:dyDescent="0.2">
      <c r="A57" s="2"/>
      <c r="B57" s="2"/>
      <c r="C57" s="111" t="s">
        <v>22</v>
      </c>
      <c r="D57" s="107">
        <f>+D43/D42</f>
        <v>0.68273341474628135</v>
      </c>
      <c r="E57" s="112">
        <f>+E43/E42</f>
        <v>0.74096515842818034</v>
      </c>
      <c r="F57" s="2"/>
      <c r="G57" s="196"/>
      <c r="H57" s="208"/>
      <c r="I57" s="208"/>
      <c r="J57" s="208"/>
      <c r="K57" s="208"/>
      <c r="L57" s="209"/>
      <c r="M57" s="209"/>
    </row>
    <row r="58" spans="1:13" ht="13.5" thickBot="1" x14ac:dyDescent="0.25">
      <c r="A58" s="2"/>
      <c r="B58" s="2"/>
      <c r="C58" s="113" t="s">
        <v>23</v>
      </c>
      <c r="D58" s="114">
        <f>+D44/D42</f>
        <v>0.3172665852537187</v>
      </c>
      <c r="E58" s="115">
        <f>+E44/E42</f>
        <v>0.25903484157181983</v>
      </c>
      <c r="F58" s="2"/>
      <c r="G58" s="195"/>
      <c r="H58" s="210"/>
      <c r="I58" s="210"/>
      <c r="J58" s="196"/>
      <c r="K58" s="196"/>
      <c r="L58" s="211"/>
      <c r="M58" s="211"/>
    </row>
    <row r="59" spans="1:13" ht="13.5" x14ac:dyDescent="0.25">
      <c r="A59" s="2"/>
      <c r="B59" s="2"/>
      <c r="C59" s="4" t="s">
        <v>71</v>
      </c>
      <c r="D59" s="2"/>
      <c r="E59" s="2"/>
      <c r="F59" s="2"/>
      <c r="G59" s="195"/>
      <c r="H59" s="210"/>
      <c r="I59" s="210"/>
      <c r="J59" s="196"/>
      <c r="K59" s="196"/>
      <c r="L59" s="211"/>
      <c r="M59" s="211"/>
    </row>
    <row r="60" spans="1:13" ht="13.5" x14ac:dyDescent="0.25">
      <c r="A60" s="2"/>
      <c r="B60" s="2"/>
      <c r="C60" s="2"/>
      <c r="D60" s="2"/>
      <c r="E60" s="2"/>
      <c r="F60" s="2"/>
      <c r="G60" s="13"/>
      <c r="H60" s="196"/>
      <c r="I60" s="196"/>
      <c r="J60" s="196"/>
      <c r="K60" s="196"/>
      <c r="L60" s="132"/>
      <c r="M60" s="132"/>
    </row>
    <row r="61" spans="1:13" x14ac:dyDescent="0.2">
      <c r="A61" s="5"/>
      <c r="B61" s="2"/>
      <c r="C61" s="2"/>
      <c r="D61" s="2"/>
      <c r="E61" s="2"/>
      <c r="F61" s="2"/>
      <c r="G61" s="196"/>
      <c r="H61" s="196"/>
      <c r="I61" s="196"/>
      <c r="J61" s="196"/>
      <c r="K61" s="196"/>
      <c r="L61" s="132"/>
      <c r="M61" s="132"/>
    </row>
    <row r="62" spans="1:13" x14ac:dyDescent="0.2">
      <c r="A62" s="5"/>
      <c r="B62" s="2"/>
      <c r="C62" s="2"/>
      <c r="D62" s="2"/>
      <c r="E62" s="2"/>
      <c r="F62" s="2"/>
      <c r="G62" s="196"/>
      <c r="H62" s="196"/>
      <c r="I62" s="196"/>
      <c r="J62" s="196"/>
      <c r="K62" s="196"/>
      <c r="L62" s="132"/>
      <c r="M62" s="132"/>
    </row>
    <row r="63" spans="1:13" x14ac:dyDescent="0.2">
      <c r="A63" s="5"/>
      <c r="B63" s="2"/>
      <c r="C63" s="2"/>
      <c r="D63" s="2"/>
      <c r="E63" s="2"/>
      <c r="F63" s="2"/>
      <c r="G63" s="196"/>
      <c r="H63" s="196"/>
      <c r="I63" s="196"/>
      <c r="J63" s="196"/>
      <c r="K63" s="196"/>
      <c r="L63" s="132"/>
      <c r="M63" s="132"/>
    </row>
    <row r="64" spans="1:13" x14ac:dyDescent="0.2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5"/>
      <c r="B65" s="2"/>
      <c r="C65" s="5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5"/>
      <c r="B67" s="2"/>
      <c r="C67" s="5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6"/>
      <c r="C68" s="5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</sheetData>
  <mergeCells count="8">
    <mergeCell ref="H56:I56"/>
    <mergeCell ref="J56:K56"/>
    <mergeCell ref="A2:I2"/>
    <mergeCell ref="A1:I1"/>
    <mergeCell ref="A45:I45"/>
    <mergeCell ref="C55:E55"/>
    <mergeCell ref="G55:M55"/>
    <mergeCell ref="A48:I48"/>
  </mergeCells>
  <phoneticPr fontId="4" type="noConversion"/>
  <printOptions horizontalCentered="1" verticalCentered="1"/>
  <pageMargins left="1.1023622047244095" right="0.51181102362204722" top="0.11811023622047245" bottom="0.15748031496062992" header="0" footer="0"/>
  <pageSetup paperSize="9" scale="90" fitToWidth="0" fitToHeight="0" orientation="landscape" verticalDpi="300" r:id="rId1"/>
  <headerFooter alignWithMargins="0"/>
  <rowBreaks count="1" manualBreakCount="1">
    <brk id="206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A25" zoomScale="70" zoomScaleNormal="70" workbookViewId="0">
      <selection activeCell="F31" sqref="F31"/>
    </sheetView>
  </sheetViews>
  <sheetFormatPr baseColWidth="10" defaultColWidth="9.7109375" defaultRowHeight="12.75" x14ac:dyDescent="0.2"/>
  <cols>
    <col min="1" max="1" width="13.7109375" customWidth="1"/>
    <col min="2" max="2" width="15.7109375" customWidth="1"/>
    <col min="3" max="3" width="14.7109375" customWidth="1"/>
    <col min="4" max="4" width="14.42578125" customWidth="1"/>
    <col min="5" max="5" width="16.7109375" customWidth="1"/>
    <col min="6" max="6" width="14.5703125" customWidth="1"/>
    <col min="7" max="7" width="17.140625" customWidth="1"/>
    <col min="8" max="8" width="16.28515625" customWidth="1"/>
    <col min="9" max="9" width="19.28515625" customWidth="1"/>
    <col min="10" max="10" width="8.7109375" customWidth="1"/>
    <col min="11" max="11" width="8.5703125" hidden="1" customWidth="1"/>
    <col min="12" max="12" width="16.7109375" customWidth="1"/>
    <col min="13" max="13" width="9.7109375" customWidth="1"/>
    <col min="15" max="15" width="11.7109375" customWidth="1"/>
    <col min="17" max="17" width="13.42578125" customWidth="1"/>
    <col min="18" max="18" width="12" customWidth="1"/>
  </cols>
  <sheetData>
    <row r="1" spans="1:12" ht="26.25" customHeight="1" x14ac:dyDescent="0.3">
      <c r="A1" s="266" t="s">
        <v>24</v>
      </c>
      <c r="B1" s="266"/>
      <c r="C1" s="266"/>
      <c r="D1" s="266"/>
      <c r="E1" s="266"/>
      <c r="F1" s="266"/>
      <c r="G1" s="266"/>
      <c r="H1" s="266"/>
      <c r="I1" s="266"/>
      <c r="J1" s="3"/>
      <c r="K1" s="2"/>
      <c r="L1" s="2"/>
    </row>
    <row r="2" spans="1:12" ht="15" customHeight="1" thickBot="1" x14ac:dyDescent="0.3">
      <c r="A2" s="264" t="s">
        <v>132</v>
      </c>
      <c r="B2" s="265"/>
      <c r="C2" s="265"/>
      <c r="D2" s="265"/>
      <c r="E2" s="265"/>
      <c r="F2" s="265"/>
      <c r="G2" s="265"/>
      <c r="H2" s="265"/>
      <c r="I2" s="265"/>
      <c r="J2" s="3"/>
      <c r="K2" s="2"/>
      <c r="L2" s="2"/>
    </row>
    <row r="3" spans="1:12" ht="18" customHeight="1" x14ac:dyDescent="0.25">
      <c r="A3" s="8"/>
      <c r="B3" s="9" t="s">
        <v>1</v>
      </c>
      <c r="C3" s="9" t="s">
        <v>2</v>
      </c>
      <c r="D3" s="9" t="s">
        <v>2</v>
      </c>
      <c r="E3" s="9" t="s">
        <v>3</v>
      </c>
      <c r="F3" s="9" t="s">
        <v>4</v>
      </c>
      <c r="G3" s="9" t="s">
        <v>3</v>
      </c>
      <c r="H3" s="9" t="s">
        <v>4</v>
      </c>
      <c r="I3" s="10" t="s">
        <v>3</v>
      </c>
      <c r="J3" s="3"/>
      <c r="K3" s="2"/>
      <c r="L3" s="2"/>
    </row>
    <row r="4" spans="1:12" ht="20.25" customHeight="1" x14ac:dyDescent="0.25">
      <c r="A4" s="19" t="s">
        <v>0</v>
      </c>
      <c r="B4" s="11" t="s">
        <v>5</v>
      </c>
      <c r="C4" s="11" t="s">
        <v>6</v>
      </c>
      <c r="D4" s="11" t="s">
        <v>7</v>
      </c>
      <c r="E4" s="11" t="s">
        <v>29</v>
      </c>
      <c r="F4" s="11" t="s">
        <v>29</v>
      </c>
      <c r="G4" s="11" t="s">
        <v>30</v>
      </c>
      <c r="H4" s="11" t="s">
        <v>31</v>
      </c>
      <c r="I4" s="12" t="s">
        <v>32</v>
      </c>
      <c r="J4" s="3"/>
      <c r="K4" s="2"/>
      <c r="L4" s="2"/>
    </row>
    <row r="5" spans="1:12" ht="18" customHeight="1" thickBot="1" x14ac:dyDescent="0.3">
      <c r="A5" s="14"/>
      <c r="B5" s="15" t="s">
        <v>39</v>
      </c>
      <c r="C5" s="15" t="s">
        <v>39</v>
      </c>
      <c r="D5" s="15" t="s">
        <v>39</v>
      </c>
      <c r="E5" s="15" t="s">
        <v>36</v>
      </c>
      <c r="F5" s="15" t="s">
        <v>38</v>
      </c>
      <c r="G5" s="15" t="s">
        <v>36</v>
      </c>
      <c r="H5" s="15" t="s">
        <v>37</v>
      </c>
      <c r="I5" s="16" t="s">
        <v>36</v>
      </c>
      <c r="J5" s="3"/>
      <c r="K5" s="2"/>
      <c r="L5" s="2"/>
    </row>
    <row r="6" spans="1:12" ht="14.25" customHeight="1" x14ac:dyDescent="0.25">
      <c r="A6" s="85" t="s">
        <v>11</v>
      </c>
      <c r="B6" s="231">
        <v>42664.83</v>
      </c>
      <c r="C6" s="232">
        <v>417.13</v>
      </c>
      <c r="D6" s="231">
        <v>3337.02</v>
      </c>
      <c r="E6" s="231">
        <v>457188.25999999995</v>
      </c>
      <c r="F6" s="231">
        <v>137.00495052471965</v>
      </c>
      <c r="G6" s="231">
        <v>48497.126000000004</v>
      </c>
      <c r="H6" s="231">
        <v>14533.064230960559</v>
      </c>
      <c r="I6" s="233">
        <v>50805.792244860495</v>
      </c>
      <c r="J6" s="13"/>
      <c r="K6" s="2"/>
      <c r="L6" s="2"/>
    </row>
    <row r="7" spans="1:12" ht="14.25" customHeight="1" x14ac:dyDescent="0.3">
      <c r="A7" s="20" t="s">
        <v>12</v>
      </c>
      <c r="B7" s="234">
        <v>34682.75</v>
      </c>
      <c r="C7" s="235">
        <v>366.03</v>
      </c>
      <c r="D7" s="234">
        <v>2208.38</v>
      </c>
      <c r="E7" s="234">
        <v>352243.56999999995</v>
      </c>
      <c r="F7" s="236">
        <v>159.50315163151265</v>
      </c>
      <c r="G7" s="237"/>
      <c r="H7" s="237"/>
      <c r="I7" s="215"/>
      <c r="J7" s="13"/>
      <c r="K7" s="2"/>
      <c r="L7" s="2"/>
    </row>
    <row r="8" spans="1:12" ht="14.25" customHeight="1" x14ac:dyDescent="0.3">
      <c r="A8" s="20" t="s">
        <v>13</v>
      </c>
      <c r="B8" s="238">
        <v>7982.08</v>
      </c>
      <c r="C8" s="239">
        <v>51.1</v>
      </c>
      <c r="D8" s="238">
        <v>1128.6399999999999</v>
      </c>
      <c r="E8" s="238">
        <v>104944.69</v>
      </c>
      <c r="F8" s="236">
        <v>92.983316203572457</v>
      </c>
      <c r="G8" s="237"/>
      <c r="H8" s="236"/>
      <c r="I8" s="215"/>
      <c r="J8" s="13"/>
      <c r="K8" s="2"/>
    </row>
    <row r="9" spans="1:12" ht="14.25" customHeight="1" x14ac:dyDescent="0.25">
      <c r="A9" s="27" t="s">
        <v>25</v>
      </c>
      <c r="B9" s="240">
        <v>43063.899999999994</v>
      </c>
      <c r="C9" s="241">
        <v>660.27</v>
      </c>
      <c r="D9" s="240">
        <v>3409.14</v>
      </c>
      <c r="E9" s="240">
        <v>435803.31400000001</v>
      </c>
      <c r="F9" s="240">
        <v>127.83379796664262</v>
      </c>
      <c r="G9" s="240">
        <v>45321.375</v>
      </c>
      <c r="H9" s="240">
        <v>13294.078565268661</v>
      </c>
      <c r="I9" s="242">
        <v>47485.887950361859</v>
      </c>
      <c r="J9" s="13"/>
      <c r="K9" s="2"/>
      <c r="L9" s="2"/>
    </row>
    <row r="10" spans="1:12" ht="14.25" customHeight="1" x14ac:dyDescent="0.3">
      <c r="A10" s="28" t="s">
        <v>12</v>
      </c>
      <c r="B10" s="234">
        <v>35055.82</v>
      </c>
      <c r="C10" s="235">
        <v>640.31999999999994</v>
      </c>
      <c r="D10" s="234">
        <v>2063.3000000000002</v>
      </c>
      <c r="E10" s="234">
        <v>330337.663</v>
      </c>
      <c r="F10" s="236">
        <v>160.10161537343089</v>
      </c>
      <c r="G10" s="236"/>
      <c r="H10" s="236"/>
      <c r="I10" s="215"/>
      <c r="J10" s="13"/>
      <c r="K10" s="2"/>
      <c r="L10" s="2"/>
    </row>
    <row r="11" spans="1:12" ht="14.25" customHeight="1" x14ac:dyDescent="0.3">
      <c r="A11" s="28" t="s">
        <v>13</v>
      </c>
      <c r="B11" s="238">
        <v>8008.08</v>
      </c>
      <c r="C11" s="239">
        <v>19.95</v>
      </c>
      <c r="D11" s="238">
        <v>1345.84</v>
      </c>
      <c r="E11" s="238">
        <v>105465.65100000001</v>
      </c>
      <c r="F11" s="236">
        <v>78.364182220769194</v>
      </c>
      <c r="G11" s="236"/>
      <c r="H11" s="236"/>
      <c r="I11" s="215"/>
      <c r="J11" s="13"/>
      <c r="K11" s="2"/>
      <c r="L11" s="2"/>
    </row>
    <row r="12" spans="1:12" ht="14.25" customHeight="1" x14ac:dyDescent="0.25">
      <c r="A12" s="27" t="s">
        <v>26</v>
      </c>
      <c r="B12" s="240">
        <v>43521.99</v>
      </c>
      <c r="C12" s="241">
        <v>817.64</v>
      </c>
      <c r="D12" s="240">
        <v>4305.28</v>
      </c>
      <c r="E12" s="240">
        <v>515622.853</v>
      </c>
      <c r="F12" s="240">
        <v>119.76523083283783</v>
      </c>
      <c r="G12" s="240">
        <v>54425.343000000008</v>
      </c>
      <c r="H12" s="240">
        <v>12641.533883975029</v>
      </c>
      <c r="I12" s="242">
        <v>41982.975591304799</v>
      </c>
      <c r="J12" s="13"/>
      <c r="K12" s="2"/>
      <c r="L12" s="2"/>
    </row>
    <row r="13" spans="1:12" ht="14.25" customHeight="1" x14ac:dyDescent="0.3">
      <c r="A13" s="28" t="s">
        <v>12</v>
      </c>
      <c r="B13" s="234">
        <v>35404.17</v>
      </c>
      <c r="C13" s="235">
        <v>781.98</v>
      </c>
      <c r="D13" s="238">
        <v>2357.54</v>
      </c>
      <c r="E13" s="238">
        <v>401689.77399999998</v>
      </c>
      <c r="F13" s="236">
        <v>170.38513620129456</v>
      </c>
      <c r="G13" s="236"/>
      <c r="H13" s="236"/>
      <c r="I13" s="215"/>
      <c r="J13" s="13"/>
      <c r="K13" s="2"/>
      <c r="L13" s="2"/>
    </row>
    <row r="14" spans="1:12" ht="14.25" customHeight="1" x14ac:dyDescent="0.3">
      <c r="A14" s="28" t="s">
        <v>13</v>
      </c>
      <c r="B14" s="238">
        <v>8117.82</v>
      </c>
      <c r="C14" s="239">
        <v>35.659999999999997</v>
      </c>
      <c r="D14" s="238">
        <v>1947.74</v>
      </c>
      <c r="E14" s="238">
        <v>113933.079</v>
      </c>
      <c r="F14" s="236">
        <v>58.495014221610688</v>
      </c>
      <c r="G14" s="236"/>
      <c r="H14" s="236"/>
      <c r="I14" s="215"/>
      <c r="J14" s="13"/>
      <c r="K14" s="2"/>
      <c r="L14" s="2"/>
    </row>
    <row r="15" spans="1:12" ht="14.25" customHeight="1" x14ac:dyDescent="0.25">
      <c r="A15" s="27" t="s">
        <v>14</v>
      </c>
      <c r="B15" s="240">
        <v>43989.599999999999</v>
      </c>
      <c r="C15" s="241">
        <v>381.41000000000008</v>
      </c>
      <c r="D15" s="240">
        <v>2648.12</v>
      </c>
      <c r="E15" s="240">
        <v>331126.77600000001</v>
      </c>
      <c r="F15" s="240">
        <v>125.04220956754227</v>
      </c>
      <c r="G15" s="240">
        <v>37527.648000000001</v>
      </c>
      <c r="H15" s="240">
        <v>14171.430297720648</v>
      </c>
      <c r="I15" s="242">
        <v>39291.980413520032</v>
      </c>
      <c r="J15" s="13"/>
      <c r="K15" s="2"/>
      <c r="L15" s="2"/>
    </row>
    <row r="16" spans="1:12" ht="14.25" customHeight="1" x14ac:dyDescent="0.3">
      <c r="A16" s="28" t="s">
        <v>12</v>
      </c>
      <c r="B16" s="234">
        <v>35840.199999999997</v>
      </c>
      <c r="C16" s="235">
        <v>381.41000000000008</v>
      </c>
      <c r="D16" s="234">
        <v>1844.82</v>
      </c>
      <c r="E16" s="234">
        <v>232232.80499999999</v>
      </c>
      <c r="F16" s="236">
        <v>125.88372036296224</v>
      </c>
      <c r="G16" s="236"/>
      <c r="H16" s="243"/>
      <c r="I16" s="215"/>
      <c r="J16" s="13"/>
      <c r="K16" s="2"/>
      <c r="L16" s="2"/>
    </row>
    <row r="17" spans="1:12" ht="14.25" customHeight="1" x14ac:dyDescent="0.3">
      <c r="A17" s="28" t="s">
        <v>13</v>
      </c>
      <c r="B17" s="238">
        <v>8149.4</v>
      </c>
      <c r="C17" s="239">
        <v>0</v>
      </c>
      <c r="D17" s="238">
        <v>803.3</v>
      </c>
      <c r="E17" s="238">
        <v>98893.971000000005</v>
      </c>
      <c r="F17" s="236">
        <v>123.10963649943983</v>
      </c>
      <c r="G17" s="236"/>
      <c r="H17" s="244"/>
      <c r="I17" s="215"/>
      <c r="J17" s="13"/>
      <c r="K17" s="2"/>
      <c r="L17" s="2"/>
    </row>
    <row r="18" spans="1:12" ht="14.25" customHeight="1" x14ac:dyDescent="0.3">
      <c r="A18" s="27" t="s">
        <v>27</v>
      </c>
      <c r="B18" s="245">
        <v>43921.66</v>
      </c>
      <c r="C18" s="246">
        <v>180.39</v>
      </c>
      <c r="D18" s="245">
        <v>1992.85</v>
      </c>
      <c r="E18" s="245">
        <v>328198.94799999997</v>
      </c>
      <c r="F18" s="245">
        <v>164.68823443811627</v>
      </c>
      <c r="G18" s="247">
        <v>36600.205000000002</v>
      </c>
      <c r="H18" s="247">
        <v>18365.760092330082</v>
      </c>
      <c r="I18" s="214">
        <v>38278.288661632047</v>
      </c>
      <c r="J18" s="13"/>
      <c r="K18" s="2"/>
      <c r="L18" s="2"/>
    </row>
    <row r="19" spans="1:12" ht="14.25" customHeight="1" x14ac:dyDescent="0.3">
      <c r="A19" s="28" t="s">
        <v>12</v>
      </c>
      <c r="B19" s="194">
        <v>35831.589999999997</v>
      </c>
      <c r="C19" s="248">
        <v>180.39</v>
      </c>
      <c r="D19" s="194">
        <v>1334.88</v>
      </c>
      <c r="E19" s="194">
        <v>213673.147</v>
      </c>
      <c r="F19" s="236">
        <v>160.06918000119859</v>
      </c>
      <c r="G19" s="236"/>
      <c r="H19" s="249"/>
      <c r="I19" s="215"/>
      <c r="J19" s="13"/>
      <c r="K19" s="2"/>
      <c r="L19" s="2"/>
    </row>
    <row r="20" spans="1:12" ht="14.25" customHeight="1" x14ac:dyDescent="0.3">
      <c r="A20" s="28" t="s">
        <v>13</v>
      </c>
      <c r="B20" s="250">
        <v>8090.07</v>
      </c>
      <c r="C20" s="251">
        <v>0</v>
      </c>
      <c r="D20" s="250">
        <v>657.97</v>
      </c>
      <c r="E20" s="250">
        <v>114525.80100000001</v>
      </c>
      <c r="F20" s="236">
        <v>174.05930513549251</v>
      </c>
      <c r="G20" s="236"/>
      <c r="H20" s="244"/>
      <c r="I20" s="215"/>
      <c r="J20" s="13"/>
      <c r="K20" s="2"/>
      <c r="L20" s="2"/>
    </row>
    <row r="21" spans="1:12" ht="16.5" customHeight="1" x14ac:dyDescent="0.3">
      <c r="A21" s="27" t="s">
        <v>15</v>
      </c>
      <c r="B21" s="245">
        <v>43507.28</v>
      </c>
      <c r="C21" s="246">
        <v>52.35</v>
      </c>
      <c r="D21" s="245">
        <v>1593.63</v>
      </c>
      <c r="E21" s="245">
        <v>298046.07400000002</v>
      </c>
      <c r="F21" s="247">
        <v>187.02338309394275</v>
      </c>
      <c r="G21" s="247">
        <v>33992.18</v>
      </c>
      <c r="H21" s="247">
        <v>21330.032692657642</v>
      </c>
      <c r="I21" s="214">
        <v>35538.511622876016</v>
      </c>
      <c r="J21" s="13"/>
      <c r="K21" s="2"/>
      <c r="L21" s="2"/>
    </row>
    <row r="22" spans="1:12" ht="19.5" customHeight="1" x14ac:dyDescent="0.3">
      <c r="A22" s="28" t="s">
        <v>12</v>
      </c>
      <c r="B22" s="194">
        <v>35424.560000000005</v>
      </c>
      <c r="C22" s="248">
        <v>30.31</v>
      </c>
      <c r="D22" s="250">
        <v>1163.44</v>
      </c>
      <c r="E22" s="250">
        <v>220768.02000000002</v>
      </c>
      <c r="F22" s="236">
        <v>189.75453826583237</v>
      </c>
      <c r="G22" s="236"/>
      <c r="H22" s="236"/>
      <c r="I22" s="215"/>
      <c r="J22" s="13"/>
      <c r="K22" s="2"/>
      <c r="L22" s="2"/>
    </row>
    <row r="23" spans="1:12" ht="21.75" customHeight="1" x14ac:dyDescent="0.3">
      <c r="A23" s="28" t="s">
        <v>13</v>
      </c>
      <c r="B23" s="250">
        <v>8082.72</v>
      </c>
      <c r="C23" s="251">
        <v>22.04</v>
      </c>
      <c r="D23" s="250">
        <v>430.18999999999994</v>
      </c>
      <c r="E23" s="250">
        <v>77278.054000000004</v>
      </c>
      <c r="F23" s="236">
        <v>179.63703014946887</v>
      </c>
      <c r="G23" s="236"/>
      <c r="H23" s="236"/>
      <c r="I23" s="215"/>
      <c r="J23" s="13"/>
      <c r="K23" s="2"/>
      <c r="L23" s="2"/>
    </row>
    <row r="24" spans="1:12" ht="22.5" customHeight="1" x14ac:dyDescent="0.3">
      <c r="A24" s="27" t="s">
        <v>16</v>
      </c>
      <c r="B24" s="245">
        <v>43404</v>
      </c>
      <c r="C24" s="246">
        <v>69.75</v>
      </c>
      <c r="D24" s="245">
        <v>3226.05</v>
      </c>
      <c r="E24" s="245">
        <v>491506.978</v>
      </c>
      <c r="F24" s="247">
        <v>152.35566032764527</v>
      </c>
      <c r="G24" s="247">
        <v>53187.876000000004</v>
      </c>
      <c r="H24" s="247">
        <v>16486.996791742225</v>
      </c>
      <c r="I24" s="214">
        <v>55668.169923431924</v>
      </c>
      <c r="J24" s="13"/>
      <c r="K24" s="2"/>
      <c r="L24" s="2"/>
    </row>
    <row r="25" spans="1:12" ht="21.75" customHeight="1" x14ac:dyDescent="0.3">
      <c r="A25" s="28" t="s">
        <v>12</v>
      </c>
      <c r="B25" s="194">
        <v>35404.58</v>
      </c>
      <c r="C25" s="248">
        <v>56.12</v>
      </c>
      <c r="D25" s="250">
        <v>1985.85</v>
      </c>
      <c r="E25" s="250">
        <v>356665.76500000001</v>
      </c>
      <c r="F25" s="236">
        <v>179.60357781302719</v>
      </c>
      <c r="G25" s="236"/>
      <c r="H25" s="236"/>
      <c r="I25" s="215"/>
      <c r="J25" s="13"/>
      <c r="K25" s="2"/>
      <c r="L25" s="2"/>
    </row>
    <row r="26" spans="1:12" ht="20.25" customHeight="1" x14ac:dyDescent="0.3">
      <c r="A26" s="28" t="s">
        <v>13</v>
      </c>
      <c r="B26" s="250">
        <v>7999.42</v>
      </c>
      <c r="C26" s="251">
        <v>13.63</v>
      </c>
      <c r="D26" s="250">
        <v>1240.2</v>
      </c>
      <c r="E26" s="250">
        <v>134841.21299999999</v>
      </c>
      <c r="F26" s="236">
        <v>108.72537735849055</v>
      </c>
      <c r="G26" s="236"/>
      <c r="H26" s="236"/>
      <c r="I26" s="215"/>
      <c r="J26" s="13"/>
      <c r="K26" s="2"/>
      <c r="L26" s="2"/>
    </row>
    <row r="27" spans="1:12" ht="21.75" customHeight="1" x14ac:dyDescent="0.3">
      <c r="A27" s="27" t="s">
        <v>17</v>
      </c>
      <c r="B27" s="245">
        <v>43252.83</v>
      </c>
      <c r="C27" s="246">
        <v>39.53</v>
      </c>
      <c r="D27" s="245">
        <v>2494.92</v>
      </c>
      <c r="E27" s="245">
        <v>549979.22600000002</v>
      </c>
      <c r="F27" s="247">
        <v>220.43962371538967</v>
      </c>
      <c r="G27" s="247">
        <v>61724.78</v>
      </c>
      <c r="H27" s="247">
        <v>24740.184053997724</v>
      </c>
      <c r="I27" s="214">
        <v>64630.767321559688</v>
      </c>
      <c r="J27" s="13"/>
      <c r="K27" s="2"/>
      <c r="L27" s="2"/>
    </row>
    <row r="28" spans="1:12" ht="21.75" customHeight="1" x14ac:dyDescent="0.3">
      <c r="A28" s="28" t="s">
        <v>12</v>
      </c>
      <c r="B28" s="194">
        <v>35273.74</v>
      </c>
      <c r="C28" s="248">
        <v>35.82</v>
      </c>
      <c r="D28" s="250">
        <v>2039.79</v>
      </c>
      <c r="E28" s="250">
        <v>383827.90700000001</v>
      </c>
      <c r="F28" s="236">
        <v>188.17030527652358</v>
      </c>
      <c r="G28" s="236"/>
      <c r="H28" s="236"/>
      <c r="I28" s="215"/>
      <c r="J28" s="13"/>
      <c r="K28" s="2"/>
      <c r="L28" s="2"/>
    </row>
    <row r="29" spans="1:12" ht="21" customHeight="1" x14ac:dyDescent="0.3">
      <c r="A29" s="28" t="s">
        <v>13</v>
      </c>
      <c r="B29" s="250">
        <v>7979.09</v>
      </c>
      <c r="C29" s="251">
        <v>3.71</v>
      </c>
      <c r="D29" s="250">
        <v>455.13</v>
      </c>
      <c r="E29" s="250">
        <v>166151.31900000002</v>
      </c>
      <c r="F29" s="236">
        <v>365.06343022872591</v>
      </c>
      <c r="G29" s="236"/>
      <c r="H29" s="236"/>
      <c r="I29" s="215"/>
      <c r="J29" s="13"/>
      <c r="K29" s="2"/>
      <c r="L29" s="2"/>
    </row>
    <row r="30" spans="1:12" ht="17.25" customHeight="1" x14ac:dyDescent="0.3">
      <c r="A30" s="27" t="s">
        <v>28</v>
      </c>
      <c r="B30" s="245">
        <v>43331.97</v>
      </c>
      <c r="C30" s="246">
        <v>221.23</v>
      </c>
      <c r="D30" s="245">
        <v>2619.8199999999997</v>
      </c>
      <c r="E30" s="245">
        <v>532895.34700000007</v>
      </c>
      <c r="F30" s="247">
        <v>203.40914528479061</v>
      </c>
      <c r="G30" s="247">
        <v>60800.69</v>
      </c>
      <c r="H30" s="247">
        <v>23207.96466932843</v>
      </c>
      <c r="I30" s="214">
        <v>63651.185009571003</v>
      </c>
      <c r="J30" s="2"/>
      <c r="K30" s="2"/>
      <c r="L30" s="2"/>
    </row>
    <row r="31" spans="1:12" ht="21.75" customHeight="1" x14ac:dyDescent="0.3">
      <c r="A31" s="28" t="s">
        <v>12</v>
      </c>
      <c r="B31" s="194">
        <v>35363.83</v>
      </c>
      <c r="C31" s="248">
        <v>214.25</v>
      </c>
      <c r="D31" s="194">
        <v>2087.85</v>
      </c>
      <c r="E31" s="194">
        <v>383871.08100000001</v>
      </c>
      <c r="F31" s="236">
        <v>183.85951145915655</v>
      </c>
      <c r="G31" s="236"/>
      <c r="H31" s="252"/>
      <c r="I31" s="215"/>
      <c r="J31" s="2"/>
      <c r="K31" s="2"/>
      <c r="L31" s="2"/>
    </row>
    <row r="32" spans="1:12" ht="18.75" customHeight="1" x14ac:dyDescent="0.3">
      <c r="A32" s="28" t="s">
        <v>13</v>
      </c>
      <c r="B32" s="194">
        <v>7968.14</v>
      </c>
      <c r="C32" s="248">
        <v>6.98</v>
      </c>
      <c r="D32" s="194">
        <v>531.97</v>
      </c>
      <c r="E32" s="194">
        <v>149024.266</v>
      </c>
      <c r="F32" s="236">
        <v>280.13659792845459</v>
      </c>
      <c r="G32" s="236"/>
      <c r="H32" s="252"/>
      <c r="I32" s="215"/>
      <c r="J32" s="2"/>
      <c r="K32" s="2"/>
      <c r="L32" s="2"/>
    </row>
    <row r="33" spans="1:21" ht="16.5" x14ac:dyDescent="0.3">
      <c r="A33" s="27" t="s">
        <v>18</v>
      </c>
      <c r="B33" s="245">
        <v>43558.06</v>
      </c>
      <c r="C33" s="246">
        <v>499.69</v>
      </c>
      <c r="D33" s="245">
        <v>2951.1800000000003</v>
      </c>
      <c r="E33" s="245">
        <v>545678.79799999995</v>
      </c>
      <c r="F33" s="247">
        <v>184.90190296762648</v>
      </c>
      <c r="G33" s="247">
        <v>63674.595000000001</v>
      </c>
      <c r="H33" s="247">
        <v>21575.978083342932</v>
      </c>
      <c r="I33" s="214">
        <v>66666.257473909165</v>
      </c>
      <c r="J33" s="2"/>
      <c r="K33" s="2"/>
      <c r="L33" s="2"/>
    </row>
    <row r="34" spans="1:21" ht="18" customHeight="1" x14ac:dyDescent="0.3">
      <c r="A34" s="28" t="s">
        <v>12</v>
      </c>
      <c r="B34" s="194">
        <v>35517.549999999996</v>
      </c>
      <c r="C34" s="248">
        <v>497.44</v>
      </c>
      <c r="D34" s="194">
        <v>2280.5100000000002</v>
      </c>
      <c r="E34" s="194">
        <v>384730.24400000001</v>
      </c>
      <c r="F34" s="236">
        <v>168.7035987564185</v>
      </c>
      <c r="G34" s="236"/>
      <c r="H34" s="252"/>
      <c r="I34" s="215"/>
      <c r="J34" s="2"/>
      <c r="K34" s="2"/>
      <c r="L34" s="2"/>
    </row>
    <row r="35" spans="1:21" ht="16.5" customHeight="1" x14ac:dyDescent="0.3">
      <c r="A35" s="28" t="s">
        <v>13</v>
      </c>
      <c r="B35" s="194">
        <v>8040.51</v>
      </c>
      <c r="C35" s="248">
        <v>2.25</v>
      </c>
      <c r="D35" s="194">
        <v>670.67</v>
      </c>
      <c r="E35" s="194">
        <v>160948.554</v>
      </c>
      <c r="F35" s="236">
        <v>239.98174064741232</v>
      </c>
      <c r="G35" s="236"/>
      <c r="H35" s="252"/>
      <c r="I35" s="215"/>
      <c r="J35" s="2"/>
      <c r="K35" s="2"/>
      <c r="L35" s="2"/>
    </row>
    <row r="36" spans="1:21" ht="19.5" customHeight="1" x14ac:dyDescent="0.3">
      <c r="A36" s="27" t="s">
        <v>19</v>
      </c>
      <c r="B36" s="245">
        <v>55319.08</v>
      </c>
      <c r="C36" s="246">
        <v>517.49</v>
      </c>
      <c r="D36" s="245">
        <v>3520.66</v>
      </c>
      <c r="E36" s="245">
        <v>519654.84898880008</v>
      </c>
      <c r="F36" s="247">
        <v>147.60154317338228</v>
      </c>
      <c r="G36" s="247">
        <v>60851.770999999993</v>
      </c>
      <c r="H36" s="50">
        <v>17284.194156777419</v>
      </c>
      <c r="I36" s="214">
        <v>63638.69340297881</v>
      </c>
      <c r="J36" s="2"/>
      <c r="K36" s="2"/>
      <c r="L36" s="97"/>
    </row>
    <row r="37" spans="1:21" ht="20.25" customHeight="1" x14ac:dyDescent="0.3">
      <c r="A37" s="28" t="s">
        <v>12</v>
      </c>
      <c r="B37" s="194">
        <v>47135.72</v>
      </c>
      <c r="C37" s="248">
        <v>512.75</v>
      </c>
      <c r="D37" s="194">
        <v>2854.77</v>
      </c>
      <c r="E37" s="194">
        <v>359272.60344570002</v>
      </c>
      <c r="F37" s="236">
        <v>125.84992957250498</v>
      </c>
      <c r="G37" s="236"/>
      <c r="H37" s="252"/>
      <c r="I37" s="215"/>
      <c r="J37" s="13"/>
      <c r="K37" s="2"/>
      <c r="L37" s="2"/>
    </row>
    <row r="38" spans="1:21" ht="19.5" customHeight="1" x14ac:dyDescent="0.3">
      <c r="A38" s="28" t="s">
        <v>13</v>
      </c>
      <c r="B38" s="194">
        <v>8183.36</v>
      </c>
      <c r="C38" s="248">
        <v>4.74</v>
      </c>
      <c r="D38" s="194">
        <v>665.89</v>
      </c>
      <c r="E38" s="194">
        <v>160382.2455431</v>
      </c>
      <c r="F38" s="236">
        <v>240.85396318175674</v>
      </c>
      <c r="G38" s="236"/>
      <c r="H38" s="252"/>
      <c r="I38" s="215"/>
      <c r="J38" s="13"/>
      <c r="K38" s="2"/>
      <c r="L38" s="2"/>
    </row>
    <row r="39" spans="1:21" ht="21" customHeight="1" x14ac:dyDescent="0.3">
      <c r="A39" s="27" t="s">
        <v>20</v>
      </c>
      <c r="B39" s="245">
        <v>54712.81</v>
      </c>
      <c r="C39" s="246">
        <v>726.28</v>
      </c>
      <c r="D39" s="245">
        <v>4333.2299999999996</v>
      </c>
      <c r="E39" s="245">
        <v>512657.21699999995</v>
      </c>
      <c r="F39" s="247">
        <v>118.30833281409018</v>
      </c>
      <c r="G39" s="247">
        <v>70465.111000000004</v>
      </c>
      <c r="H39" s="50">
        <v>16261.567237372585</v>
      </c>
      <c r="I39" s="214">
        <v>68971.716753933288</v>
      </c>
      <c r="J39" s="13"/>
      <c r="K39" s="2"/>
      <c r="L39" s="2"/>
    </row>
    <row r="40" spans="1:21" ht="18.75" customHeight="1" x14ac:dyDescent="0.3">
      <c r="A40" s="28" t="s">
        <v>12</v>
      </c>
      <c r="B40" s="194">
        <v>46672.299999999996</v>
      </c>
      <c r="C40" s="248">
        <v>724.03</v>
      </c>
      <c r="D40" s="194">
        <v>3318.7599999999998</v>
      </c>
      <c r="E40" s="194">
        <v>346690.44699999999</v>
      </c>
      <c r="F40" s="236">
        <v>104.46385005242922</v>
      </c>
      <c r="G40" s="236"/>
      <c r="H40" s="252"/>
      <c r="I40" s="215"/>
      <c r="J40" s="13"/>
      <c r="K40" s="2"/>
      <c r="L40" s="2"/>
    </row>
    <row r="41" spans="1:21" ht="22.5" customHeight="1" x14ac:dyDescent="0.3">
      <c r="A41" s="28" t="s">
        <v>13</v>
      </c>
      <c r="B41" s="194">
        <v>8040.51</v>
      </c>
      <c r="C41" s="248">
        <v>2.25</v>
      </c>
      <c r="D41" s="194">
        <v>1014.47</v>
      </c>
      <c r="E41" s="194">
        <v>165966.77000000002</v>
      </c>
      <c r="F41" s="236">
        <v>163.59948544560214</v>
      </c>
      <c r="G41" s="236"/>
      <c r="H41" s="252"/>
      <c r="I41" s="215"/>
      <c r="J41" s="13"/>
      <c r="K41" s="2"/>
      <c r="L41" s="2"/>
    </row>
    <row r="42" spans="1:21" ht="16.5" customHeight="1" x14ac:dyDescent="0.3">
      <c r="A42" s="30" t="s">
        <v>21</v>
      </c>
      <c r="B42" s="253">
        <v>54712.81</v>
      </c>
      <c r="C42" s="254">
        <v>4583.16</v>
      </c>
      <c r="D42" s="253">
        <v>36431.899999999994</v>
      </c>
      <c r="E42" s="253">
        <v>5518358.6399888014</v>
      </c>
      <c r="F42" s="253">
        <v>151.4705145762039</v>
      </c>
      <c r="G42" s="253">
        <v>627068.70000000007</v>
      </c>
      <c r="H42" s="253">
        <v>17212.077876805772</v>
      </c>
      <c r="I42" s="255">
        <v>636610.22636993928</v>
      </c>
      <c r="J42" s="13"/>
      <c r="K42" s="2"/>
      <c r="L42" s="230"/>
    </row>
    <row r="43" spans="1:21" ht="14.25" customHeight="1" x14ac:dyDescent="0.3">
      <c r="A43" s="20" t="s">
        <v>22</v>
      </c>
      <c r="B43" s="23">
        <v>46672.299999999996</v>
      </c>
      <c r="C43" s="256">
        <v>4420.8499999999995</v>
      </c>
      <c r="D43" s="23">
        <v>25539.89</v>
      </c>
      <c r="E43" s="23">
        <v>3966003.0264456999</v>
      </c>
      <c r="F43" s="23">
        <v>155.28661346801806</v>
      </c>
      <c r="G43" s="257"/>
      <c r="H43" s="257"/>
      <c r="I43" s="213"/>
      <c r="J43" s="13"/>
      <c r="K43" s="2"/>
      <c r="L43" s="2"/>
    </row>
    <row r="44" spans="1:21" ht="15" customHeight="1" thickBot="1" x14ac:dyDescent="0.35">
      <c r="A44" s="88" t="s">
        <v>23</v>
      </c>
      <c r="B44" s="89">
        <v>8040.51</v>
      </c>
      <c r="C44" s="258">
        <v>162.31</v>
      </c>
      <c r="D44" s="259">
        <v>10892.009999999998</v>
      </c>
      <c r="E44" s="259">
        <v>1552355.6135431</v>
      </c>
      <c r="F44" s="259">
        <v>142.5224190524155</v>
      </c>
      <c r="G44" s="260"/>
      <c r="H44" s="90"/>
      <c r="I44" s="91"/>
      <c r="J44" s="13"/>
      <c r="K44" s="2"/>
      <c r="L44" s="2"/>
    </row>
    <row r="45" spans="1:21" ht="18" customHeight="1" x14ac:dyDescent="0.25">
      <c r="A45" s="272"/>
      <c r="B45" s="272"/>
      <c r="C45" s="272"/>
      <c r="D45" s="272"/>
      <c r="E45" s="272"/>
      <c r="F45" s="272"/>
      <c r="G45" s="272"/>
      <c r="H45" s="272"/>
      <c r="I45" s="272"/>
      <c r="J45" s="4"/>
      <c r="K45" s="2"/>
      <c r="L45" s="2"/>
    </row>
    <row r="46" spans="1:21" ht="13.5" x14ac:dyDescent="0.25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4"/>
      <c r="K46" s="2"/>
      <c r="L46" s="98"/>
    </row>
    <row r="47" spans="1:21" ht="13.5" customHeight="1" x14ac:dyDescent="0.25">
      <c r="A47" s="7" t="s">
        <v>56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21" ht="13.5" x14ac:dyDescent="0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7"/>
      <c r="N48" s="2"/>
      <c r="O48" s="2"/>
      <c r="P48" s="2"/>
      <c r="Q48" s="2"/>
      <c r="R48" s="2"/>
      <c r="S48" s="2"/>
      <c r="T48" s="2"/>
      <c r="U48" s="2"/>
    </row>
    <row r="49" spans="1:12" x14ac:dyDescent="0.2">
      <c r="A49" s="5"/>
      <c r="B49" s="2"/>
      <c r="C49" s="2"/>
      <c r="D49" s="105"/>
      <c r="E49" s="105"/>
      <c r="F49" s="2"/>
      <c r="G49" s="2"/>
      <c r="H49" s="2"/>
      <c r="I49" s="2"/>
      <c r="J49" s="2"/>
      <c r="K49" s="2"/>
      <c r="L49" s="2"/>
    </row>
    <row r="50" spans="1:12" x14ac:dyDescent="0.2">
      <c r="A50" s="5"/>
      <c r="B50" s="2"/>
      <c r="C50" s="2"/>
      <c r="D50" s="105"/>
      <c r="E50" s="105"/>
      <c r="F50" s="2"/>
      <c r="G50" s="2"/>
      <c r="H50" s="2"/>
      <c r="I50" s="2"/>
      <c r="J50" s="2"/>
      <c r="K50" s="2"/>
      <c r="L50" s="2"/>
    </row>
    <row r="51" spans="1:12" x14ac:dyDescent="0.2">
      <c r="A51" s="5"/>
      <c r="C51" s="2"/>
      <c r="D51" s="99">
        <f>+D53+D50</f>
        <v>42408.229955217117</v>
      </c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5"/>
      <c r="C52" s="5"/>
      <c r="D52" s="100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2"/>
      <c r="B53" s="2"/>
      <c r="C53" s="5"/>
      <c r="D53" s="100">
        <f>+D43/(11*0.054749)</f>
        <v>42408.229955217117</v>
      </c>
      <c r="E53" s="2"/>
      <c r="F53" s="2"/>
      <c r="G53" s="2"/>
      <c r="H53" s="2"/>
      <c r="I53" s="2"/>
      <c r="J53" s="2"/>
      <c r="K53" s="2"/>
      <c r="L53" s="2"/>
    </row>
    <row r="54" spans="1:12" x14ac:dyDescent="0.2">
      <c r="A54" s="2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</row>
    <row r="55" spans="1:12" ht="36" customHeight="1" thickBot="1" x14ac:dyDescent="0.25">
      <c r="A55" s="2"/>
      <c r="B55" s="2"/>
      <c r="C55" s="268" t="s">
        <v>133</v>
      </c>
      <c r="D55" s="268"/>
      <c r="E55" s="268"/>
      <c r="F55" s="2"/>
      <c r="G55" s="268" t="s">
        <v>134</v>
      </c>
      <c r="H55" s="268"/>
      <c r="I55" s="268"/>
      <c r="J55" s="2"/>
      <c r="K55" s="2"/>
      <c r="L55" s="2"/>
    </row>
    <row r="56" spans="1:12" ht="25.5" x14ac:dyDescent="0.2">
      <c r="A56" s="5"/>
      <c r="B56" s="2"/>
      <c r="C56" s="108"/>
      <c r="D56" s="109" t="s">
        <v>69</v>
      </c>
      <c r="E56" s="110" t="s">
        <v>70</v>
      </c>
      <c r="F56" s="2"/>
      <c r="G56" s="108"/>
      <c r="H56" s="109" t="s">
        <v>66</v>
      </c>
      <c r="I56" s="110" t="s">
        <v>67</v>
      </c>
      <c r="J56" s="2"/>
      <c r="K56" s="2"/>
      <c r="L56" s="2"/>
    </row>
    <row r="57" spans="1:12" x14ac:dyDescent="0.2">
      <c r="A57" s="2"/>
      <c r="B57" s="2"/>
      <c r="C57" s="111" t="s">
        <v>22</v>
      </c>
      <c r="D57" s="107">
        <f>+D43/D42</f>
        <v>0.70103096462166403</v>
      </c>
      <c r="E57" s="112">
        <f>+E43/E42</f>
        <v>0.71869251079588192</v>
      </c>
      <c r="F57" s="2"/>
      <c r="G57" s="111" t="s">
        <v>64</v>
      </c>
      <c r="H57" s="116">
        <f>MAX(F7,F10,F13,F16)</f>
        <v>170.38513620129456</v>
      </c>
      <c r="I57" s="117">
        <f>MIN(F7,F10,F13,F16)</f>
        <v>125.88372036296224</v>
      </c>
      <c r="J57" s="2"/>
      <c r="K57" s="2"/>
      <c r="L57" s="2"/>
    </row>
    <row r="58" spans="1:12" ht="13.5" thickBot="1" x14ac:dyDescent="0.25">
      <c r="A58" s="2"/>
      <c r="B58" s="2"/>
      <c r="C58" s="113" t="s">
        <v>23</v>
      </c>
      <c r="D58" s="114">
        <f>+D44/D42</f>
        <v>0.29896903537833602</v>
      </c>
      <c r="E58" s="115">
        <f>+E44/E42</f>
        <v>0.2813074892041178</v>
      </c>
      <c r="F58" s="2"/>
      <c r="G58" s="113" t="s">
        <v>65</v>
      </c>
      <c r="H58" s="118">
        <f>MAX(F8,F11,F14,F17)</f>
        <v>123.10963649943983</v>
      </c>
      <c r="I58" s="119">
        <f>MIN(F8,F11,F14,F17)</f>
        <v>58.495014221610688</v>
      </c>
      <c r="J58" s="2"/>
      <c r="K58" s="2"/>
      <c r="L58" s="2"/>
    </row>
    <row r="59" spans="1:12" ht="13.5" x14ac:dyDescent="0.25">
      <c r="A59" s="2"/>
      <c r="B59" s="2"/>
      <c r="C59" s="4" t="s">
        <v>71</v>
      </c>
      <c r="D59" s="2"/>
      <c r="E59" s="2"/>
      <c r="F59" s="2"/>
      <c r="G59" s="4" t="s">
        <v>71</v>
      </c>
      <c r="H59" s="2"/>
      <c r="I59" s="2"/>
      <c r="J59" s="2"/>
      <c r="K59" s="2"/>
      <c r="L59" s="2"/>
    </row>
    <row r="60" spans="1:1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5"/>
      <c r="B63" s="2"/>
      <c r="C63" s="2"/>
      <c r="D63" s="2"/>
      <c r="E63" s="2"/>
      <c r="F63" s="2"/>
      <c r="G63" s="99">
        <f>MAX(F7,F10,F13,F16,F19,F22,F25,F28,F31,F34,F37,F40)</f>
        <v>189.75453826583237</v>
      </c>
      <c r="H63" s="99">
        <f>MIN(F7,F10,F13,F16,F19,F22,F25,F28,F31,F34,F37,F40)</f>
        <v>104.46385005242922</v>
      </c>
      <c r="I63" s="2"/>
      <c r="J63" s="2"/>
      <c r="K63" s="2"/>
      <c r="L63" s="2"/>
    </row>
    <row r="64" spans="1:12" x14ac:dyDescent="0.2">
      <c r="A64" s="5"/>
      <c r="B64" s="2"/>
      <c r="C64" s="2"/>
      <c r="D64" s="2"/>
      <c r="E64" s="2"/>
      <c r="F64" s="2"/>
      <c r="G64" s="99">
        <f>MAX(F8,F11,F14,F17,F20,F23,F26,F29,F32,F35,F38,F41)</f>
        <v>365.06343022872591</v>
      </c>
      <c r="H64" s="217">
        <f>MIN(F8,F11,F14,F17,F20,F23,F26,F29,F32,F35,F38,F41)</f>
        <v>58.495014221610688</v>
      </c>
      <c r="I64" s="2"/>
      <c r="J64" s="2"/>
      <c r="K64" s="2"/>
      <c r="L64" s="2"/>
    </row>
    <row r="65" spans="1:12" x14ac:dyDescent="0.2">
      <c r="A65" s="5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5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2"/>
      <c r="B68" s="6"/>
      <c r="C68" s="5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</sheetData>
  <mergeCells count="5">
    <mergeCell ref="A1:I1"/>
    <mergeCell ref="A2:I2"/>
    <mergeCell ref="A45:I45"/>
    <mergeCell ref="C55:E55"/>
    <mergeCell ref="G55:I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zoomScaleNormal="100" workbookViewId="0">
      <selection activeCell="C17" sqref="C17"/>
    </sheetView>
  </sheetViews>
  <sheetFormatPr baseColWidth="10" defaultColWidth="9.7109375" defaultRowHeight="12.75" x14ac:dyDescent="0.2"/>
  <cols>
    <col min="1" max="1" width="15.28515625" customWidth="1"/>
    <col min="2" max="2" width="15.7109375" customWidth="1"/>
    <col min="3" max="3" width="14.7109375" customWidth="1"/>
    <col min="4" max="5" width="14.42578125" customWidth="1"/>
    <col min="6" max="7" width="16.7109375" customWidth="1"/>
    <col min="8" max="9" width="14.5703125" customWidth="1"/>
    <col min="10" max="10" width="17.140625" customWidth="1"/>
    <col min="11" max="11" width="15.85546875" customWidth="1"/>
    <col min="12" max="12" width="19.28515625" hidden="1" customWidth="1"/>
    <col min="13" max="13" width="8.7109375" customWidth="1"/>
    <col min="14" max="14" width="8.5703125" hidden="1" customWidth="1"/>
    <col min="15" max="15" width="16.7109375" customWidth="1"/>
    <col min="16" max="16" width="9.7109375" customWidth="1"/>
    <col min="18" max="18" width="11.7109375" customWidth="1"/>
  </cols>
  <sheetData>
    <row r="1" spans="1:15" ht="26.25" customHeight="1" x14ac:dyDescent="0.3">
      <c r="A1" s="266" t="s">
        <v>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3"/>
      <c r="N1" s="2"/>
      <c r="O1" s="2"/>
    </row>
    <row r="2" spans="1:15" ht="15" customHeight="1" thickBot="1" x14ac:dyDescent="0.3">
      <c r="A2" s="264" t="s">
        <v>135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3"/>
      <c r="N2" s="2"/>
      <c r="O2" s="2"/>
    </row>
    <row r="3" spans="1:15" ht="18.75" customHeight="1" x14ac:dyDescent="0.25">
      <c r="A3" s="8"/>
      <c r="B3" s="9" t="s">
        <v>1</v>
      </c>
      <c r="C3" s="9" t="s">
        <v>2</v>
      </c>
      <c r="D3" s="277" t="s">
        <v>2</v>
      </c>
      <c r="E3" s="278"/>
      <c r="F3" s="277" t="s">
        <v>3</v>
      </c>
      <c r="G3" s="278"/>
      <c r="H3" s="277" t="s">
        <v>4</v>
      </c>
      <c r="I3" s="278"/>
      <c r="J3" s="9" t="s">
        <v>3</v>
      </c>
      <c r="K3" s="9" t="s">
        <v>4</v>
      </c>
      <c r="L3" s="10" t="s">
        <v>3</v>
      </c>
      <c r="M3" s="3"/>
      <c r="N3" s="2"/>
      <c r="O3" s="2"/>
    </row>
    <row r="4" spans="1:15" ht="19.5" customHeight="1" x14ac:dyDescent="0.25">
      <c r="A4" s="19" t="s">
        <v>0</v>
      </c>
      <c r="B4" s="11" t="s">
        <v>5</v>
      </c>
      <c r="C4" s="11" t="s">
        <v>6</v>
      </c>
      <c r="D4" s="279" t="s">
        <v>7</v>
      </c>
      <c r="E4" s="280"/>
      <c r="F4" s="279" t="s">
        <v>29</v>
      </c>
      <c r="G4" s="280"/>
      <c r="H4" s="279" t="s">
        <v>29</v>
      </c>
      <c r="I4" s="280"/>
      <c r="J4" s="11" t="s">
        <v>30</v>
      </c>
      <c r="K4" s="11" t="s">
        <v>31</v>
      </c>
      <c r="L4" s="12" t="s">
        <v>32</v>
      </c>
      <c r="M4" s="3"/>
      <c r="N4" s="2"/>
      <c r="O4" s="2"/>
    </row>
    <row r="5" spans="1:15" ht="23.25" customHeight="1" thickBot="1" x14ac:dyDescent="0.3">
      <c r="A5" s="14"/>
      <c r="B5" s="15" t="s">
        <v>8</v>
      </c>
      <c r="C5" s="15" t="s">
        <v>8</v>
      </c>
      <c r="D5" s="15" t="s">
        <v>53</v>
      </c>
      <c r="E5" s="15" t="s">
        <v>129</v>
      </c>
      <c r="F5" s="15" t="s">
        <v>53</v>
      </c>
      <c r="G5" s="15" t="s">
        <v>9</v>
      </c>
      <c r="H5" s="15" t="s">
        <v>53</v>
      </c>
      <c r="I5" s="15" t="s">
        <v>58</v>
      </c>
      <c r="J5" s="15" t="s">
        <v>36</v>
      </c>
      <c r="K5" s="15" t="s">
        <v>10</v>
      </c>
      <c r="L5" s="16" t="s">
        <v>9</v>
      </c>
      <c r="M5" s="3"/>
      <c r="N5" s="2"/>
      <c r="O5" s="2"/>
    </row>
    <row r="6" spans="1:15" ht="14.25" customHeight="1" x14ac:dyDescent="0.3">
      <c r="A6" s="27" t="s">
        <v>11</v>
      </c>
      <c r="B6" s="42">
        <f>+'2020'!B6/'2019'!B6-1</f>
        <v>1.237904850435334E-2</v>
      </c>
      <c r="C6" s="79">
        <f>+'2020'!C6/'2019'!C6-1</f>
        <v>0.35185673531033479</v>
      </c>
      <c r="D6" s="42">
        <f>+'2020'!D6/'2019'!D6-1</f>
        <v>0.20191068678042079</v>
      </c>
      <c r="E6" s="199">
        <f>+'2020'!D6-'2019'!D6</f>
        <v>673.77999999999975</v>
      </c>
      <c r="F6" s="224">
        <f>+'2020'!E6/'2019'!E6-1</f>
        <v>-8.1812599474885839E-2</v>
      </c>
      <c r="G6" s="199">
        <f>+'2020'!E6-'2019'!E6</f>
        <v>-37403.759999999951</v>
      </c>
      <c r="H6" s="79">
        <f>+'2020'!F6/'2019'!F6-1</f>
        <v>-0.23606020761436208</v>
      </c>
      <c r="I6" s="203">
        <f>+'2020'!F6-'2019'!F6</f>
        <v>-32.341417065060725</v>
      </c>
      <c r="J6" s="42">
        <f>+'2020'!G6/'2019'!G6-1</f>
        <v>-5.1780820991330634E-2</v>
      </c>
      <c r="K6" s="79">
        <f>+'2020'!H6/'2019'!H6-1</f>
        <v>-0.2110735103382092</v>
      </c>
      <c r="L6" s="42"/>
      <c r="M6" s="13"/>
      <c r="N6" s="2"/>
      <c r="O6" s="2"/>
    </row>
    <row r="7" spans="1:15" ht="14.25" customHeight="1" x14ac:dyDescent="0.3">
      <c r="A7" s="20" t="s">
        <v>12</v>
      </c>
      <c r="B7" s="76">
        <f>+'2020'!B7/'2019'!B7-1</f>
        <v>1.4414370256107256E-2</v>
      </c>
      <c r="C7" s="76">
        <f>+'2020'!C7/'2019'!C7-1</f>
        <v>0.48900363358194698</v>
      </c>
      <c r="D7" s="37">
        <f>+'2020'!D7/'2019'!D7-1</f>
        <v>0.31693367989204746</v>
      </c>
      <c r="E7" s="200">
        <f>+'2020'!D7-'2019'!D7</f>
        <v>699.90999999999985</v>
      </c>
      <c r="F7" s="37">
        <f>+'2020'!E7/'2019'!E7-1</f>
        <v>-6.7281483662001151E-2</v>
      </c>
      <c r="G7" s="200">
        <f>+'2020'!E7-'2019'!E7</f>
        <v>-23699.469999999972</v>
      </c>
      <c r="H7" s="76">
        <f>+'2020'!F7/'2019'!F7-1</f>
        <v>-0.29174981961547497</v>
      </c>
      <c r="I7" s="204">
        <f>+'2020'!F7-'2019'!F7</f>
        <v>-46.535015716593577</v>
      </c>
      <c r="J7" s="38"/>
      <c r="K7" s="38"/>
      <c r="L7" s="39"/>
      <c r="M7" s="13"/>
      <c r="N7" s="2"/>
      <c r="O7" s="2"/>
    </row>
    <row r="8" spans="1:15" ht="14.25" customHeight="1" x14ac:dyDescent="0.3">
      <c r="A8" s="20" t="s">
        <v>13</v>
      </c>
      <c r="B8" s="37">
        <f>+'2020'!B8/'2019'!B8-1</f>
        <v>3.5354193393200006E-3</v>
      </c>
      <c r="C8" s="37">
        <f>+'2020'!C8/'2019'!C8-1</f>
        <v>-0.63052837573385523</v>
      </c>
      <c r="D8" s="76">
        <f>+'2020'!D8/'2019'!D8-1</f>
        <v>-2.3151757867876266E-2</v>
      </c>
      <c r="E8" s="204">
        <f>+'2020'!D8-'2019'!D8</f>
        <v>-26.129999999999882</v>
      </c>
      <c r="F8" s="76">
        <f>+'2020'!E8/'2019'!E8-1</f>
        <v>-0.13058583526236545</v>
      </c>
      <c r="G8" s="204">
        <f>+'2020'!E8-'2019'!E8</f>
        <v>-13704.290000000008</v>
      </c>
      <c r="H8" s="37">
        <f>+'2020'!F8/'2019'!F8-1</f>
        <v>-0.10998031501801908</v>
      </c>
      <c r="I8" s="200">
        <f>+'2020'!F8-'2019'!F8</f>
        <v>-10.226334407488977</v>
      </c>
      <c r="J8" s="38"/>
      <c r="K8" s="38"/>
      <c r="L8" s="39"/>
      <c r="M8" s="13"/>
      <c r="N8" s="2"/>
      <c r="O8" s="2"/>
    </row>
    <row r="9" spans="1:15" ht="14.25" customHeight="1" x14ac:dyDescent="0.3">
      <c r="A9" s="27" t="s">
        <v>25</v>
      </c>
      <c r="B9" s="79">
        <f>+'2020'!B9/'2019'!B9-1</f>
        <v>-6.7666885720985004E-3</v>
      </c>
      <c r="C9" s="42">
        <f>+'2020'!C9/'2019'!C9-1</f>
        <v>-0.30151301740197178</v>
      </c>
      <c r="D9" s="216">
        <f>+'2020'!D9/'2019'!D9-1</f>
        <v>6.7741424523486859E-2</v>
      </c>
      <c r="E9" s="218">
        <f>+'2020'!D9-'2019'!D9</f>
        <v>230.94000000000005</v>
      </c>
      <c r="F9" s="79">
        <f>+'2020'!E9/'2019'!E9-1</f>
        <v>8.0227948886134381E-2</v>
      </c>
      <c r="G9" s="203">
        <f>+'2020'!E9-'2019'!E9</f>
        <v>34963.605999999971</v>
      </c>
      <c r="H9" s="79">
        <f>+'2020'!F9/'2019'!F9-1</f>
        <v>1.1694333549173708E-2</v>
      </c>
      <c r="I9" s="203">
        <f>+'2020'!F9-'2019'!F9</f>
        <v>1.4949310722796127</v>
      </c>
      <c r="J9" s="79">
        <f>+'2020'!G9/'2019'!G9-1</f>
        <v>-0.22070276994023241</v>
      </c>
      <c r="K9" s="79">
        <f>+'2020'!H9/'2019'!H9-1</f>
        <v>-0.27014423889421213</v>
      </c>
      <c r="L9" s="44"/>
      <c r="M9" s="13"/>
      <c r="N9" s="2"/>
      <c r="O9" s="2"/>
    </row>
    <row r="10" spans="1:15" ht="14.25" customHeight="1" x14ac:dyDescent="0.3">
      <c r="A10" s="28" t="s">
        <v>12</v>
      </c>
      <c r="B10" s="80">
        <f>+'2020'!B10/'2019'!B10-1</f>
        <v>-5.690638530206904E-3</v>
      </c>
      <c r="C10" s="43">
        <f>+'2020'!C10/'2019'!C10-1</f>
        <v>-0.30987631184407782</v>
      </c>
      <c r="D10" s="43">
        <f>+'2020'!D10/'2019'!D10-1</f>
        <v>0.17515145640478846</v>
      </c>
      <c r="E10" s="204">
        <f>+'2020'!D10-'2019'!D10</f>
        <v>361.38999999999987</v>
      </c>
      <c r="F10" s="76">
        <f>+'2020'!E10/'2019'!E10-1</f>
        <v>3.4462525092090468E-2</v>
      </c>
      <c r="G10" s="204">
        <f>+'2020'!E10-'2019'!E10</f>
        <v>11384.270000000019</v>
      </c>
      <c r="H10" s="80">
        <f>+'2020'!F10/'2019'!F10-1</f>
        <v>-0.1197198289173006</v>
      </c>
      <c r="I10" s="202">
        <f>+'2020'!F10-'2019'!F10</f>
        <v>-19.167338001890613</v>
      </c>
      <c r="J10" s="45"/>
      <c r="K10" s="46"/>
      <c r="L10" s="47"/>
      <c r="M10" s="13"/>
      <c r="N10" s="2"/>
      <c r="O10" s="2"/>
    </row>
    <row r="11" spans="1:15" ht="14.25" customHeight="1" x14ac:dyDescent="0.3">
      <c r="A11" s="28" t="s">
        <v>13</v>
      </c>
      <c r="B11" s="43">
        <f>+'2020'!B11/'2019'!B11-1</f>
        <v>-1.1477158070348881E-2</v>
      </c>
      <c r="C11" s="43">
        <f>+'2020'!C11/'2019'!C11-1</f>
        <v>-3.3082706766917269E-2</v>
      </c>
      <c r="D11" s="43">
        <f>+'2020'!D11/'2019'!D11-1</f>
        <v>-9.6928312429412133E-2</v>
      </c>
      <c r="E11" s="204">
        <f>+'2020'!D11-'2019'!D11</f>
        <v>-130.45000000000005</v>
      </c>
      <c r="F11" s="76">
        <f>+'2020'!E11/'2019'!E11-1</f>
        <v>0.22357360691776296</v>
      </c>
      <c r="G11" s="204">
        <f>+'2020'!E11-'2019'!E11</f>
        <v>23579.335999999981</v>
      </c>
      <c r="H11" s="43">
        <f>+'2020'!F11/'2019'!F11-1</f>
        <v>0.35490196820296571</v>
      </c>
      <c r="I11" s="201">
        <f>+'2020'!F11-'2019'!F11</f>
        <v>27.811602506766832</v>
      </c>
      <c r="J11" s="45"/>
      <c r="K11" s="46"/>
      <c r="L11" s="47"/>
      <c r="M11" s="13"/>
      <c r="N11" s="2"/>
      <c r="O11" s="2"/>
    </row>
    <row r="12" spans="1:15" ht="19.5" customHeight="1" x14ac:dyDescent="0.3">
      <c r="A12" s="27" t="s">
        <v>26</v>
      </c>
      <c r="B12" s="79">
        <f>+'2020'!B12/'2019'!B12-1</f>
        <v>-1.5978359445420476E-2</v>
      </c>
      <c r="C12" s="42">
        <f>+'2020'!C12/'2019'!C12-1</f>
        <v>-0.36782691649136545</v>
      </c>
      <c r="D12" s="79">
        <f>+'2020'!D12/'2019'!D12-1</f>
        <v>-0.51449150810167976</v>
      </c>
      <c r="E12" s="218">
        <f>+'2020'!D12-'2019'!D12</f>
        <v>-2215.0299999999997</v>
      </c>
      <c r="F12" s="79">
        <f>+'2020'!E12/'2019'!E12-1</f>
        <v>-0.48133912326806816</v>
      </c>
      <c r="G12" s="203">
        <f>+'2020'!E12-'2019'!E12</f>
        <v>-248189.45199999999</v>
      </c>
      <c r="H12" s="79">
        <f>+'2020'!F12/'2019'!F12-1</f>
        <v>6.8283841347423158E-2</v>
      </c>
      <c r="I12" s="203">
        <f>+'2020'!F12-'2019'!F12</f>
        <v>8.1780300211270145</v>
      </c>
      <c r="J12" s="48">
        <f>+'2020'!G12/'2019'!G12-1</f>
        <v>-0.42746874374314936</v>
      </c>
      <c r="K12" s="48">
        <f>+'2020'!H12/'2019'!H12-1</f>
        <v>0.1792404578100677</v>
      </c>
      <c r="L12" s="82"/>
      <c r="M12" s="13"/>
      <c r="N12" s="2"/>
      <c r="O12" s="2"/>
    </row>
    <row r="13" spans="1:15" ht="18.75" customHeight="1" x14ac:dyDescent="0.3">
      <c r="A13" s="28" t="s">
        <v>12</v>
      </c>
      <c r="B13" s="80">
        <f>+'2020'!B13/'2019'!B13-1</f>
        <v>-1.0070847586597931E-2</v>
      </c>
      <c r="C13" s="43">
        <f>+'2020'!C13/'2019'!C13-1</f>
        <v>-0.35844906519348319</v>
      </c>
      <c r="D13" s="80">
        <f>+'2020'!D13/'2019'!D13-1</f>
        <v>-0.55167250608685325</v>
      </c>
      <c r="E13" s="204">
        <f>+'2020'!D13-'2019'!D13</f>
        <v>-1300.5899999999999</v>
      </c>
      <c r="F13" s="80">
        <f>+'2020'!E13/'2019'!E13-1</f>
        <v>-0.5764687427666505</v>
      </c>
      <c r="G13" s="204">
        <f>+'2020'!E13-'2019'!E13</f>
        <v>-231561.59899999996</v>
      </c>
      <c r="H13" s="80">
        <f>+'2020'!F13/'2019'!F13-1</f>
        <v>-5.5308311483125316E-2</v>
      </c>
      <c r="I13" s="202">
        <f>+'2020'!F13-'2019'!F13</f>
        <v>-9.4237141851159265</v>
      </c>
      <c r="J13" s="45"/>
      <c r="K13" s="46"/>
      <c r="L13" s="47"/>
      <c r="M13" s="13"/>
      <c r="N13" s="2"/>
      <c r="O13" s="2"/>
    </row>
    <row r="14" spans="1:15" ht="16.5" customHeight="1" x14ac:dyDescent="0.3">
      <c r="A14" s="28" t="s">
        <v>13</v>
      </c>
      <c r="B14" s="43">
        <f>+'2020'!B14/'2019'!B14-1</f>
        <v>-4.1742733886683814E-2</v>
      </c>
      <c r="C14" s="43">
        <f>+'2020'!C14/'2019'!C14-1</f>
        <v>-0.57347167694896228</v>
      </c>
      <c r="D14" s="80">
        <f>+'2020'!D14/'2019'!D14-1</f>
        <v>-0.46948771396592981</v>
      </c>
      <c r="E14" s="204">
        <f>+'2020'!D14-'2019'!D14</f>
        <v>-914.44</v>
      </c>
      <c r="F14" s="80">
        <f>+'2020'!E14/'2019'!E14-1</f>
        <v>-0.14594403263691313</v>
      </c>
      <c r="G14" s="204">
        <f>+'2020'!E14-'2019'!E14</f>
        <v>-16627.853000000003</v>
      </c>
      <c r="H14" s="43">
        <f>+'2020'!F14/'2019'!F14-1</f>
        <v>0.60987028924008402</v>
      </c>
      <c r="I14" s="202">
        <f>+'2020'!F14-'2019'!F14</f>
        <v>35.674371242436536</v>
      </c>
      <c r="J14" s="45"/>
      <c r="K14" s="46"/>
      <c r="L14" s="47"/>
      <c r="M14" s="13"/>
      <c r="N14" s="2"/>
      <c r="O14" s="2"/>
    </row>
    <row r="15" spans="1:15" ht="21" customHeight="1" x14ac:dyDescent="0.3">
      <c r="A15" s="27" t="s">
        <v>14</v>
      </c>
      <c r="B15" s="79">
        <f>+'2020'!B15/'2019'!B15-1</f>
        <v>-3.1656118718970006E-2</v>
      </c>
      <c r="C15" s="42">
        <f>+'2020'!C15/'2019'!C15-1</f>
        <v>-3.8043050785244503E-2</v>
      </c>
      <c r="D15" s="79">
        <f>+'2020'!D15/'2019'!D15-1</f>
        <v>-0.1294956421914415</v>
      </c>
      <c r="E15" s="203">
        <f>+'2020'!D15-'2019'!D15</f>
        <v>-342.92000000000007</v>
      </c>
      <c r="F15" s="79">
        <f>+'2020'!E15/'2019'!E15-1</f>
        <v>1.7599585483234925E-2</v>
      </c>
      <c r="G15" s="203">
        <f>+'2020'!E15-'2019'!E15</f>
        <v>5827.6939999999595</v>
      </c>
      <c r="H15" s="79">
        <f>+'2020'!F15/'2019'!F15-1</f>
        <v>0.16897701471016124</v>
      </c>
      <c r="I15" s="203">
        <f>+'2020'!F15-'2019'!F15</f>
        <v>21.129259285485659</v>
      </c>
      <c r="J15" s="81">
        <f>+'2020'!G15/'2019'!G15-1</f>
        <v>-0.12375329250583456</v>
      </c>
      <c r="K15" s="48">
        <f>+'2020'!H15/'2019'!H15-1</f>
        <v>6.5965777587408958E-3</v>
      </c>
      <c r="L15" s="82"/>
      <c r="M15" s="13"/>
      <c r="N15" s="2"/>
      <c r="O15" s="2"/>
    </row>
    <row r="16" spans="1:15" ht="22.5" customHeight="1" x14ac:dyDescent="0.3">
      <c r="A16" s="28" t="s">
        <v>12</v>
      </c>
      <c r="B16" s="80">
        <f>+'2020'!B16/'2019'!B16-1</f>
        <v>-2.0273324367609535E-2</v>
      </c>
      <c r="C16" s="43">
        <f>+'2020'!C16/'2019'!C16-1</f>
        <v>-6.8561390629506502E-2</v>
      </c>
      <c r="D16" s="80">
        <f>+'2020'!D16/'2019'!D16-1</f>
        <v>-0.37661126830801916</v>
      </c>
      <c r="E16" s="202">
        <f>+'2020'!D16-'2019'!D16</f>
        <v>-694.78</v>
      </c>
      <c r="F16" s="80">
        <f>+'2020'!E16/'2019'!E16-1</f>
        <v>0.12881375221730651</v>
      </c>
      <c r="G16" s="202">
        <f>+'2020'!E16-'2019'!E16</f>
        <v>29914.779000000039</v>
      </c>
      <c r="H16" s="80">
        <f>+'2020'!F16/'2019'!F16-1</f>
        <v>0.81077022222316719</v>
      </c>
      <c r="I16" s="202">
        <f>+'2020'!F16-'2019'!F16</f>
        <v>102.06277193295793</v>
      </c>
      <c r="J16" s="45"/>
      <c r="K16" s="46"/>
      <c r="L16" s="47"/>
      <c r="M16" s="13"/>
      <c r="N16" s="2"/>
      <c r="O16" s="2"/>
    </row>
    <row r="17" spans="1:15" ht="16.5" customHeight="1" x14ac:dyDescent="0.3">
      <c r="A17" s="28" t="s">
        <v>13</v>
      </c>
      <c r="B17" s="43">
        <f>+'2020'!B17/'2019'!B17-1</f>
        <v>-8.1716445382482128E-2</v>
      </c>
      <c r="C17" s="43" t="e">
        <f>+'2020'!C17/'2019'!C17-1</f>
        <v>#DIV/0!</v>
      </c>
      <c r="D17" s="222">
        <f>+'2020'!D17/'2019'!D17-1</f>
        <v>0.43801817502800944</v>
      </c>
      <c r="E17" s="219">
        <f>+'2020'!D17-'2019'!D17</f>
        <v>351.8599999999999</v>
      </c>
      <c r="F17" s="43">
        <f>+'2020'!E17/'2019'!E17-1</f>
        <v>-0.24356474673263961</v>
      </c>
      <c r="G17" s="201">
        <f>+'2020'!E17-'2019'!E17</f>
        <v>-24087.085000000006</v>
      </c>
      <c r="H17" s="43">
        <f>+'2020'!F17/'2019'!F17-1</f>
        <v>-0.47397378809024671</v>
      </c>
      <c r="I17" s="202">
        <f>+'2020'!F17-'2019'!F17</f>
        <v>-58.350740762052794</v>
      </c>
      <c r="J17" s="45"/>
      <c r="K17" s="46"/>
      <c r="L17" s="47"/>
      <c r="M17" s="13"/>
      <c r="N17" s="2"/>
      <c r="O17" s="2"/>
    </row>
    <row r="18" spans="1:15" ht="22.5" customHeight="1" x14ac:dyDescent="0.3">
      <c r="A18" s="27" t="s">
        <v>27</v>
      </c>
      <c r="B18" s="79">
        <f>+'2020'!B18/'2019'!B18-1</f>
        <v>-3.0969685571993533E-2</v>
      </c>
      <c r="C18" s="79">
        <f>+'2020'!C18/'2019'!C18-1</f>
        <v>0.43688674538499961</v>
      </c>
      <c r="D18" s="42">
        <f>+'2020'!D18/'2019'!D18-1</f>
        <v>0.55651453947863638</v>
      </c>
      <c r="E18" s="226">
        <f>+'2020'!D18-'2019'!D18</f>
        <v>1109.0500000000006</v>
      </c>
      <c r="F18" s="79">
        <f>+'2020'!E18/'2019'!E18-1</f>
        <v>0.37886490422266683</v>
      </c>
      <c r="G18" s="203">
        <f>+'2020'!E18-'2019'!E18</f>
        <v>124343.06300000002</v>
      </c>
      <c r="H18" s="79">
        <f>+'2020'!F18/'2019'!F18-1</f>
        <v>-0.11413297515066856</v>
      </c>
      <c r="I18" s="203">
        <f>+'2020'!F18-'2019'!F18</f>
        <v>-18.796358168733008</v>
      </c>
      <c r="J18" s="48">
        <f>+'2020'!G18/'2019'!G18-1</f>
        <v>0.33886394898607808</v>
      </c>
      <c r="K18" s="48">
        <f>+'2020'!H18/'2019'!H18-1</f>
        <v>-0.13983203174283343</v>
      </c>
      <c r="L18" s="82"/>
      <c r="M18" s="13"/>
      <c r="N18" s="2"/>
      <c r="O18" s="2"/>
    </row>
    <row r="19" spans="1:15" ht="21" customHeight="1" x14ac:dyDescent="0.3">
      <c r="A19" s="28" t="s">
        <v>12</v>
      </c>
      <c r="B19" s="80">
        <f>+'2020'!B19/'2019'!B19-1</f>
        <v>-1.2718386206138077E-2</v>
      </c>
      <c r="C19" s="80">
        <f>+'2020'!C19/'2019'!C19-1</f>
        <v>0.43167581351516193</v>
      </c>
      <c r="D19" s="80">
        <f>+'2020'!D19/'2019'!D19-1</f>
        <v>0.8241564784849571</v>
      </c>
      <c r="E19" s="202">
        <f>+'2020'!D19-'2019'!D19</f>
        <v>1100.1499999999996</v>
      </c>
      <c r="F19" s="80">
        <f>+'2020'!E19/'2019'!E19-1</f>
        <v>0.6446752899651913</v>
      </c>
      <c r="G19" s="202">
        <f>+'2020'!E19-'2019'!E19</f>
        <v>137749.79799999995</v>
      </c>
      <c r="H19" s="80">
        <f>+'2020'!F19/'2019'!F19-1</f>
        <v>-9.8391333548771498E-2</v>
      </c>
      <c r="I19" s="202">
        <f>+'2020'!F19-'2019'!F19</f>
        <v>-15.749420080376268</v>
      </c>
      <c r="J19" s="45"/>
      <c r="K19" s="46"/>
      <c r="L19" s="47"/>
      <c r="M19" s="13"/>
      <c r="N19" s="2"/>
      <c r="O19" s="2"/>
    </row>
    <row r="20" spans="1:15" ht="18" customHeight="1" x14ac:dyDescent="0.3">
      <c r="A20" s="28" t="s">
        <v>13</v>
      </c>
      <c r="B20" s="80">
        <f>+'2020'!B20/'2019'!B20-1</f>
        <v>-0.11180620192408708</v>
      </c>
      <c r="C20" s="80" t="e">
        <f>+'2020'!C20/'2019'!C20-1</f>
        <v>#DIV/0!</v>
      </c>
      <c r="D20" s="222">
        <f>+'2020'!D20/'2019'!D20-1</f>
        <v>1.3526452573825676E-2</v>
      </c>
      <c r="E20" s="219">
        <f>+'2020'!D20-'2019'!D20</f>
        <v>8.9000000000000909</v>
      </c>
      <c r="F20" s="43">
        <f>+'2020'!E20/'2019'!E20-1</f>
        <v>-0.11706301010721609</v>
      </c>
      <c r="G20" s="201">
        <f>+'2020'!E20-'2019'!E20</f>
        <v>-13406.735000000015</v>
      </c>
      <c r="H20" s="80">
        <f>+'2020'!F20/'2019'!F20-1</f>
        <v>-0.12884662491976695</v>
      </c>
      <c r="I20" s="202">
        <f>+'2020'!F20-'2019'!F20</f>
        <v>-22.426954002588076</v>
      </c>
      <c r="J20" s="45"/>
      <c r="K20" s="46"/>
      <c r="L20" s="47"/>
      <c r="M20" s="13"/>
      <c r="N20" s="2"/>
      <c r="O20" s="2"/>
    </row>
    <row r="21" spans="1:15" ht="18.75" customHeight="1" x14ac:dyDescent="0.3">
      <c r="A21" s="27" t="s">
        <v>15</v>
      </c>
      <c r="B21" s="79">
        <f>+'2020'!B21/'2019'!B21-1</f>
        <v>-2.2167094794250386E-2</v>
      </c>
      <c r="C21" s="42">
        <f>+'2020'!C21/'2019'!C21-1</f>
        <v>1.0578796561604586</v>
      </c>
      <c r="D21" s="42">
        <f>+'2020'!D21/'2019'!D21-1</f>
        <v>1.0070938674598242</v>
      </c>
      <c r="E21" s="223">
        <f>+'2020'!D21-'2019'!D21</f>
        <v>1604.9349999999999</v>
      </c>
      <c r="F21" s="42">
        <f>+'2020'!E21/'2019'!E21-1</f>
        <v>0.61407298725229986</v>
      </c>
      <c r="G21" s="199">
        <f>+'2020'!E21-'2019'!E21</f>
        <v>183022.04300000001</v>
      </c>
      <c r="H21" s="79">
        <f>+'2020'!F21/'2019'!F21-1</f>
        <v>-0.19581589410411138</v>
      </c>
      <c r="I21" s="203">
        <f>+'2020'!F21-'2019'!F21</f>
        <v>-36.622150978916153</v>
      </c>
      <c r="J21" s="48">
        <f>+'2020'!G21/'2019'!G21-1</f>
        <v>0.55496184710718777</v>
      </c>
      <c r="K21" s="225">
        <f>+'2020'!H21/'2019'!H21-1</f>
        <v>-0.22526700304498171</v>
      </c>
      <c r="L21" s="49"/>
      <c r="M21" s="13"/>
      <c r="N21" s="2"/>
      <c r="O21" s="2"/>
    </row>
    <row r="22" spans="1:15" ht="20.25" customHeight="1" x14ac:dyDescent="0.3">
      <c r="A22" s="28" t="s">
        <v>12</v>
      </c>
      <c r="B22" s="80">
        <f>+'2020'!B22/'2019'!B22-1</f>
        <v>-3.3050516364917515E-3</v>
      </c>
      <c r="C22" s="43">
        <f>+'2020'!C22/'2019'!C22-1</f>
        <v>2.4721214120752233</v>
      </c>
      <c r="D22" s="43">
        <f>+'2020'!D22/'2019'!D22-1</f>
        <v>1.192609846661624</v>
      </c>
      <c r="E22" s="219">
        <f>+'2020'!D22-'2019'!D22</f>
        <v>1387.5299999999997</v>
      </c>
      <c r="F22" s="80">
        <f>+'2020'!E22/'2019'!E22-1</f>
        <v>0.5650172882829676</v>
      </c>
      <c r="G22" s="202">
        <f>+'2020'!E22-'2019'!E22</f>
        <v>124737.74799999996</v>
      </c>
      <c r="H22" s="80">
        <f>+'2020'!F22/'2019'!F22-1</f>
        <v>-0.28623084008046507</v>
      </c>
      <c r="I22" s="202">
        <f>+'2020'!F22-'2019'!F22</f>
        <v>-54.313600896909946</v>
      </c>
      <c r="J22" s="45"/>
      <c r="K22" s="45"/>
      <c r="L22" s="47"/>
      <c r="M22" s="13"/>
      <c r="N22" s="2"/>
      <c r="O22" s="2"/>
    </row>
    <row r="23" spans="1:15" ht="18" customHeight="1" x14ac:dyDescent="0.3">
      <c r="A23" s="28" t="s">
        <v>13</v>
      </c>
      <c r="B23" s="80">
        <f>+'2020'!B23/'2019'!B23-1</f>
        <v>-0.10483475859611624</v>
      </c>
      <c r="C23" s="80">
        <f>+'2020'!C23/'2019'!C23-1</f>
        <v>-0.88702359346642468</v>
      </c>
      <c r="D23" s="43">
        <f>+'2020'!D23/'2019'!D23-1</f>
        <v>0.50536972035612204</v>
      </c>
      <c r="E23" s="219">
        <f>+'2020'!D23-'2019'!D23</f>
        <v>217.40500000000009</v>
      </c>
      <c r="F23" s="43">
        <f>+'2020'!E23/'2019'!E23-1</f>
        <v>0.75421535588874922</v>
      </c>
      <c r="G23" s="201">
        <f>+'2020'!E23-'2019'!E23</f>
        <v>58284.294999999984</v>
      </c>
      <c r="H23" s="80">
        <f>+'2020'!F23/'2019'!F23-1</f>
        <v>0.16530532809824194</v>
      </c>
      <c r="I23" s="202">
        <f>+'2020'!F23-'2019'!F23</f>
        <v>29.69495820745172</v>
      </c>
      <c r="J23" s="45"/>
      <c r="K23" s="45"/>
      <c r="L23" s="47"/>
      <c r="M23" s="13"/>
      <c r="N23" s="2"/>
      <c r="O23" s="2"/>
    </row>
    <row r="24" spans="1:15" ht="20.25" customHeight="1" x14ac:dyDescent="0.3">
      <c r="A24" s="27" t="s">
        <v>16</v>
      </c>
      <c r="B24" s="42">
        <f>+'2020'!B24/'2019'!B24-1</f>
        <v>-1</v>
      </c>
      <c r="C24" s="79">
        <f>+'2020'!C24/'2019'!C24-1</f>
        <v>-1</v>
      </c>
      <c r="D24" s="42">
        <f>+'2020'!D24/'2019'!D24-1</f>
        <v>-1</v>
      </c>
      <c r="E24" s="199">
        <f>+'2020'!D24-'2019'!D24</f>
        <v>-3226.05</v>
      </c>
      <c r="F24" s="42">
        <f>+'2020'!E24/'2019'!E24-1</f>
        <v>-1</v>
      </c>
      <c r="G24" s="199">
        <f>+'2020'!E24-'2019'!E24</f>
        <v>-491506.978</v>
      </c>
      <c r="H24" s="42" t="e">
        <f>+'2020'!F24/'2019'!F24-1</f>
        <v>#VALUE!</v>
      </c>
      <c r="I24" s="203" t="e">
        <f>+'2020'!F24-'2019'!F24</f>
        <v>#VALUE!</v>
      </c>
      <c r="J24" s="42">
        <f>+'2020'!G24/'2019'!G24-1</f>
        <v>-1</v>
      </c>
      <c r="K24" s="224" t="e">
        <f>+'2020'!H24/'2019'!H24-1</f>
        <v>#VALUE!</v>
      </c>
      <c r="L24" s="44"/>
      <c r="M24" s="13"/>
      <c r="N24" s="2"/>
      <c r="O24" s="2"/>
    </row>
    <row r="25" spans="1:15" ht="16.5" x14ac:dyDescent="0.3">
      <c r="A25" s="28" t="s">
        <v>12</v>
      </c>
      <c r="B25" s="43">
        <f>+'2020'!B25/'2019'!B25-1</f>
        <v>-1</v>
      </c>
      <c r="C25" s="80">
        <f>+'2020'!C25/'2019'!C25-1</f>
        <v>-1</v>
      </c>
      <c r="D25" s="43">
        <f>+'2020'!D25/'2019'!D25-1</f>
        <v>-1</v>
      </c>
      <c r="E25" s="219">
        <f>+'2020'!D25-'2019'!D25</f>
        <v>-1985.85</v>
      </c>
      <c r="F25" s="43">
        <f>+'2020'!E25/'2019'!E25-1</f>
        <v>-1</v>
      </c>
      <c r="G25" s="219">
        <f>+'2020'!E25-'2019'!E25</f>
        <v>-356665.76500000001</v>
      </c>
      <c r="H25" s="80" t="e">
        <f>+'2020'!F25/'2019'!F25-1</f>
        <v>#VALUE!</v>
      </c>
      <c r="I25" s="202" t="e">
        <f>+'2020'!F25-'2019'!F25</f>
        <v>#VALUE!</v>
      </c>
      <c r="J25" s="22"/>
      <c r="K25" s="22"/>
      <c r="L25" s="29"/>
      <c r="M25" s="13"/>
      <c r="N25" s="2"/>
      <c r="O25" s="2"/>
    </row>
    <row r="26" spans="1:15" ht="18" customHeight="1" x14ac:dyDescent="0.3">
      <c r="A26" s="28" t="s">
        <v>13</v>
      </c>
      <c r="B26" s="43">
        <f>+'2020'!B26/'2019'!B26-1</f>
        <v>-1</v>
      </c>
      <c r="C26" s="80">
        <f>IF(+('2019'!C26)=0,"",'2020'!C26/'2019'!C26-1)</f>
        <v>-1</v>
      </c>
      <c r="D26" s="43">
        <f>+'2020'!D26/'2019'!D26-1</f>
        <v>-1</v>
      </c>
      <c r="E26" s="219">
        <f>+'2020'!D26-'2019'!D26</f>
        <v>-1240.2</v>
      </c>
      <c r="F26" s="222">
        <f>+'2020'!E26/'2019'!E26-1</f>
        <v>-1</v>
      </c>
      <c r="G26" s="219">
        <f>+'2020'!E26-'2019'!E26</f>
        <v>-134841.21299999999</v>
      </c>
      <c r="H26" s="80" t="e">
        <f>+'2020'!F26/'2019'!F26-1</f>
        <v>#VALUE!</v>
      </c>
      <c r="I26" s="202" t="e">
        <f>+'2020'!F26-'2019'!F26</f>
        <v>#VALUE!</v>
      </c>
      <c r="J26" s="22"/>
      <c r="K26" s="22"/>
      <c r="L26" s="29"/>
      <c r="M26" s="13"/>
      <c r="N26" s="2"/>
      <c r="O26" s="2"/>
    </row>
    <row r="27" spans="1:15" ht="21" customHeight="1" x14ac:dyDescent="0.3">
      <c r="A27" s="27" t="s">
        <v>17</v>
      </c>
      <c r="B27" s="42">
        <f>+'2020'!B27/'2019'!B27-1</f>
        <v>-1</v>
      </c>
      <c r="C27" s="79">
        <f>+'2020'!C27/'2019'!C27-1</f>
        <v>-1</v>
      </c>
      <c r="D27" s="42">
        <f>+'2020'!D27/'2019'!D27-1</f>
        <v>-1</v>
      </c>
      <c r="E27" s="223">
        <f>+'2020'!D27-'2019'!D27</f>
        <v>-2494.92</v>
      </c>
      <c r="F27" s="79">
        <f>+'2020'!E27/'2019'!E27-1</f>
        <v>-1</v>
      </c>
      <c r="G27" s="203">
        <f>+'2020'!E27-'2019'!E27</f>
        <v>-549979.22600000002</v>
      </c>
      <c r="H27" s="79" t="e">
        <f>+'2020'!F27/'2019'!F27-1</f>
        <v>#VALUE!</v>
      </c>
      <c r="I27" s="203" t="e">
        <f>+'2020'!F27-'2019'!F27</f>
        <v>#VALUE!</v>
      </c>
      <c r="J27" s="225">
        <f>+'2020'!G27/'2019'!G27-1</f>
        <v>-1</v>
      </c>
      <c r="K27" s="225" t="e">
        <f>+'2020'!H27/'2019'!H27-1</f>
        <v>#VALUE!</v>
      </c>
      <c r="L27" s="82"/>
      <c r="M27" s="13"/>
      <c r="N27" s="2"/>
      <c r="O27" s="2"/>
    </row>
    <row r="28" spans="1:15" ht="18" customHeight="1" x14ac:dyDescent="0.3">
      <c r="A28" s="28" t="s">
        <v>12</v>
      </c>
      <c r="B28" s="43">
        <f>+'2020'!B28/'2019'!B28-1</f>
        <v>-1</v>
      </c>
      <c r="C28" s="43">
        <f>+'2020'!C28/'2019'!C28-1</f>
        <v>-1</v>
      </c>
      <c r="D28" s="43">
        <f>+'2020'!D28/'2019'!D28-1</f>
        <v>-1</v>
      </c>
      <c r="E28" s="201">
        <f>+'2020'!D28-'2019'!D28</f>
        <v>-2039.79</v>
      </c>
      <c r="F28" s="43">
        <f>+'2020'!E28/'2019'!E28-1</f>
        <v>-1</v>
      </c>
      <c r="G28" s="201">
        <f>+'2020'!E28-'2019'!E28</f>
        <v>-383827.90700000001</v>
      </c>
      <c r="H28" s="43" t="e">
        <f>+'2020'!F28/'2019'!F28-1</f>
        <v>#VALUE!</v>
      </c>
      <c r="I28" s="201" t="e">
        <f>+'2020'!F28-'2019'!F28</f>
        <v>#VALUE!</v>
      </c>
      <c r="J28" s="45"/>
      <c r="K28" s="45"/>
      <c r="L28" s="47"/>
      <c r="M28" s="13"/>
      <c r="N28" s="2"/>
      <c r="O28" s="2"/>
    </row>
    <row r="29" spans="1:15" ht="24.75" customHeight="1" x14ac:dyDescent="0.3">
      <c r="A29" s="28" t="s">
        <v>13</v>
      </c>
      <c r="B29" s="43">
        <f>+'2020'!B29/'2019'!B29-1</f>
        <v>-1</v>
      </c>
      <c r="C29" s="80">
        <f>IF(+'2019'!C29=0,"",'2020'!C29/'2019'!C29-1)</f>
        <v>-1</v>
      </c>
      <c r="D29" s="222">
        <f>+'2020'!D29/'2019'!D29-1</f>
        <v>-1</v>
      </c>
      <c r="E29" s="219">
        <f>+'2020'!D29-'2019'!D29</f>
        <v>-455.13</v>
      </c>
      <c r="F29" s="43">
        <f>+'2020'!E29/'2019'!E29-1</f>
        <v>-1</v>
      </c>
      <c r="G29" s="219">
        <f>+'2020'!E29-'2019'!E29</f>
        <v>-166151.31900000002</v>
      </c>
      <c r="H29" s="43" t="e">
        <f>+'2020'!F29/'2019'!F29-1</f>
        <v>#VALUE!</v>
      </c>
      <c r="I29" s="201" t="e">
        <f>+'2020'!F29-'2019'!F29</f>
        <v>#VALUE!</v>
      </c>
      <c r="J29" s="45"/>
      <c r="K29" s="45"/>
      <c r="L29" s="47"/>
      <c r="M29" s="13"/>
      <c r="N29" s="2"/>
      <c r="O29" s="2"/>
    </row>
    <row r="30" spans="1:15" ht="16.5" x14ac:dyDescent="0.3">
      <c r="A30" s="27" t="s">
        <v>28</v>
      </c>
      <c r="B30" s="79">
        <f>+'2020'!B30/'2019'!B30-1</f>
        <v>-1</v>
      </c>
      <c r="C30" s="42">
        <f>+'2020'!C30/'2019'!C30-1</f>
        <v>-1</v>
      </c>
      <c r="D30" s="42">
        <f>+'2020'!D30/'2019'!D30-1</f>
        <v>-1</v>
      </c>
      <c r="E30" s="223">
        <f>+'2020'!D30-'2019'!D30</f>
        <v>-2619.8199999999997</v>
      </c>
      <c r="F30" s="224">
        <f>+'2020'!E30/'2019'!E30-1</f>
        <v>-1</v>
      </c>
      <c r="G30" s="223">
        <f>+'2020'!E30-'2019'!E30</f>
        <v>-532895.34700000007</v>
      </c>
      <c r="H30" s="79" t="e">
        <f>+'2020'!F30/'2019'!F30-1</f>
        <v>#VALUE!</v>
      </c>
      <c r="I30" s="203" t="e">
        <f>+'2020'!F30-'2019'!F30</f>
        <v>#VALUE!</v>
      </c>
      <c r="J30" s="224">
        <f>+'2020'!G30/'2019'!G30-1</f>
        <v>-1</v>
      </c>
      <c r="K30" s="224" t="e">
        <f>+'2020'!H30/'2019'!H30-1</f>
        <v>#VALUE!</v>
      </c>
      <c r="L30" s="122"/>
      <c r="M30" s="13"/>
      <c r="N30" s="2"/>
      <c r="O30" s="2"/>
    </row>
    <row r="31" spans="1:15" ht="18" customHeight="1" x14ac:dyDescent="0.3">
      <c r="A31" s="28" t="s">
        <v>12</v>
      </c>
      <c r="B31" s="43">
        <f>+'2020'!B31/'2019'!B31-1</f>
        <v>-1</v>
      </c>
      <c r="C31" s="43">
        <f>+'2020'!C31/'2019'!C31-1</f>
        <v>-1</v>
      </c>
      <c r="D31" s="43">
        <f>+'2020'!D31/'2019'!D31-1</f>
        <v>-1</v>
      </c>
      <c r="E31" s="219">
        <f>+'2020'!D31-'2019'!D31</f>
        <v>-2087.85</v>
      </c>
      <c r="F31" s="80">
        <f>+'2020'!E31/'2019'!E31-1</f>
        <v>-1</v>
      </c>
      <c r="G31" s="202">
        <f>+'2020'!E31-'2019'!E31</f>
        <v>-383871.08100000001</v>
      </c>
      <c r="H31" s="80" t="e">
        <f>+'2020'!F31/'2019'!F31-1</f>
        <v>#VALUE!</v>
      </c>
      <c r="I31" s="202" t="e">
        <f>+'2020'!F31-'2019'!F31</f>
        <v>#VALUE!</v>
      </c>
      <c r="J31" s="121"/>
      <c r="K31" s="93"/>
      <c r="L31" s="123"/>
      <c r="M31" s="13"/>
      <c r="N31" s="2"/>
      <c r="O31" s="2"/>
    </row>
    <row r="32" spans="1:15" ht="16.5" customHeight="1" x14ac:dyDescent="0.3">
      <c r="A32" s="28" t="s">
        <v>13</v>
      </c>
      <c r="B32" s="43">
        <f>+'2020'!B32/'2019'!B32-1</f>
        <v>-1</v>
      </c>
      <c r="C32" s="43">
        <f>IF(+'2019'!C32=0,"",'2020'!C32/'2019'!C32-1)</f>
        <v>-1</v>
      </c>
      <c r="D32" s="43">
        <f>+'2020'!D32/'2019'!D32-1</f>
        <v>-1</v>
      </c>
      <c r="E32" s="219">
        <f>+'2020'!D32-'2019'!D32</f>
        <v>-531.97</v>
      </c>
      <c r="F32" s="222">
        <f>+'2020'!E32/'2019'!E32-1</f>
        <v>-1</v>
      </c>
      <c r="G32" s="201">
        <f>+'2020'!E32-'2019'!E32</f>
        <v>-149024.266</v>
      </c>
      <c r="H32" s="80" t="e">
        <f>+'2020'!F32/'2019'!F32-1</f>
        <v>#VALUE!</v>
      </c>
      <c r="I32" s="202" t="e">
        <f>+'2020'!F32-'2019'!F32</f>
        <v>#VALUE!</v>
      </c>
      <c r="J32" s="121"/>
      <c r="K32" s="93"/>
      <c r="L32" s="123"/>
      <c r="M32" s="13"/>
      <c r="N32" s="2"/>
      <c r="O32" s="2"/>
    </row>
    <row r="33" spans="1:15" ht="20.25" customHeight="1" x14ac:dyDescent="0.3">
      <c r="A33" s="27" t="s">
        <v>18</v>
      </c>
      <c r="B33" s="79">
        <f>+'2020'!B33/'2019'!B33-1</f>
        <v>-1</v>
      </c>
      <c r="C33" s="42">
        <f>+'2020'!C33/'2019'!C33-1</f>
        <v>-1</v>
      </c>
      <c r="D33" s="42">
        <f>+'2020'!D33/'2019'!D33-1</f>
        <v>-1</v>
      </c>
      <c r="E33" s="193">
        <f>+'2020'!D33-'2019'!D33</f>
        <v>-2951.1800000000003</v>
      </c>
      <c r="F33" s="42">
        <f>+'2020'!E33/'2019'!E33-1</f>
        <v>-1</v>
      </c>
      <c r="G33" s="193">
        <f>+'2020'!E33-'2019'!E33</f>
        <v>-545678.79799999995</v>
      </c>
      <c r="H33" s="224" t="e">
        <f>+'2020'!F33/'2019'!F33-1</f>
        <v>#VALUE!</v>
      </c>
      <c r="I33" s="223" t="e">
        <f>+'2020'!F33-'2019'!F33</f>
        <v>#VALUE!</v>
      </c>
      <c r="J33" s="225">
        <f>+'2020'!G33/'2019'!G33-1</f>
        <v>-1</v>
      </c>
      <c r="K33" s="225" t="e">
        <f>+'2020'!H33/'2019'!H33-1</f>
        <v>#VALUE!</v>
      </c>
      <c r="L33" s="49"/>
      <c r="M33" s="13"/>
      <c r="N33" s="2"/>
      <c r="O33" s="2"/>
    </row>
    <row r="34" spans="1:15" ht="18" customHeight="1" x14ac:dyDescent="0.3">
      <c r="A34" s="28" t="s">
        <v>12</v>
      </c>
      <c r="B34" s="80">
        <f>+'2020'!B34/'2019'!B34-1</f>
        <v>-1</v>
      </c>
      <c r="C34" s="80">
        <f>+'2020'!C34/'2019'!C34-1</f>
        <v>-1</v>
      </c>
      <c r="D34" s="80">
        <f>+'2020'!D34/'2019'!D34-1</f>
        <v>-1</v>
      </c>
      <c r="E34" s="202">
        <f>+'2020'!D34-'2019'!D34</f>
        <v>-2280.5100000000002</v>
      </c>
      <c r="F34" s="80">
        <f>+'2020'!E34/'2019'!E34-1</f>
        <v>-1</v>
      </c>
      <c r="G34" s="202">
        <f>+'2020'!E34-'2019'!E34</f>
        <v>-384730.24400000001</v>
      </c>
      <c r="H34" s="80" t="e">
        <f>+'2020'!F34/'2019'!F34-1</f>
        <v>#VALUE!</v>
      </c>
      <c r="I34" s="202" t="e">
        <f>+'2020'!F34-'2019'!F34</f>
        <v>#VALUE!</v>
      </c>
      <c r="J34" s="45"/>
      <c r="K34" s="75"/>
      <c r="L34" s="47"/>
      <c r="M34" s="13"/>
      <c r="N34" s="2"/>
      <c r="O34" s="2"/>
    </row>
    <row r="35" spans="1:15" ht="21" customHeight="1" x14ac:dyDescent="0.3">
      <c r="A35" s="28" t="s">
        <v>13</v>
      </c>
      <c r="B35" s="80">
        <f>+'2020'!B35/'2019'!B35-1</f>
        <v>-1</v>
      </c>
      <c r="C35" s="80">
        <f>+'2020'!C35/'2019'!C35-1</f>
        <v>-1</v>
      </c>
      <c r="D35" s="80">
        <f>+'2020'!D35/'2019'!D35-1</f>
        <v>-1</v>
      </c>
      <c r="E35" s="202">
        <f>+'2020'!D35-'2019'!D35</f>
        <v>-670.67</v>
      </c>
      <c r="F35" s="80">
        <f>+'2020'!E35/'2019'!E35-1</f>
        <v>-1</v>
      </c>
      <c r="G35" s="202">
        <f>+'2020'!E35-'2019'!E35</f>
        <v>-160948.554</v>
      </c>
      <c r="H35" s="80" t="e">
        <f>+'2020'!F35/'2019'!F35-1</f>
        <v>#VALUE!</v>
      </c>
      <c r="I35" s="202" t="e">
        <f>+'2020'!F35-'2019'!F35</f>
        <v>#VALUE!</v>
      </c>
      <c r="J35" s="45"/>
      <c r="K35" s="45"/>
      <c r="L35" s="47"/>
      <c r="M35" s="13"/>
      <c r="N35" s="2"/>
      <c r="O35" s="2"/>
    </row>
    <row r="36" spans="1:15" ht="18.75" customHeight="1" x14ac:dyDescent="0.3">
      <c r="A36" s="27" t="s">
        <v>19</v>
      </c>
      <c r="B36" s="42">
        <f>+'2020'!B36/'2019'!B36-1</f>
        <v>-1</v>
      </c>
      <c r="C36" s="42">
        <f>+'2020'!C36/'2019'!C36-1</f>
        <v>-1</v>
      </c>
      <c r="D36" s="42">
        <f>+'2020'!D36/'2019'!D36-1</f>
        <v>-1</v>
      </c>
      <c r="E36" s="262">
        <f>+'2020'!D36-'2019'!D36</f>
        <v>-3520.66</v>
      </c>
      <c r="F36" s="79">
        <f>+'2020'!E36/'2019'!E36-1</f>
        <v>-1</v>
      </c>
      <c r="G36" s="262">
        <f>+'2020'!E36-'2019'!E36</f>
        <v>-519654.84898880008</v>
      </c>
      <c r="H36" s="224" t="e">
        <f>+'2020'!F36/'2019'!F36-1</f>
        <v>#VALUE!</v>
      </c>
      <c r="I36" s="223" t="e">
        <f>+'2020'!F36-'2019'!F36</f>
        <v>#VALUE!</v>
      </c>
      <c r="J36" s="81">
        <f>+'2020'!G36/'2019'!G36-1</f>
        <v>-1</v>
      </c>
      <c r="K36" s="81" t="e">
        <f>+'2020'!H36/'2019'!H36-1</f>
        <v>#VALUE!</v>
      </c>
      <c r="L36" s="49"/>
      <c r="M36" s="13"/>
      <c r="N36" s="2"/>
      <c r="O36" s="2"/>
    </row>
    <row r="37" spans="1:15" ht="19.5" customHeight="1" x14ac:dyDescent="0.3">
      <c r="A37" s="28" t="s">
        <v>12</v>
      </c>
      <c r="B37" s="43">
        <f>+'2020'!B37/'2019'!B37-1</f>
        <v>-1</v>
      </c>
      <c r="C37" s="43">
        <f>+'2020'!C37/'2019'!C37-1</f>
        <v>-1</v>
      </c>
      <c r="D37" s="43">
        <f>+'2020'!D37/'2019'!D37-1</f>
        <v>-1</v>
      </c>
      <c r="E37" s="219">
        <f>+'2020'!D37-'2019'!D37</f>
        <v>-2854.77</v>
      </c>
      <c r="F37" s="80">
        <f>+'2020'!E37/'2019'!E37-1</f>
        <v>-1</v>
      </c>
      <c r="G37" s="202">
        <f>+'2020'!E37-'2019'!E37</f>
        <v>-359272.60344570002</v>
      </c>
      <c r="H37" s="146" t="e">
        <f>+'2020'!F37/'2019'!F37-1</f>
        <v>#VALUE!</v>
      </c>
      <c r="I37" s="202" t="e">
        <f>+'2020'!F37-'2019'!F37</f>
        <v>#VALUE!</v>
      </c>
      <c r="J37" s="45"/>
      <c r="K37" s="75"/>
      <c r="L37" s="47"/>
      <c r="M37" s="13"/>
      <c r="N37" s="2"/>
      <c r="O37" s="2"/>
    </row>
    <row r="38" spans="1:15" ht="18" customHeight="1" x14ac:dyDescent="0.3">
      <c r="A38" s="28" t="s">
        <v>13</v>
      </c>
      <c r="B38" s="43">
        <f>+'2020'!B38/'2019'!B38-1</f>
        <v>-1</v>
      </c>
      <c r="C38" s="43">
        <f>+'2020'!C38/'2019'!C38-1</f>
        <v>-1</v>
      </c>
      <c r="D38" s="43">
        <f>+'2020'!D38/'2019'!D38-1</f>
        <v>-1</v>
      </c>
      <c r="E38" s="219">
        <f>+'2020'!D38-'2019'!D38</f>
        <v>-665.89</v>
      </c>
      <c r="F38" s="80">
        <f>+'2020'!E38/'2019'!E38-1</f>
        <v>-1</v>
      </c>
      <c r="G38" s="202">
        <f>+'2020'!E38-'2019'!E38</f>
        <v>-160382.2455431</v>
      </c>
      <c r="H38" s="146" t="e">
        <f>+'2020'!F38/'2019'!F38-1</f>
        <v>#VALUE!</v>
      </c>
      <c r="I38" s="202" t="e">
        <f>+'2020'!F38-'2019'!F38</f>
        <v>#VALUE!</v>
      </c>
      <c r="J38" s="45"/>
      <c r="K38" s="75"/>
      <c r="L38" s="47"/>
      <c r="M38" s="13"/>
      <c r="N38" s="2"/>
      <c r="O38" s="2"/>
    </row>
    <row r="39" spans="1:15" ht="19.5" customHeight="1" x14ac:dyDescent="0.3">
      <c r="A39" s="27" t="s">
        <v>20</v>
      </c>
      <c r="B39" s="33">
        <f>+'2020'!B39/'2019'!B39-1</f>
        <v>-1</v>
      </c>
      <c r="C39" s="42">
        <f>+'2020'!C39/'2019'!C39-1</f>
        <v>-1</v>
      </c>
      <c r="D39" s="33">
        <f>+'2020'!D39/'2019'!D39-1</f>
        <v>-1</v>
      </c>
      <c r="E39" s="219">
        <f>+'2020'!D39-'2019'!D39</f>
        <v>-4333.2299999999996</v>
      </c>
      <c r="F39" s="147">
        <f>+'2020'!E39/'2019'!E39-1</f>
        <v>-1</v>
      </c>
      <c r="G39" s="202">
        <f>+'2020'!E39-'2019'!E39</f>
        <v>-512657.21699999995</v>
      </c>
      <c r="H39" s="147" t="e">
        <f>+'2020'!F39/'2019'!F39-1</f>
        <v>#VALUE!</v>
      </c>
      <c r="I39" s="203"/>
      <c r="J39" s="144">
        <f>+'2020'!G39/'2019'!G39-1</f>
        <v>-1</v>
      </c>
      <c r="K39" s="124" t="e">
        <f>+'2020'!H39/'2019'!H39-1</f>
        <v>#VALUE!</v>
      </c>
      <c r="L39" s="26"/>
      <c r="M39" s="13"/>
      <c r="N39" s="2"/>
      <c r="O39" s="2"/>
    </row>
    <row r="40" spans="1:15" ht="20.25" customHeight="1" x14ac:dyDescent="0.3">
      <c r="A40" s="28" t="s">
        <v>12</v>
      </c>
      <c r="B40" s="143">
        <f>+'2020'!B40/'2019'!B40-1</f>
        <v>-1</v>
      </c>
      <c r="C40" s="143">
        <f>+'2020'!C40/'2019'!C40-1</f>
        <v>-1</v>
      </c>
      <c r="D40" s="143">
        <f>+'2020'!D40/'2019'!D40-1</f>
        <v>-1</v>
      </c>
      <c r="E40" s="219">
        <f>+'2020'!D40-'2019'!D40</f>
        <v>-3318.7599999999998</v>
      </c>
      <c r="F40" s="148">
        <f>+'2020'!E40/'2019'!E40-1</f>
        <v>-1</v>
      </c>
      <c r="G40" s="202">
        <f>+'2020'!E40-'2019'!E40</f>
        <v>-346690.44699999999</v>
      </c>
      <c r="H40" s="149" t="e">
        <f>+'2020'!F40/'2019'!F40-1</f>
        <v>#VALUE!</v>
      </c>
      <c r="I40" s="205"/>
      <c r="J40" s="22"/>
      <c r="K40" s="22"/>
      <c r="L40" s="29"/>
      <c r="M40" s="13"/>
      <c r="N40" s="2"/>
      <c r="O40" s="2"/>
    </row>
    <row r="41" spans="1:15" ht="16.5" x14ac:dyDescent="0.3">
      <c r="A41" s="28" t="s">
        <v>13</v>
      </c>
      <c r="B41" s="143">
        <f>+'2020'!B41/'2019'!B41-1</f>
        <v>-1</v>
      </c>
      <c r="C41" s="143">
        <f>+'2020'!C41/'2019'!C41-1</f>
        <v>-1</v>
      </c>
      <c r="D41" s="143">
        <f>+'2020'!D41/'2019'!D41-1</f>
        <v>-1</v>
      </c>
      <c r="E41" s="219">
        <f>+'2020'!D41-'2019'!D41</f>
        <v>-1014.47</v>
      </c>
      <c r="F41" s="148">
        <f>+'2020'!E41/'2019'!E41-1</f>
        <v>-1</v>
      </c>
      <c r="G41" s="202">
        <f>+'2020'!E41-'2019'!E41</f>
        <v>-165966.77000000002</v>
      </c>
      <c r="H41" s="150" t="e">
        <f>+'2020'!F41/'2019'!F41-1</f>
        <v>#VALUE!</v>
      </c>
      <c r="I41" s="205"/>
      <c r="J41" s="22"/>
      <c r="K41" s="22"/>
      <c r="L41" s="29"/>
      <c r="M41" s="13"/>
      <c r="N41" s="2"/>
      <c r="O41" s="2"/>
    </row>
    <row r="42" spans="1:15" ht="16.5" customHeight="1" x14ac:dyDescent="0.3">
      <c r="A42" s="30" t="s">
        <v>21</v>
      </c>
      <c r="B42" s="78">
        <f>+'2020'!B42/'2019'!B42-1</f>
        <v>-0.22243346667809594</v>
      </c>
      <c r="C42" s="36">
        <f>+'2020'!C42/'2019'!C42-1</f>
        <v>-0.50344085739969802</v>
      </c>
      <c r="D42" s="78">
        <f>+'2020'!D42/'2019'!D42-1</f>
        <v>-0.49640850463467456</v>
      </c>
      <c r="E42" s="78">
        <f>+'2020'!E42/'2019'!E42-1</f>
        <v>-0.55991453665198387</v>
      </c>
      <c r="F42" s="36">
        <f>+'2020'!F42/'2019'!F42-1</f>
        <v>-0.12610624405251247</v>
      </c>
      <c r="G42" s="145"/>
      <c r="H42" s="78">
        <f>+'2020'!F42/'2019'!F42-1</f>
        <v>-0.12610624405251247</v>
      </c>
      <c r="I42" s="206"/>
      <c r="J42" s="78">
        <f>+'2020'!G42/'2019'!G42-1</f>
        <v>-0.6057726163018502</v>
      </c>
      <c r="K42" s="36">
        <f>+'2020'!H42/'2019'!H42-1</f>
        <v>-0.21716830540960297</v>
      </c>
      <c r="L42" s="120"/>
      <c r="M42" s="13"/>
      <c r="N42" s="2"/>
      <c r="O42" s="2"/>
    </row>
    <row r="43" spans="1:15" ht="14.25" customHeight="1" x14ac:dyDescent="0.3">
      <c r="A43" s="20" t="s">
        <v>22</v>
      </c>
      <c r="B43" s="261">
        <f>+'2020'!B43/'2019'!B43-1</f>
        <v>-0.2435024629169763</v>
      </c>
      <c r="C43" s="37">
        <f>+'2020'!C43/'2019'!C43-1</f>
        <v>-0.50069330558602965</v>
      </c>
      <c r="D43" s="37">
        <f>+'2020'!D43/'2019'!D43-1</f>
        <v>-0.50955270363341421</v>
      </c>
      <c r="E43" s="76">
        <f>+'2020'!E43/'2019'!E43-1</f>
        <v>-0.54627606358317093</v>
      </c>
      <c r="F43" s="37">
        <f>+'2020'!F43/'2019'!F43-1</f>
        <v>-7.4877280845091598E-2</v>
      </c>
      <c r="G43" s="76"/>
      <c r="H43" s="76">
        <f>+'2020'!F43/'2019'!F43-1</f>
        <v>-7.4877280845091598E-2</v>
      </c>
      <c r="I43" s="204"/>
      <c r="J43" s="38"/>
      <c r="K43" s="38"/>
      <c r="L43" s="39"/>
      <c r="M43" s="13"/>
      <c r="N43" s="2"/>
      <c r="O43" s="2"/>
    </row>
    <row r="44" spans="1:15" ht="17.25" customHeight="1" thickBot="1" x14ac:dyDescent="0.35">
      <c r="A44" s="21" t="s">
        <v>23</v>
      </c>
      <c r="B44" s="77">
        <f>+'2020'!B44/'2019'!B44-1</f>
        <v>-0.10013543916990342</v>
      </c>
      <c r="C44" s="221">
        <f>+'2020'!C44/'2019'!C44-1</f>
        <v>-0.57827613825395852</v>
      </c>
      <c r="D44" s="83">
        <f>+'2020'!D44/'2019'!D44-1</f>
        <v>-0.46558761881415822</v>
      </c>
      <c r="E44" s="77">
        <f>+'2020'!E44/'2019'!E44-1</f>
        <v>-0.5947585021680768</v>
      </c>
      <c r="F44" s="83">
        <f>+'2020'!F44/'2019'!F44-1</f>
        <v>-0.24170638237701947</v>
      </c>
      <c r="G44" s="77"/>
      <c r="H44" s="77">
        <f>+'2020'!F44/'2019'!F44-1</f>
        <v>-0.24170638237701947</v>
      </c>
      <c r="I44" s="207"/>
      <c r="J44" s="40"/>
      <c r="K44" s="40"/>
      <c r="L44" s="41"/>
      <c r="M44" s="13"/>
      <c r="N44" s="2"/>
      <c r="O44" s="2"/>
    </row>
    <row r="45" spans="1:15" ht="24" customHeight="1" x14ac:dyDescent="0.25">
      <c r="A45" s="273"/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4"/>
      <c r="N45" s="2"/>
      <c r="O45" s="2"/>
    </row>
    <row r="46" spans="1:15" ht="13.5" x14ac:dyDescent="0.25">
      <c r="A46" s="18" t="s">
        <v>59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  <c r="N46" s="2"/>
      <c r="O46" s="2"/>
    </row>
    <row r="47" spans="1:15" ht="13.5" x14ac:dyDescent="0.25">
      <c r="A47" s="7" t="s">
        <v>33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3.5" x14ac:dyDescent="0.25">
      <c r="A48" s="34"/>
      <c r="B48" s="57">
        <v>2018</v>
      </c>
      <c r="C48" s="57">
        <v>2019</v>
      </c>
      <c r="D48" s="35" t="s">
        <v>35</v>
      </c>
      <c r="E48" s="197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23.25" customHeight="1" x14ac:dyDescent="0.2">
      <c r="A49" s="55" t="s">
        <v>61</v>
      </c>
      <c r="B49" s="56">
        <f>+'2019'!E42</f>
        <v>5518358.6399888014</v>
      </c>
      <c r="C49" s="56">
        <f>+'2020'!E42</f>
        <v>2428549.4189999998</v>
      </c>
      <c r="D49" s="142">
        <f>+C49/B49-1</f>
        <v>-0.55991453665198387</v>
      </c>
      <c r="E49" s="198"/>
      <c r="F49" s="2"/>
      <c r="G49" s="2"/>
      <c r="J49" s="2"/>
      <c r="K49" s="2"/>
      <c r="L49" s="2"/>
      <c r="M49" s="2"/>
      <c r="N49" s="2"/>
      <c r="O49" s="2"/>
    </row>
    <row r="50" spans="1:15" x14ac:dyDescent="0.2">
      <c r="A50" s="5"/>
      <c r="B50" s="2"/>
      <c r="C50" s="2"/>
      <c r="D50" s="2"/>
      <c r="E50" s="2"/>
      <c r="F50" s="275"/>
      <c r="G50" s="275"/>
      <c r="H50" s="276"/>
      <c r="I50" s="276"/>
      <c r="J50" s="276"/>
      <c r="K50" s="276"/>
      <c r="L50" s="276"/>
      <c r="M50" s="2"/>
      <c r="N50" s="2"/>
      <c r="O50" s="2"/>
    </row>
    <row r="51" spans="1:15" x14ac:dyDescent="0.2">
      <c r="A51" s="5"/>
      <c r="C51" s="2"/>
      <c r="D51" s="2"/>
      <c r="E51" s="2"/>
      <c r="F51" s="276"/>
      <c r="G51" s="276"/>
      <c r="H51" s="276"/>
      <c r="I51" s="276"/>
      <c r="J51" s="276"/>
      <c r="K51" s="276"/>
      <c r="L51" s="276"/>
      <c r="M51" s="2"/>
      <c r="N51" s="2"/>
      <c r="O51" s="2"/>
    </row>
    <row r="52" spans="1:15" x14ac:dyDescent="0.2">
      <c r="A52" s="5"/>
      <c r="C52" s="5"/>
      <c r="D52" s="5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5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">
      <c r="A67" s="5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">
      <c r="A68" s="2"/>
      <c r="B68" s="6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mergeCells count="10">
    <mergeCell ref="A1:L1"/>
    <mergeCell ref="A2:L2"/>
    <mergeCell ref="A45:L45"/>
    <mergeCell ref="F50:L51"/>
    <mergeCell ref="D3:E3"/>
    <mergeCell ref="D4:E4"/>
    <mergeCell ref="F3:G3"/>
    <mergeCell ref="F4:G4"/>
    <mergeCell ref="H3:I3"/>
    <mergeCell ref="H4:I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5"/>
  <sheetViews>
    <sheetView showGridLines="0" tabSelected="1" zoomScale="70" zoomScaleNormal="70" workbookViewId="0">
      <selection activeCell="T58" sqref="T58"/>
    </sheetView>
  </sheetViews>
  <sheetFormatPr baseColWidth="10" defaultRowHeight="12.75" x14ac:dyDescent="0.2"/>
  <cols>
    <col min="1" max="1" width="11.140625" customWidth="1"/>
    <col min="2" max="2" width="9" customWidth="1"/>
    <col min="3" max="3" width="9.140625" customWidth="1"/>
    <col min="4" max="4" width="8.5703125" customWidth="1"/>
    <col min="5" max="5" width="9.140625" customWidth="1"/>
    <col min="6" max="6" width="8.140625" customWidth="1"/>
    <col min="7" max="7" width="9" customWidth="1"/>
    <col min="8" max="8" width="8.5703125" customWidth="1"/>
    <col min="9" max="9" width="7.7109375" customWidth="1"/>
    <col min="10" max="10" width="9.28515625" customWidth="1"/>
    <col min="11" max="11" width="10.42578125" customWidth="1"/>
    <col min="12" max="12" width="10.5703125" customWidth="1"/>
    <col min="13" max="13" width="9.7109375" customWidth="1"/>
    <col min="14" max="14" width="8.5703125" customWidth="1"/>
    <col min="15" max="15" width="9.28515625" customWidth="1"/>
    <col min="16" max="16" width="11" customWidth="1"/>
    <col min="17" max="17" width="9.140625" customWidth="1"/>
    <col min="18" max="18" width="9.42578125" customWidth="1"/>
    <col min="19" max="19" width="9.7109375" customWidth="1"/>
    <col min="20" max="20" width="9.85546875" customWidth="1"/>
    <col min="21" max="21" width="9.5703125" customWidth="1"/>
    <col min="22" max="22" width="11.5703125" customWidth="1"/>
    <col min="23" max="23" width="9.140625" customWidth="1"/>
    <col min="24" max="24" width="10.85546875" customWidth="1"/>
    <col min="25" max="25" width="9.5703125" customWidth="1"/>
    <col min="26" max="26" width="8" customWidth="1"/>
    <col min="27" max="27" width="9.7109375" customWidth="1"/>
    <col min="28" max="28" width="10.5703125" customWidth="1"/>
    <col min="29" max="29" width="0.28515625" hidden="1" customWidth="1"/>
    <col min="30" max="31" width="11.5703125" hidden="1" customWidth="1"/>
    <col min="32" max="32" width="10.140625" hidden="1" customWidth="1"/>
    <col min="33" max="34" width="10.42578125" hidden="1" customWidth="1"/>
    <col min="35" max="36" width="11.140625" hidden="1" customWidth="1"/>
    <col min="37" max="38" width="10.7109375" hidden="1" customWidth="1"/>
    <col min="39" max="39" width="11.42578125" hidden="1" customWidth="1"/>
    <col min="40" max="40" width="10.5703125" hidden="1" customWidth="1"/>
    <col min="41" max="41" width="10.42578125" hidden="1" customWidth="1"/>
    <col min="42" max="42" width="10" hidden="1" customWidth="1"/>
    <col min="43" max="43" width="10.85546875" hidden="1" customWidth="1"/>
    <col min="44" max="44" width="10" hidden="1" customWidth="1"/>
    <col min="45" max="45" width="9.5703125" hidden="1" customWidth="1"/>
    <col min="46" max="46" width="9.85546875" hidden="1" customWidth="1"/>
  </cols>
  <sheetData>
    <row r="2" spans="1:46" ht="17.25" x14ac:dyDescent="0.3">
      <c r="A2" s="266" t="s">
        <v>34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</row>
    <row r="3" spans="1:46" ht="16.5" thickBot="1" x14ac:dyDescent="0.3">
      <c r="A3" s="293" t="s">
        <v>130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</row>
    <row r="4" spans="1:46" x14ac:dyDescent="0.2">
      <c r="A4" s="58"/>
      <c r="B4" s="281" t="s">
        <v>1</v>
      </c>
      <c r="C4" s="282"/>
      <c r="D4" s="283"/>
      <c r="E4" s="281" t="s">
        <v>2</v>
      </c>
      <c r="F4" s="282"/>
      <c r="G4" s="283"/>
      <c r="H4" s="281" t="s">
        <v>2</v>
      </c>
      <c r="I4" s="282"/>
      <c r="J4" s="283"/>
      <c r="K4" s="281" t="s">
        <v>3</v>
      </c>
      <c r="L4" s="282"/>
      <c r="M4" s="283"/>
      <c r="N4" s="281" t="s">
        <v>4</v>
      </c>
      <c r="O4" s="282"/>
      <c r="P4" s="283"/>
      <c r="Q4" s="281" t="s">
        <v>3</v>
      </c>
      <c r="R4" s="282"/>
      <c r="S4" s="283"/>
      <c r="T4" s="281" t="s">
        <v>4</v>
      </c>
      <c r="U4" s="282"/>
      <c r="V4" s="283"/>
      <c r="W4" s="281" t="s">
        <v>3</v>
      </c>
      <c r="X4" s="282"/>
      <c r="Y4" s="283"/>
      <c r="Z4" s="281" t="s">
        <v>43</v>
      </c>
      <c r="AA4" s="282"/>
      <c r="AB4" s="283"/>
      <c r="AC4" s="281" t="s">
        <v>3</v>
      </c>
      <c r="AD4" s="282"/>
      <c r="AE4" s="283"/>
      <c r="AF4" s="281" t="s">
        <v>3</v>
      </c>
      <c r="AG4" s="282"/>
      <c r="AH4" s="283"/>
      <c r="AI4" s="281" t="s">
        <v>3</v>
      </c>
      <c r="AJ4" s="282"/>
      <c r="AK4" s="283"/>
      <c r="AL4" s="281" t="s">
        <v>43</v>
      </c>
      <c r="AM4" s="282"/>
      <c r="AN4" s="283"/>
      <c r="AO4" s="281" t="s">
        <v>43</v>
      </c>
      <c r="AP4" s="282"/>
      <c r="AQ4" s="283"/>
      <c r="AR4" s="281" t="s">
        <v>43</v>
      </c>
      <c r="AS4" s="282"/>
      <c r="AT4" s="283"/>
    </row>
    <row r="5" spans="1:46" ht="24.75" customHeight="1" x14ac:dyDescent="0.2">
      <c r="A5" s="59" t="s">
        <v>0</v>
      </c>
      <c r="B5" s="287" t="s">
        <v>60</v>
      </c>
      <c r="C5" s="288"/>
      <c r="D5" s="289"/>
      <c r="E5" s="287" t="s">
        <v>6</v>
      </c>
      <c r="F5" s="288"/>
      <c r="G5" s="289"/>
      <c r="H5" s="287" t="s">
        <v>7</v>
      </c>
      <c r="I5" s="288"/>
      <c r="J5" s="289"/>
      <c r="K5" s="287" t="s">
        <v>29</v>
      </c>
      <c r="L5" s="288"/>
      <c r="M5" s="289"/>
      <c r="N5" s="287" t="s">
        <v>29</v>
      </c>
      <c r="O5" s="288"/>
      <c r="P5" s="289"/>
      <c r="Q5" s="284" t="s">
        <v>137</v>
      </c>
      <c r="R5" s="285"/>
      <c r="S5" s="286"/>
      <c r="T5" s="287" t="s">
        <v>31</v>
      </c>
      <c r="U5" s="288"/>
      <c r="V5" s="289"/>
      <c r="W5" s="287" t="s">
        <v>32</v>
      </c>
      <c r="X5" s="288"/>
      <c r="Y5" s="289"/>
      <c r="Z5" s="287" t="s">
        <v>72</v>
      </c>
      <c r="AA5" s="288"/>
      <c r="AB5" s="289"/>
      <c r="AC5" s="287" t="s">
        <v>75</v>
      </c>
      <c r="AD5" s="288"/>
      <c r="AE5" s="289"/>
      <c r="AF5" s="287" t="s">
        <v>74</v>
      </c>
      <c r="AG5" s="288"/>
      <c r="AH5" s="289"/>
      <c r="AI5" s="287" t="s">
        <v>73</v>
      </c>
      <c r="AJ5" s="288"/>
      <c r="AK5" s="289"/>
      <c r="AL5" s="284" t="s">
        <v>127</v>
      </c>
      <c r="AM5" s="285"/>
      <c r="AN5" s="286"/>
      <c r="AO5" s="284" t="s">
        <v>126</v>
      </c>
      <c r="AP5" s="285"/>
      <c r="AQ5" s="286"/>
      <c r="AR5" s="284" t="s">
        <v>125</v>
      </c>
      <c r="AS5" s="285"/>
      <c r="AT5" s="286"/>
    </row>
    <row r="6" spans="1:46" ht="13.5" thickBot="1" x14ac:dyDescent="0.25">
      <c r="A6" s="60"/>
      <c r="B6" s="287" t="s">
        <v>8</v>
      </c>
      <c r="C6" s="288"/>
      <c r="D6" s="289"/>
      <c r="E6" s="287" t="s">
        <v>8</v>
      </c>
      <c r="F6" s="288"/>
      <c r="G6" s="289"/>
      <c r="H6" s="287" t="s">
        <v>8</v>
      </c>
      <c r="I6" s="288"/>
      <c r="J6" s="289"/>
      <c r="K6" s="287" t="s">
        <v>36</v>
      </c>
      <c r="L6" s="288"/>
      <c r="M6" s="289"/>
      <c r="N6" s="287" t="s">
        <v>38</v>
      </c>
      <c r="O6" s="288"/>
      <c r="P6" s="289"/>
      <c r="Q6" s="287" t="s">
        <v>36</v>
      </c>
      <c r="R6" s="288"/>
      <c r="S6" s="289"/>
      <c r="T6" s="287" t="s">
        <v>37</v>
      </c>
      <c r="U6" s="288"/>
      <c r="V6" s="289"/>
      <c r="W6" s="287" t="s">
        <v>36</v>
      </c>
      <c r="X6" s="288"/>
      <c r="Y6" s="289"/>
      <c r="Z6" s="287" t="s">
        <v>53</v>
      </c>
      <c r="AA6" s="288"/>
      <c r="AB6" s="289"/>
      <c r="AC6" s="287" t="s">
        <v>36</v>
      </c>
      <c r="AD6" s="288"/>
      <c r="AE6" s="289"/>
      <c r="AF6" s="287" t="s">
        <v>36</v>
      </c>
      <c r="AG6" s="288"/>
      <c r="AH6" s="289"/>
      <c r="AI6" s="287" t="s">
        <v>110</v>
      </c>
      <c r="AJ6" s="288"/>
      <c r="AK6" s="289"/>
      <c r="AL6" s="290"/>
      <c r="AM6" s="291"/>
      <c r="AN6" s="292"/>
      <c r="AO6" s="290" t="s">
        <v>53</v>
      </c>
      <c r="AP6" s="291"/>
      <c r="AQ6" s="292"/>
      <c r="AR6" s="287" t="s">
        <v>53</v>
      </c>
      <c r="AS6" s="288"/>
      <c r="AT6" s="289"/>
    </row>
    <row r="7" spans="1:46" ht="13.5" thickBot="1" x14ac:dyDescent="0.25">
      <c r="A7" s="68"/>
      <c r="B7" s="62">
        <v>2020</v>
      </c>
      <c r="C7" s="63">
        <v>2019</v>
      </c>
      <c r="D7" s="64" t="s">
        <v>40</v>
      </c>
      <c r="E7" s="62">
        <v>2020</v>
      </c>
      <c r="F7" s="63">
        <v>2019</v>
      </c>
      <c r="G7" s="64" t="s">
        <v>40</v>
      </c>
      <c r="H7" s="62">
        <v>2020</v>
      </c>
      <c r="I7" s="63">
        <v>2019</v>
      </c>
      <c r="J7" s="64" t="s">
        <v>40</v>
      </c>
      <c r="K7" s="62">
        <v>2020</v>
      </c>
      <c r="L7" s="63">
        <v>2019</v>
      </c>
      <c r="M7" s="64" t="s">
        <v>40</v>
      </c>
      <c r="N7" s="62">
        <v>2020</v>
      </c>
      <c r="O7" s="63">
        <v>2019</v>
      </c>
      <c r="P7" s="64" t="s">
        <v>40</v>
      </c>
      <c r="Q7" s="62">
        <v>2020</v>
      </c>
      <c r="R7" s="63">
        <v>2019</v>
      </c>
      <c r="S7" s="64" t="s">
        <v>40</v>
      </c>
      <c r="T7" s="62">
        <v>2020</v>
      </c>
      <c r="U7" s="63">
        <v>2019</v>
      </c>
      <c r="V7" s="64" t="s">
        <v>40</v>
      </c>
      <c r="W7" s="62">
        <v>2020</v>
      </c>
      <c r="X7" s="63">
        <v>2019</v>
      </c>
      <c r="Y7" s="64" t="s">
        <v>40</v>
      </c>
      <c r="Z7" s="62">
        <v>2020</v>
      </c>
      <c r="AA7" s="63">
        <v>2019</v>
      </c>
      <c r="AB7" s="64" t="s">
        <v>40</v>
      </c>
      <c r="AC7" s="62">
        <v>2019</v>
      </c>
      <c r="AD7" s="63">
        <v>2018</v>
      </c>
      <c r="AE7" s="64" t="s">
        <v>40</v>
      </c>
      <c r="AF7" s="62">
        <v>2019</v>
      </c>
      <c r="AG7" s="63">
        <v>2018</v>
      </c>
      <c r="AH7" s="64" t="s">
        <v>40</v>
      </c>
      <c r="AI7" s="62">
        <v>2019</v>
      </c>
      <c r="AJ7" s="63">
        <v>2018</v>
      </c>
      <c r="AK7" s="64" t="s">
        <v>40</v>
      </c>
      <c r="AL7" s="62">
        <v>2019</v>
      </c>
      <c r="AM7" s="63">
        <v>2018</v>
      </c>
      <c r="AN7" s="64" t="s">
        <v>40</v>
      </c>
      <c r="AO7" s="62">
        <v>2019</v>
      </c>
      <c r="AP7" s="63">
        <v>2018</v>
      </c>
      <c r="AQ7" s="64" t="s">
        <v>40</v>
      </c>
      <c r="AR7" s="62">
        <v>2019</v>
      </c>
      <c r="AS7" s="63">
        <v>2018</v>
      </c>
      <c r="AT7" s="64" t="s">
        <v>40</v>
      </c>
    </row>
    <row r="8" spans="1:46" ht="18" customHeight="1" x14ac:dyDescent="0.2">
      <c r="A8" s="61" t="s">
        <v>44</v>
      </c>
      <c r="B8" s="72">
        <f>+'2020'!B6</f>
        <v>43192.979999999996</v>
      </c>
      <c r="C8" s="72">
        <f>+'2019'!B6</f>
        <v>42664.83</v>
      </c>
      <c r="D8" s="67">
        <f>IF(B8="0","0",IF(C8=0,+B8/C8,+B8/C8-1))</f>
        <v>1.237904850435334E-2</v>
      </c>
      <c r="E8" s="92">
        <f>+'2020'!C6</f>
        <v>563.9</v>
      </c>
      <c r="F8" s="72">
        <f>+'2019'!C6</f>
        <v>417.13</v>
      </c>
      <c r="G8" s="295">
        <f>IF(E8="0","0",IF(F8=0,+E8/F8,+E8/F8-1))</f>
        <v>0.35185673531033479</v>
      </c>
      <c r="H8" s="72">
        <f>+'2020'!D6</f>
        <v>4010.7999999999997</v>
      </c>
      <c r="I8" s="72">
        <f>+'2019'!D6</f>
        <v>3337.02</v>
      </c>
      <c r="J8" s="67">
        <f>IF(H8="0","0",IF(I8=0,+H8/I8,+H8/I8-1))</f>
        <v>0.20191068678042079</v>
      </c>
      <c r="K8" s="102">
        <f>+'2020'!E6</f>
        <v>419784.5</v>
      </c>
      <c r="L8" s="102">
        <f>+'2019'!E6</f>
        <v>457188.25999999995</v>
      </c>
      <c r="M8" s="296">
        <f>IF(K8="0","0",IF(L8=0,+K8/L8,+K8/L8-1))</f>
        <v>-8.1812599474885839E-2</v>
      </c>
      <c r="N8" s="94">
        <f>+'2020'!F6</f>
        <v>104.66353345965892</v>
      </c>
      <c r="O8" s="94">
        <f>+'2019'!F6</f>
        <v>137.00495052471965</v>
      </c>
      <c r="P8" s="296">
        <f>IF(N8="0","0",IF(O8=0,+N8/O8,+N8/O8-1))</f>
        <v>-0.23606020761436208</v>
      </c>
      <c r="Q8" s="72">
        <f>+'2020'!G6</f>
        <v>45985.904999999999</v>
      </c>
      <c r="R8" s="72">
        <f>+'2019'!G6</f>
        <v>48497.126000000004</v>
      </c>
      <c r="S8" s="296">
        <f>IF(Q8="0","0",IF(R8=0,+Q8/R8,+Q8/R8-1))</f>
        <v>-5.1780820991330634E-2</v>
      </c>
      <c r="T8" s="72">
        <f>+'2020'!H6</f>
        <v>11465.519347761046</v>
      </c>
      <c r="U8" s="72">
        <f>+'2019'!H6</f>
        <v>14533.064230960559</v>
      </c>
      <c r="V8" s="74">
        <f>IF(T8="0","0",IF(U8=0,+T8/U8,+T8/U8-1))</f>
        <v>-0.2110735103382092</v>
      </c>
      <c r="W8" s="72">
        <f>+'2020'!I6</f>
        <v>48178.644023363748</v>
      </c>
      <c r="X8" s="72">
        <f>+'2019'!I6</f>
        <v>50805.792244860495</v>
      </c>
      <c r="Y8" s="74">
        <f>IF(W8="0","0",IF(X8=0,+W8/X8,+W8/X8-1))</f>
        <v>-5.1709620210922069E-2</v>
      </c>
      <c r="Z8" s="66">
        <f>IF(K8=0,"",+Q8/K8*100)</f>
        <v>10.954645776582984</v>
      </c>
      <c r="AA8" s="66">
        <f>IF(L8=0,"",+R8/L8*100)</f>
        <v>10.607692769713729</v>
      </c>
      <c r="AB8" s="67">
        <f>IF(Z8="0","0",IF(AA8=0,"",+Z8/AA8-1))</f>
        <v>3.2707678700861997E-2</v>
      </c>
      <c r="AC8" s="72">
        <v>145212.66700000002</v>
      </c>
      <c r="AD8" s="72">
        <v>138441.27799999999</v>
      </c>
      <c r="AE8" s="65">
        <f>(AC8/AD8)-1</f>
        <v>4.8911633133002619E-2</v>
      </c>
      <c r="AF8" s="72">
        <v>21847.921999999999</v>
      </c>
      <c r="AG8" s="72">
        <v>18474.695000000003</v>
      </c>
      <c r="AH8" s="65">
        <f>(AF8/AG8)-1</f>
        <v>0.18258634310336364</v>
      </c>
      <c r="AI8" s="72">
        <v>4362688</v>
      </c>
      <c r="AJ8" s="72">
        <v>4528954</v>
      </c>
      <c r="AK8" s="73">
        <f>(AI8/AJ8)-1</f>
        <v>-3.6711788196568174E-2</v>
      </c>
      <c r="AL8" s="188">
        <f>+AC8*100/K8</f>
        <v>34.592193613627948</v>
      </c>
      <c r="AM8" s="188">
        <f>+AD8*100/L8</f>
        <v>30.281022089237375</v>
      </c>
      <c r="AN8" s="73">
        <f>(AL8/AM8)-1</f>
        <v>0.14237206101186617</v>
      </c>
      <c r="AO8" s="190">
        <f>AF8*100/K8</f>
        <v>5.2045566236962051</v>
      </c>
      <c r="AP8" s="190">
        <f>AG8*100/L8</f>
        <v>4.0409381903201114</v>
      </c>
      <c r="AQ8" s="67">
        <f>(AO8/AP8)-1</f>
        <v>0.28795749367399148</v>
      </c>
      <c r="AR8" s="66">
        <f>AI8*0.8*100/(K8*1000)</f>
        <v>0.83141478544348368</v>
      </c>
      <c r="AS8" s="66">
        <f>AJ8*0.8*100/(L8*1000)</f>
        <v>0.79248824105850846</v>
      </c>
      <c r="AT8" s="74">
        <f>(AR8/AS8)-1</f>
        <v>4.9119396816515337E-2</v>
      </c>
    </row>
    <row r="9" spans="1:46" ht="15.75" customHeight="1" x14ac:dyDescent="0.2">
      <c r="A9" s="61" t="s">
        <v>45</v>
      </c>
      <c r="B9" s="70">
        <f>+'2020'!B9</f>
        <v>42772.5</v>
      </c>
      <c r="C9" s="70">
        <f>+'2019'!B9</f>
        <v>43063.899999999994</v>
      </c>
      <c r="D9" s="73">
        <f t="shared" ref="D9:D21" si="0">IF(B9="0","0",IF(C9=0,+B9/C9,+B9/C9-1))</f>
        <v>-6.7666885720985004E-3</v>
      </c>
      <c r="E9" s="92">
        <f>+'2020'!C9</f>
        <v>461.19000000000005</v>
      </c>
      <c r="F9" s="70">
        <f>+'2019'!C9</f>
        <v>660.27</v>
      </c>
      <c r="G9" s="73">
        <f t="shared" ref="G9:G21" si="1">IF(E9="0","0",IF(F9=0,+E9/F9,+E9/F9-1))</f>
        <v>-0.30151301740197178</v>
      </c>
      <c r="H9" s="70">
        <f>+'2020'!D9</f>
        <v>3640.08</v>
      </c>
      <c r="I9" s="70">
        <f>+'2019'!D9</f>
        <v>3409.14</v>
      </c>
      <c r="J9" s="65">
        <f t="shared" ref="J9:J21" si="2">IF(H9="0","0",IF(I9=0,+H9/I9,+H9/I9-1))</f>
        <v>6.7741424523486859E-2</v>
      </c>
      <c r="K9" s="103">
        <f>+'2020'!E9</f>
        <v>470766.92</v>
      </c>
      <c r="L9" s="103">
        <f>+'2019'!E9</f>
        <v>435803.31400000001</v>
      </c>
      <c r="M9" s="229">
        <f t="shared" ref="M9:M21" si="3">IF(K9="0","0",IF(L9=0,+K9/L9,+K9/L9-1))</f>
        <v>8.0227948886134381E-2</v>
      </c>
      <c r="N9" s="95">
        <f>+'2020'!F9</f>
        <v>129.32872903892223</v>
      </c>
      <c r="O9" s="95">
        <f>+'2019'!F9</f>
        <v>127.83379796664262</v>
      </c>
      <c r="P9" s="227">
        <f t="shared" ref="P9:P21" si="4">IF(N9="0","0",IF(O9=0,+N9/O9,+N9/O9-1))</f>
        <v>1.1694333549173708E-2</v>
      </c>
      <c r="Q9" s="70">
        <f>+'2020'!G9</f>
        <v>35318.822</v>
      </c>
      <c r="R9" s="70">
        <f>+'2019'!G9</f>
        <v>45321.375</v>
      </c>
      <c r="S9" s="104">
        <f t="shared" ref="S9:S21" si="5">IF(Q9="0","0",IF(R9=0,+Q9/R9,+Q9/R9-1))</f>
        <v>-0.22070276994023241</v>
      </c>
      <c r="T9" s="70">
        <f>+'2020'!H9</f>
        <v>9702.7598294542986</v>
      </c>
      <c r="U9" s="70">
        <f>+'2019'!H9</f>
        <v>13294.078565268661</v>
      </c>
      <c r="V9" s="73">
        <f t="shared" ref="V9:V21" si="6">IF(T9="0","0",IF(U9=0,+T9/U9,+T9/U9-1))</f>
        <v>-0.27014423889421213</v>
      </c>
      <c r="W9" s="70">
        <f>+'2020'!I9</f>
        <v>36952.733325466754</v>
      </c>
      <c r="X9" s="70">
        <f>+'2019'!I9</f>
        <v>47485.887950361859</v>
      </c>
      <c r="Y9" s="73">
        <f t="shared" ref="Y9:Y21" si="7">IF(W9="0","0",IF(X9=0,+W9/X9,+W9/X9-1))</f>
        <v>-0.22181652443575794</v>
      </c>
      <c r="Z9" s="66">
        <f t="shared" ref="Z9:Z20" si="8">IF(K9=0,"",+Q9/K9*100)</f>
        <v>7.5024009758374701</v>
      </c>
      <c r="AA9" s="61">
        <f t="shared" ref="AA9:AA20" si="9">IF(L9=0,"",+R9/L9*100)</f>
        <v>10.399502147888668</v>
      </c>
      <c r="AB9" s="73">
        <f t="shared" ref="AB9:AB20" si="10">IF(Z9="0","0",IF(AA9=0,"",+Z9/AA9-1))</f>
        <v>-0.27858075616046429</v>
      </c>
      <c r="AC9" s="70">
        <v>111694.288</v>
      </c>
      <c r="AD9" s="70">
        <v>155641.23800000001</v>
      </c>
      <c r="AE9" s="73">
        <f t="shared" ref="AE9:AE20" si="11">(AC9/AD9)-1</f>
        <v>-0.2823605784991251</v>
      </c>
      <c r="AF9" s="70">
        <v>18765.514999999999</v>
      </c>
      <c r="AG9" s="70">
        <v>22393.298000000003</v>
      </c>
      <c r="AH9" s="73">
        <f t="shared" ref="AH9:AH20" si="12">(AF9/AG9)-1</f>
        <v>-0.16200306895393446</v>
      </c>
      <c r="AI9" s="70">
        <v>806399</v>
      </c>
      <c r="AJ9" s="70">
        <v>5316807</v>
      </c>
      <c r="AK9" s="73">
        <f t="shared" ref="AK9:AK20" si="13">(AI9/AJ9)-1</f>
        <v>-0.8483302102182757</v>
      </c>
      <c r="AL9" s="188">
        <f t="shared" ref="AL9:AL19" si="14">+AC9*100/K9</f>
        <v>23.726027308800713</v>
      </c>
      <c r="AM9" s="188">
        <f t="shared" ref="AM9:AM19" si="15">+AD9*100/L9</f>
        <v>35.713642599789871</v>
      </c>
      <c r="AN9" s="73">
        <f t="shared" ref="AN9:AN20" si="16">(AL9/AM9)-1</f>
        <v>-0.33565927243332183</v>
      </c>
      <c r="AO9" s="190">
        <f t="shared" ref="AO9:AO20" si="17">AF9*100/K9</f>
        <v>3.9861583732348911</v>
      </c>
      <c r="AP9" s="191">
        <f t="shared" ref="AP9:AP20" si="18">AG9*100/L9</f>
        <v>5.1383955285847147</v>
      </c>
      <c r="AQ9" s="73">
        <f t="shared" ref="AQ9:AQ20" si="19">(AO9/AP9)-1</f>
        <v>-0.22424065040146646</v>
      </c>
      <c r="AR9" s="66">
        <f t="shared" ref="AR9:AR19" si="20">AI9*0.8*100/(K9*1000)</f>
        <v>0.13703579682276743</v>
      </c>
      <c r="AS9" s="66">
        <f t="shared" ref="AS9:AS19" si="21">AJ9*0.8*100/(L9*1000)</f>
        <v>0.97600120590179829</v>
      </c>
      <c r="AT9" s="73">
        <f t="shared" ref="AT9:AT20" si="22">(AR9/AS9)-1</f>
        <v>-0.85959464394703278</v>
      </c>
    </row>
    <row r="10" spans="1:46" ht="18" customHeight="1" x14ac:dyDescent="0.2">
      <c r="A10" s="61" t="s">
        <v>46</v>
      </c>
      <c r="B10" s="70">
        <f>+'2020'!B12</f>
        <v>42826.58</v>
      </c>
      <c r="C10" s="70">
        <f>+'2019'!B12</f>
        <v>43521.99</v>
      </c>
      <c r="D10" s="73">
        <f t="shared" si="0"/>
        <v>-1.5978359445420476E-2</v>
      </c>
      <c r="E10" s="92">
        <f>+'2020'!C12</f>
        <v>516.89</v>
      </c>
      <c r="F10" s="70">
        <f>+'2019'!C12</f>
        <v>817.64</v>
      </c>
      <c r="G10" s="73">
        <f t="shared" si="1"/>
        <v>-0.36782691649136545</v>
      </c>
      <c r="H10" s="70">
        <f>+'2020'!D12</f>
        <v>2090.25</v>
      </c>
      <c r="I10" s="70">
        <f>+'2019'!D12</f>
        <v>4305.28</v>
      </c>
      <c r="J10" s="73">
        <f t="shared" si="2"/>
        <v>-0.51449150810167976</v>
      </c>
      <c r="K10" s="103">
        <f>+'2020'!E12</f>
        <v>267433.40100000001</v>
      </c>
      <c r="L10" s="103">
        <f>+'2019'!E12</f>
        <v>515622.853</v>
      </c>
      <c r="M10" s="104">
        <f t="shared" si="3"/>
        <v>-0.48133912326806816</v>
      </c>
      <c r="N10" s="95">
        <f>+'2020'!F12</f>
        <v>127.94326085396484</v>
      </c>
      <c r="O10" s="95">
        <f>+'2019'!F12</f>
        <v>119.76523083283783</v>
      </c>
      <c r="P10" s="227">
        <f t="shared" si="4"/>
        <v>6.8283841347423158E-2</v>
      </c>
      <c r="Q10" s="70">
        <f>+'2020'!G12</f>
        <v>31160.21</v>
      </c>
      <c r="R10" s="70">
        <f>+'2019'!G12</f>
        <v>54425.343000000008</v>
      </c>
      <c r="S10" s="104">
        <f t="shared" si="5"/>
        <v>-0.42746874374314936</v>
      </c>
      <c r="T10" s="70">
        <f>+'2020'!H12</f>
        <v>14907.408204760197</v>
      </c>
      <c r="U10" s="70">
        <f>+'2019'!H12</f>
        <v>12641.533883975029</v>
      </c>
      <c r="V10" s="65">
        <f t="shared" si="6"/>
        <v>0.1792404578100677</v>
      </c>
      <c r="W10" s="70">
        <f>+'2020'!I12</f>
        <v>13316.110830317812</v>
      </c>
      <c r="X10" s="70">
        <f>+'2019'!I12</f>
        <v>41982.975591304799</v>
      </c>
      <c r="Y10" s="73">
        <f t="shared" si="7"/>
        <v>-0.68282117589883873</v>
      </c>
      <c r="Z10" s="66">
        <f t="shared" si="8"/>
        <v>11.651577508076487</v>
      </c>
      <c r="AA10" s="61">
        <f t="shared" si="9"/>
        <v>10.555261987195127</v>
      </c>
      <c r="AB10" s="65">
        <f t="shared" si="10"/>
        <v>0.10386435904777436</v>
      </c>
      <c r="AC10" s="70">
        <v>72638.392000000007</v>
      </c>
      <c r="AD10" s="70">
        <v>162855.36599999998</v>
      </c>
      <c r="AE10" s="73">
        <f t="shared" si="11"/>
        <v>-0.55396991954198171</v>
      </c>
      <c r="AF10" s="70">
        <v>12159.91</v>
      </c>
      <c r="AG10" s="70">
        <v>23810.270097892302</v>
      </c>
      <c r="AH10" s="73">
        <f t="shared" si="12"/>
        <v>-0.48929978744439351</v>
      </c>
      <c r="AI10" s="70">
        <v>938630</v>
      </c>
      <c r="AJ10" s="70">
        <v>5597163</v>
      </c>
      <c r="AK10" s="73">
        <f t="shared" si="13"/>
        <v>-0.83230254327058195</v>
      </c>
      <c r="AL10" s="188">
        <f t="shared" si="14"/>
        <v>27.161301366391406</v>
      </c>
      <c r="AM10" s="188">
        <f t="shared" si="15"/>
        <v>31.584202494608977</v>
      </c>
      <c r="AN10" s="73">
        <f t="shared" si="16"/>
        <v>-0.14003523213772784</v>
      </c>
      <c r="AO10" s="190">
        <f t="shared" si="17"/>
        <v>4.5468927794849376</v>
      </c>
      <c r="AP10" s="191">
        <f t="shared" si="18"/>
        <v>4.6177685801471453</v>
      </c>
      <c r="AQ10" s="73">
        <f t="shared" si="19"/>
        <v>-1.5348495584408206E-2</v>
      </c>
      <c r="AR10" s="66">
        <f t="shared" si="20"/>
        <v>0.28078168141757281</v>
      </c>
      <c r="AS10" s="66">
        <f t="shared" si="21"/>
        <v>0.86841193596203936</v>
      </c>
      <c r="AT10" s="73">
        <f t="shared" si="22"/>
        <v>-0.67667224529045789</v>
      </c>
    </row>
    <row r="11" spans="1:46" ht="16.5" customHeight="1" x14ac:dyDescent="0.2">
      <c r="A11" s="61" t="s">
        <v>47</v>
      </c>
      <c r="B11" s="70">
        <f>+'2020'!B15</f>
        <v>42597.06</v>
      </c>
      <c r="C11" s="70">
        <f>+'2019'!B15</f>
        <v>43989.599999999999</v>
      </c>
      <c r="D11" s="73">
        <f t="shared" si="0"/>
        <v>-3.1656118718970006E-2</v>
      </c>
      <c r="E11" s="92">
        <f>+'2020'!C15</f>
        <v>366.9</v>
      </c>
      <c r="F11" s="70">
        <f>+'2019'!C15</f>
        <v>381.41000000000008</v>
      </c>
      <c r="G11" s="73">
        <f t="shared" si="1"/>
        <v>-3.8043050785244503E-2</v>
      </c>
      <c r="H11" s="70">
        <f>+'2020'!D15</f>
        <v>2305.1999999999998</v>
      </c>
      <c r="I11" s="70">
        <f>+'2019'!D15</f>
        <v>2648.12</v>
      </c>
      <c r="J11" s="73">
        <f t="shared" si="2"/>
        <v>-0.1294956421914415</v>
      </c>
      <c r="K11" s="103">
        <f>+'2020'!E15</f>
        <v>336954.47</v>
      </c>
      <c r="L11" s="103">
        <f>+'2019'!E15</f>
        <v>331126.77600000001</v>
      </c>
      <c r="M11" s="229">
        <f t="shared" si="3"/>
        <v>1.7599585483234925E-2</v>
      </c>
      <c r="N11" s="95">
        <f>+'2020'!F15</f>
        <v>146.17146885302793</v>
      </c>
      <c r="O11" s="95">
        <f>+'2019'!F15</f>
        <v>125.04220956754227</v>
      </c>
      <c r="P11" s="227">
        <f t="shared" si="4"/>
        <v>0.16897701471016124</v>
      </c>
      <c r="Q11" s="70">
        <f>+'2020'!G15</f>
        <v>32883.478000000003</v>
      </c>
      <c r="R11" s="70">
        <f>+'2019'!G15</f>
        <v>37527.648000000001</v>
      </c>
      <c r="S11" s="104">
        <f t="shared" si="5"/>
        <v>-0.12375329250583456</v>
      </c>
      <c r="T11" s="70">
        <f>+'2020'!H15</f>
        <v>14264.913239632138</v>
      </c>
      <c r="U11" s="70">
        <f>+'2019'!H15</f>
        <v>14171.430297720648</v>
      </c>
      <c r="V11" s="65">
        <f t="shared" si="6"/>
        <v>6.5965777587408958E-3</v>
      </c>
      <c r="W11" s="70">
        <f>+'2020'!I15</f>
        <v>34409.523406361441</v>
      </c>
      <c r="X11" s="70">
        <f>+'2019'!I15</f>
        <v>39291.980413520032</v>
      </c>
      <c r="Y11" s="73">
        <f t="shared" si="7"/>
        <v>-0.12426090402606893</v>
      </c>
      <c r="Z11" s="66">
        <f t="shared" si="8"/>
        <v>9.7590270875468743</v>
      </c>
      <c r="AA11" s="61">
        <f t="shared" si="9"/>
        <v>11.333317242819408</v>
      </c>
      <c r="AB11" s="65">
        <f t="shared" si="10"/>
        <v>-0.13890815209200791</v>
      </c>
      <c r="AC11" s="70">
        <v>72238.031000000003</v>
      </c>
      <c r="AD11" s="70">
        <v>127697.95600000001</v>
      </c>
      <c r="AE11" s="73">
        <f t="shared" si="11"/>
        <v>-0.43430550290092351</v>
      </c>
      <c r="AF11" s="70">
        <v>13222.206402391039</v>
      </c>
      <c r="AG11" s="70">
        <v>22208.486999999997</v>
      </c>
      <c r="AH11" s="73">
        <f t="shared" si="12"/>
        <v>-0.40463272430980823</v>
      </c>
      <c r="AI11" s="70">
        <v>1444346</v>
      </c>
      <c r="AJ11" s="70">
        <v>4077478</v>
      </c>
      <c r="AK11" s="73">
        <f t="shared" si="13"/>
        <v>-0.64577466757637936</v>
      </c>
      <c r="AL11" s="188">
        <f t="shared" si="14"/>
        <v>21.438513933351295</v>
      </c>
      <c r="AM11" s="188">
        <f t="shared" si="15"/>
        <v>38.564672281289631</v>
      </c>
      <c r="AN11" s="73">
        <f t="shared" si="16"/>
        <v>-0.44408930077301367</v>
      </c>
      <c r="AO11" s="190">
        <f t="shared" si="17"/>
        <v>3.9240335355667013</v>
      </c>
      <c r="AP11" s="191">
        <f t="shared" si="18"/>
        <v>6.7069438685320923</v>
      </c>
      <c r="AQ11" s="73">
        <f t="shared" si="19"/>
        <v>-0.41492971873856899</v>
      </c>
      <c r="AR11" s="66">
        <f t="shared" si="20"/>
        <v>0.34291778352131669</v>
      </c>
      <c r="AS11" s="66">
        <f t="shared" si="21"/>
        <v>0.98511586390102157</v>
      </c>
      <c r="AT11" s="73">
        <f t="shared" si="22"/>
        <v>-0.65190106454749874</v>
      </c>
    </row>
    <row r="12" spans="1:46" ht="15.75" customHeight="1" x14ac:dyDescent="0.2">
      <c r="A12" s="61" t="s">
        <v>48</v>
      </c>
      <c r="B12" s="70">
        <f>+'2020'!B18</f>
        <v>42561.42</v>
      </c>
      <c r="C12" s="70">
        <f>+'2019'!B18</f>
        <v>43921.66</v>
      </c>
      <c r="D12" s="73">
        <f t="shared" si="0"/>
        <v>-3.0969685571993533E-2</v>
      </c>
      <c r="E12" s="92">
        <f>+'2020'!C18</f>
        <v>259.20000000000005</v>
      </c>
      <c r="F12" s="70">
        <f>+'2019'!C18</f>
        <v>180.39</v>
      </c>
      <c r="G12" s="227">
        <f t="shared" si="1"/>
        <v>0.43688674538499961</v>
      </c>
      <c r="H12" s="70">
        <f>+'2020'!D18</f>
        <v>3101.9000000000005</v>
      </c>
      <c r="I12" s="70">
        <f>+'2019'!D18</f>
        <v>1992.85</v>
      </c>
      <c r="J12" s="65">
        <f t="shared" si="2"/>
        <v>0.55651453947863638</v>
      </c>
      <c r="K12" s="103">
        <f>+'2020'!E18</f>
        <v>452542.011</v>
      </c>
      <c r="L12" s="103">
        <f>+'2019'!E18</f>
        <v>328198.94799999997</v>
      </c>
      <c r="M12" s="229">
        <f t="shared" si="3"/>
        <v>0.37886490422266683</v>
      </c>
      <c r="N12" s="95">
        <f>+'2020'!F18</f>
        <v>145.89187626938326</v>
      </c>
      <c r="O12" s="95">
        <f>+'2019'!F18</f>
        <v>164.68823443811627</v>
      </c>
      <c r="P12" s="73">
        <f t="shared" si="4"/>
        <v>-0.11413297515066856</v>
      </c>
      <c r="Q12" s="70">
        <f>+'2020'!G18</f>
        <v>49002.695</v>
      </c>
      <c r="R12" s="70">
        <f>+'2019'!G18</f>
        <v>36600.205000000002</v>
      </c>
      <c r="S12" s="229">
        <f t="shared" si="5"/>
        <v>0.33886394898607808</v>
      </c>
      <c r="T12" s="70">
        <f>+'2020'!H18</f>
        <v>15797.638544118119</v>
      </c>
      <c r="U12" s="70">
        <f>+'2019'!H18</f>
        <v>18365.760092330082</v>
      </c>
      <c r="V12" s="73">
        <f t="shared" si="6"/>
        <v>-0.13983203174283343</v>
      </c>
      <c r="W12" s="70">
        <f>+'2020'!I18</f>
        <v>51300.963666220894</v>
      </c>
      <c r="X12" s="70">
        <f>+'2019'!I18</f>
        <v>38278.288661632047</v>
      </c>
      <c r="Y12" s="227">
        <f>IF(W12="0","0",IF(X12=0,+W12/X12,+W12/X12-1))</f>
        <v>0.34021048118700326</v>
      </c>
      <c r="Z12" s="66">
        <f t="shared" si="8"/>
        <v>10.828319539155448</v>
      </c>
      <c r="AA12" s="61">
        <f t="shared" si="9"/>
        <v>11.151834953474623</v>
      </c>
      <c r="AB12" s="65">
        <f t="shared" si="10"/>
        <v>-2.9010061184448932E-2</v>
      </c>
      <c r="AC12" s="70">
        <v>88341.138000000006</v>
      </c>
      <c r="AD12" s="70">
        <v>97390.749000000011</v>
      </c>
      <c r="AE12" s="73">
        <f t="shared" si="11"/>
        <v>-9.2920642801504694E-2</v>
      </c>
      <c r="AF12" s="70">
        <v>14198.368</v>
      </c>
      <c r="AG12" s="70">
        <v>14931.367</v>
      </c>
      <c r="AH12" s="73">
        <f t="shared" si="12"/>
        <v>-4.9091218506651102E-2</v>
      </c>
      <c r="AI12" s="70">
        <v>3696051</v>
      </c>
      <c r="AJ12" s="70">
        <v>2395803</v>
      </c>
      <c r="AK12" s="227">
        <f t="shared" si="13"/>
        <v>0.54271907999113456</v>
      </c>
      <c r="AL12" s="188">
        <f t="shared" si="14"/>
        <v>19.521091048494945</v>
      </c>
      <c r="AM12" s="188">
        <f t="shared" si="15"/>
        <v>29.674302612328912</v>
      </c>
      <c r="AN12" s="73">
        <f t="shared" si="16"/>
        <v>-0.34215501865292586</v>
      </c>
      <c r="AO12" s="190">
        <f t="shared" si="17"/>
        <v>3.1374695950604243</v>
      </c>
      <c r="AP12" s="191">
        <f t="shared" si="18"/>
        <v>4.5494865510659714</v>
      </c>
      <c r="AQ12" s="73">
        <f t="shared" si="19"/>
        <v>-0.31036842073413828</v>
      </c>
      <c r="AR12" s="66">
        <f t="shared" si="20"/>
        <v>0.65338481911682667</v>
      </c>
      <c r="AS12" s="66">
        <f t="shared" si="21"/>
        <v>0.58398797792612056</v>
      </c>
      <c r="AT12" s="65">
        <f t="shared" si="22"/>
        <v>0.1188326537767963</v>
      </c>
    </row>
    <row r="13" spans="1:46" x14ac:dyDescent="0.2">
      <c r="A13" s="61" t="s">
        <v>49</v>
      </c>
      <c r="B13" s="70">
        <f>+'2020'!B21</f>
        <v>42542.850000000006</v>
      </c>
      <c r="C13" s="70">
        <f>+'2019'!B21</f>
        <v>43507.28</v>
      </c>
      <c r="D13" s="73">
        <f t="shared" si="0"/>
        <v>-2.2167094794250386E-2</v>
      </c>
      <c r="E13" s="92">
        <f>+'2020'!C21</f>
        <v>107.73</v>
      </c>
      <c r="F13" s="70">
        <f>+'2019'!C21</f>
        <v>52.35</v>
      </c>
      <c r="G13" s="227">
        <f t="shared" si="1"/>
        <v>1.0578796561604586</v>
      </c>
      <c r="H13" s="70">
        <f>+'2020'!D21</f>
        <v>3198.5650000000001</v>
      </c>
      <c r="I13" s="70">
        <f>+'2019'!D21</f>
        <v>1593.63</v>
      </c>
      <c r="J13" s="65">
        <f t="shared" si="2"/>
        <v>1.0070938674598242</v>
      </c>
      <c r="K13" s="103">
        <f>+'2020'!E21</f>
        <v>481068.11700000003</v>
      </c>
      <c r="L13" s="103">
        <f>+'2019'!E21</f>
        <v>298046.07400000002</v>
      </c>
      <c r="M13" s="104">
        <f t="shared" si="3"/>
        <v>0.61407298725229986</v>
      </c>
      <c r="N13" s="95">
        <f>+'2020'!F21</f>
        <v>150.4012321150266</v>
      </c>
      <c r="O13" s="95">
        <f>+'2019'!F21</f>
        <v>187.02338309394275</v>
      </c>
      <c r="P13" s="73">
        <f t="shared" si="4"/>
        <v>-0.19581589410411138</v>
      </c>
      <c r="Q13" s="70">
        <f>+'2020'!G21</f>
        <v>52856.543000000005</v>
      </c>
      <c r="R13" s="70">
        <f>+'2019'!G21</f>
        <v>33992.18</v>
      </c>
      <c r="S13" s="229">
        <f t="shared" si="5"/>
        <v>0.55496184710718777</v>
      </c>
      <c r="T13" s="70">
        <f>+'2020'!H21</f>
        <v>16525.080153131174</v>
      </c>
      <c r="U13" s="70">
        <f>+'2019'!H21</f>
        <v>21330.032692657642</v>
      </c>
      <c r="V13" s="73">
        <f t="shared" si="6"/>
        <v>-0.22526700304498171</v>
      </c>
      <c r="W13" s="70">
        <f>+'2020'!I21</f>
        <v>55339.666559812249</v>
      </c>
      <c r="X13" s="70">
        <f>+'2019'!I21</f>
        <v>35538.511622876016</v>
      </c>
      <c r="Y13" s="65">
        <f t="shared" si="7"/>
        <v>0.55717457014126337</v>
      </c>
      <c r="Z13" s="66">
        <f t="shared" si="8"/>
        <v>10.987330303579441</v>
      </c>
      <c r="AA13" s="61">
        <f t="shared" si="9"/>
        <v>11.405008475300365</v>
      </c>
      <c r="AB13" s="227">
        <f t="shared" si="10"/>
        <v>-3.6622346456425925E-2</v>
      </c>
      <c r="AC13" s="70">
        <v>108448.93799999999</v>
      </c>
      <c r="AD13" s="70">
        <v>108733.68700000001</v>
      </c>
      <c r="AE13" s="73">
        <f t="shared" si="11"/>
        <v>-2.6187744374014388E-3</v>
      </c>
      <c r="AF13" s="70">
        <v>16313.229999999998</v>
      </c>
      <c r="AG13" s="70">
        <v>16406.942999999999</v>
      </c>
      <c r="AH13" s="73">
        <f t="shared" si="12"/>
        <v>-5.7117892102143131E-3</v>
      </c>
      <c r="AI13" s="70">
        <v>4022897</v>
      </c>
      <c r="AJ13" s="70">
        <v>5046605</v>
      </c>
      <c r="AK13" s="73">
        <f t="shared" si="13"/>
        <v>-0.20285082743745553</v>
      </c>
      <c r="AL13" s="188">
        <f t="shared" si="14"/>
        <v>22.543364269555195</v>
      </c>
      <c r="AM13" s="188">
        <f t="shared" si="15"/>
        <v>36.482173893691353</v>
      </c>
      <c r="AN13" s="65">
        <f t="shared" si="16"/>
        <v>-0.38207179387811963</v>
      </c>
      <c r="AO13" s="190">
        <f t="shared" si="17"/>
        <v>3.3910436845682703</v>
      </c>
      <c r="AP13" s="191">
        <f t="shared" si="18"/>
        <v>5.5048344639493543</v>
      </c>
      <c r="AQ13" s="65">
        <f t="shared" si="19"/>
        <v>-0.38398807325163031</v>
      </c>
      <c r="AR13" s="66">
        <f t="shared" si="20"/>
        <v>0.6689941582638701</v>
      </c>
      <c r="AS13" s="66">
        <f t="shared" si="21"/>
        <v>1.3545838553806953</v>
      </c>
      <c r="AT13" s="65">
        <f t="shared" si="22"/>
        <v>-0.50612569638528981</v>
      </c>
    </row>
    <row r="14" spans="1:46" hidden="1" x14ac:dyDescent="0.2">
      <c r="A14" s="61" t="s">
        <v>50</v>
      </c>
      <c r="B14" s="70">
        <f>+'2020'!B24</f>
        <v>0</v>
      </c>
      <c r="C14" s="70">
        <f>+'2019'!B24</f>
        <v>43404</v>
      </c>
      <c r="D14" s="228">
        <f t="shared" si="0"/>
        <v>-1</v>
      </c>
      <c r="E14" s="92">
        <f>+'2020'!C24</f>
        <v>0</v>
      </c>
      <c r="F14" s="70">
        <f>+'2019'!C24</f>
        <v>69.75</v>
      </c>
      <c r="G14" s="73">
        <f>IF(E14="0","0",IF(F14=0,+E14/F14,+E14/F14-1))</f>
        <v>-1</v>
      </c>
      <c r="H14" s="70">
        <f>+'2020'!D24</f>
        <v>0</v>
      </c>
      <c r="I14" s="70">
        <f>+'2019'!D24</f>
        <v>3226.05</v>
      </c>
      <c r="J14" s="65">
        <f t="shared" si="2"/>
        <v>-1</v>
      </c>
      <c r="K14" s="103">
        <f>+'2020'!E24</f>
        <v>0</v>
      </c>
      <c r="L14" s="103">
        <f>+'2019'!E24</f>
        <v>491506.978</v>
      </c>
      <c r="M14" s="106">
        <f t="shared" si="3"/>
        <v>-1</v>
      </c>
      <c r="N14" s="95" t="str">
        <f>+'2020'!F24</f>
        <v/>
      </c>
      <c r="O14" s="95">
        <f>+'2019'!F24</f>
        <v>152.35566032764527</v>
      </c>
      <c r="P14" s="73" t="e">
        <f t="shared" si="4"/>
        <v>#VALUE!</v>
      </c>
      <c r="Q14" s="70">
        <f>+'2020'!G24</f>
        <v>0</v>
      </c>
      <c r="R14" s="70">
        <f>+'2019'!G24</f>
        <v>53187.876000000004</v>
      </c>
      <c r="S14" s="229">
        <f>IF(Q14="0","0",IF(R14=0,+Q14/R14,+Q14/R14-1))</f>
        <v>-1</v>
      </c>
      <c r="T14" s="70" t="str">
        <f>+'2020'!H24</f>
        <v/>
      </c>
      <c r="U14" s="70">
        <f>+'2019'!H24</f>
        <v>16486.996791742225</v>
      </c>
      <c r="V14" s="73" t="e">
        <f t="shared" si="6"/>
        <v>#VALUE!</v>
      </c>
      <c r="W14" s="70">
        <f>+'2020'!I24</f>
        <v>0</v>
      </c>
      <c r="X14" s="70">
        <f>+'2019'!I24</f>
        <v>55668.169923431924</v>
      </c>
      <c r="Y14" s="227">
        <f t="shared" si="7"/>
        <v>-1</v>
      </c>
      <c r="Z14" s="66" t="str">
        <f t="shared" si="8"/>
        <v/>
      </c>
      <c r="AA14" s="61">
        <f t="shared" si="9"/>
        <v>10.821387768781586</v>
      </c>
      <c r="AB14" s="227" t="e">
        <f>IF(Z14="0","0",IF(AA14=0,"",+Z14/AA14-1))</f>
        <v>#VALUE!</v>
      </c>
      <c r="AC14" s="70">
        <v>159554.753</v>
      </c>
      <c r="AD14" s="70">
        <v>96406.351999999999</v>
      </c>
      <c r="AE14" s="65">
        <f t="shared" si="11"/>
        <v>0.65502323954753527</v>
      </c>
      <c r="AF14" s="70">
        <v>22364.601000000002</v>
      </c>
      <c r="AG14" s="70">
        <v>13206.143</v>
      </c>
      <c r="AH14" s="227">
        <f t="shared" si="12"/>
        <v>0.69349983564466955</v>
      </c>
      <c r="AI14" s="70">
        <v>4871887</v>
      </c>
      <c r="AJ14" s="70">
        <v>2853412</v>
      </c>
      <c r="AK14" s="227">
        <f t="shared" si="13"/>
        <v>0.70738995980951924</v>
      </c>
      <c r="AL14" s="188" t="e">
        <f t="shared" si="14"/>
        <v>#DIV/0!</v>
      </c>
      <c r="AM14" s="188">
        <f t="shared" si="15"/>
        <v>19.614442177868732</v>
      </c>
      <c r="AN14" s="65" t="e">
        <f t="shared" si="16"/>
        <v>#DIV/0!</v>
      </c>
      <c r="AO14" s="190" t="e">
        <f t="shared" si="17"/>
        <v>#DIV/0!</v>
      </c>
      <c r="AP14" s="191">
        <f t="shared" si="18"/>
        <v>2.6868678556177081</v>
      </c>
      <c r="AQ14" s="65" t="e">
        <f t="shared" si="19"/>
        <v>#DIV/0!</v>
      </c>
      <c r="AR14" s="66" t="e">
        <f t="shared" si="20"/>
        <v>#DIV/0!</v>
      </c>
      <c r="AS14" s="66">
        <f t="shared" si="21"/>
        <v>0.46443483046541811</v>
      </c>
      <c r="AT14" s="65" t="e">
        <f t="shared" si="22"/>
        <v>#DIV/0!</v>
      </c>
    </row>
    <row r="15" spans="1:46" ht="15.75" hidden="1" customHeight="1" x14ac:dyDescent="0.2">
      <c r="A15" s="61" t="s">
        <v>51</v>
      </c>
      <c r="B15" s="70">
        <f>+'2020'!B27</f>
        <v>0</v>
      </c>
      <c r="C15" s="70">
        <f>+'2019'!B27</f>
        <v>43252.83</v>
      </c>
      <c r="D15" s="228">
        <f t="shared" si="0"/>
        <v>-1</v>
      </c>
      <c r="E15" s="92">
        <f>+'2020'!C27</f>
        <v>0</v>
      </c>
      <c r="F15" s="70">
        <f>+'2019'!C27</f>
        <v>39.53</v>
      </c>
      <c r="G15" s="73">
        <f t="shared" si="1"/>
        <v>-1</v>
      </c>
      <c r="H15" s="70">
        <f>+'2020'!D27</f>
        <v>0</v>
      </c>
      <c r="I15" s="70">
        <f>+'2019'!D27</f>
        <v>2494.92</v>
      </c>
      <c r="J15" s="73">
        <f>IF(H15="0","0",IF(I15=0,+H15/I15,+H15/I15-1))</f>
        <v>-1</v>
      </c>
      <c r="K15" s="103">
        <f>+'2020'!E27</f>
        <v>0</v>
      </c>
      <c r="L15" s="103">
        <f>+'2019'!E27</f>
        <v>549979.22600000002</v>
      </c>
      <c r="M15" s="229">
        <f t="shared" si="3"/>
        <v>-1</v>
      </c>
      <c r="N15" s="95" t="str">
        <f>+'2020'!F27</f>
        <v/>
      </c>
      <c r="O15" s="95">
        <f>+'2019'!F27</f>
        <v>220.43962371538967</v>
      </c>
      <c r="P15" s="73" t="e">
        <f t="shared" si="4"/>
        <v>#VALUE!</v>
      </c>
      <c r="Q15" s="70">
        <f>+'2020'!G27</f>
        <v>0</v>
      </c>
      <c r="R15" s="70">
        <f>+'2019'!G27</f>
        <v>61724.78</v>
      </c>
      <c r="S15" s="229">
        <f>IF(Q15="0","0",IF(R15=0,+Q15/R15,+Q15/R15-1))</f>
        <v>-1</v>
      </c>
      <c r="T15" s="70" t="str">
        <f>+'2020'!H27</f>
        <v/>
      </c>
      <c r="U15" s="70">
        <f>+'2019'!H27</f>
        <v>24740.184053997724</v>
      </c>
      <c r="V15" s="73" t="e">
        <f>IF(T15="0","0",IF(U15=0,+T15/U15,+T15/U15-1))</f>
        <v>#VALUE!</v>
      </c>
      <c r="W15" s="70">
        <f>+'2020'!I27</f>
        <v>0</v>
      </c>
      <c r="X15" s="70">
        <f>+'2019'!I27</f>
        <v>64630.767321559688</v>
      </c>
      <c r="Y15" s="227">
        <f>IF(W15="0","0",IF(X15=0,+W15/X15,+W15/X15-1))</f>
        <v>-1</v>
      </c>
      <c r="Z15" s="66" t="str">
        <f t="shared" si="8"/>
        <v/>
      </c>
      <c r="AA15" s="61">
        <f t="shared" si="9"/>
        <v>11.223111179839362</v>
      </c>
      <c r="AB15" s="65" t="e">
        <f t="shared" si="10"/>
        <v>#VALUE!</v>
      </c>
      <c r="AC15" s="70">
        <v>139646.448</v>
      </c>
      <c r="AD15" s="70">
        <v>157721.51300000001</v>
      </c>
      <c r="AE15" s="73">
        <f t="shared" si="11"/>
        <v>-0.11460113878060507</v>
      </c>
      <c r="AF15" s="70">
        <v>19730.230000000003</v>
      </c>
      <c r="AG15" s="70">
        <v>22466.645</v>
      </c>
      <c r="AH15" s="73">
        <f t="shared" si="12"/>
        <v>-0.12179900470230409</v>
      </c>
      <c r="AI15" s="70">
        <v>5251333</v>
      </c>
      <c r="AJ15" s="70">
        <v>5367241</v>
      </c>
      <c r="AK15" s="73">
        <f t="shared" si="13"/>
        <v>-2.1595452859299646E-2</v>
      </c>
      <c r="AL15" s="188" t="e">
        <f t="shared" si="14"/>
        <v>#DIV/0!</v>
      </c>
      <c r="AM15" s="188">
        <f t="shared" si="15"/>
        <v>28.677721910899958</v>
      </c>
      <c r="AN15" s="65" t="e">
        <f t="shared" si="16"/>
        <v>#DIV/0!</v>
      </c>
      <c r="AO15" s="190" t="e">
        <f t="shared" si="17"/>
        <v>#DIV/0!</v>
      </c>
      <c r="AP15" s="191">
        <f t="shared" si="18"/>
        <v>4.0849988395743511</v>
      </c>
      <c r="AQ15" s="65" t="e">
        <f t="shared" si="19"/>
        <v>#DIV/0!</v>
      </c>
      <c r="AR15" s="66" t="e">
        <f t="shared" si="20"/>
        <v>#DIV/0!</v>
      </c>
      <c r="AS15" s="66">
        <f t="shared" si="21"/>
        <v>0.78071908846971616</v>
      </c>
      <c r="AT15" s="73" t="e">
        <f t="shared" si="22"/>
        <v>#DIV/0!</v>
      </c>
    </row>
    <row r="16" spans="1:46" ht="14.25" hidden="1" customHeight="1" x14ac:dyDescent="0.2">
      <c r="A16" s="61" t="s">
        <v>52</v>
      </c>
      <c r="B16" s="70">
        <f>+'2020'!B30</f>
        <v>0</v>
      </c>
      <c r="C16" s="70">
        <f>+'2019'!B30</f>
        <v>43331.97</v>
      </c>
      <c r="D16" s="228">
        <f t="shared" si="0"/>
        <v>-1</v>
      </c>
      <c r="E16" s="92">
        <f>+'2020'!C30</f>
        <v>0</v>
      </c>
      <c r="F16" s="70">
        <f>+'2019'!C30</f>
        <v>221.23</v>
      </c>
      <c r="G16" s="73">
        <f t="shared" si="1"/>
        <v>-1</v>
      </c>
      <c r="H16" s="70">
        <f>+'2020'!D30</f>
        <v>0</v>
      </c>
      <c r="I16" s="70">
        <f>+'2019'!D30</f>
        <v>2619.8199999999997</v>
      </c>
      <c r="J16" s="227">
        <f t="shared" si="2"/>
        <v>-1</v>
      </c>
      <c r="K16" s="103">
        <f>+'2020'!E30</f>
        <v>0</v>
      </c>
      <c r="L16" s="103">
        <f>+'2019'!E30</f>
        <v>532895.34700000007</v>
      </c>
      <c r="M16" s="229">
        <f t="shared" si="3"/>
        <v>-1</v>
      </c>
      <c r="N16" s="95" t="str">
        <f>+'2020'!F30</f>
        <v/>
      </c>
      <c r="O16" s="95">
        <f>+'2019'!F30</f>
        <v>203.40914528479061</v>
      </c>
      <c r="P16" s="73" t="e">
        <f t="shared" si="4"/>
        <v>#VALUE!</v>
      </c>
      <c r="Q16" s="70">
        <f>+'2020'!G30</f>
        <v>0</v>
      </c>
      <c r="R16" s="70">
        <f>+'2019'!G30</f>
        <v>60800.69</v>
      </c>
      <c r="S16" s="229">
        <f t="shared" si="5"/>
        <v>-1</v>
      </c>
      <c r="T16" s="70" t="str">
        <f>+'2020'!H30</f>
        <v/>
      </c>
      <c r="U16" s="70">
        <f>+'2019'!H30</f>
        <v>23207.96466932843</v>
      </c>
      <c r="V16" s="73" t="e">
        <f t="shared" si="6"/>
        <v>#VALUE!</v>
      </c>
      <c r="W16" s="70">
        <f>+'2020'!I30</f>
        <v>0</v>
      </c>
      <c r="X16" s="70">
        <f>+'2019'!I30</f>
        <v>63651.185009571003</v>
      </c>
      <c r="Y16" s="227">
        <f t="shared" si="7"/>
        <v>-1</v>
      </c>
      <c r="Z16" s="66" t="str">
        <f t="shared" si="8"/>
        <v/>
      </c>
      <c r="AA16" s="61">
        <f t="shared" si="9"/>
        <v>11.409499133795213</v>
      </c>
      <c r="AB16" s="73" t="e">
        <f t="shared" si="10"/>
        <v>#VALUE!</v>
      </c>
      <c r="AC16" s="70">
        <v>147019.432</v>
      </c>
      <c r="AD16" s="70">
        <v>134796.11600000001</v>
      </c>
      <c r="AE16" s="227">
        <f t="shared" si="11"/>
        <v>9.0680031166476605E-2</v>
      </c>
      <c r="AF16" s="70">
        <v>19303.665999999997</v>
      </c>
      <c r="AG16" s="70">
        <v>19558.310000000001</v>
      </c>
      <c r="AH16" s="73">
        <f t="shared" si="12"/>
        <v>-1.3019734322648691E-2</v>
      </c>
      <c r="AI16" s="70">
        <v>3844570</v>
      </c>
      <c r="AJ16" s="70">
        <v>4781305</v>
      </c>
      <c r="AK16" s="73">
        <f t="shared" si="13"/>
        <v>-0.19591617769625658</v>
      </c>
      <c r="AL16" s="188" t="e">
        <f t="shared" si="14"/>
        <v>#DIV/0!</v>
      </c>
      <c r="AM16" s="188">
        <f t="shared" si="15"/>
        <v>25.295044657239238</v>
      </c>
      <c r="AN16" s="65" t="e">
        <f t="shared" si="16"/>
        <v>#DIV/0!</v>
      </c>
      <c r="AO16" s="190" t="e">
        <f t="shared" si="17"/>
        <v>#DIV/0!</v>
      </c>
      <c r="AP16" s="191">
        <f t="shared" si="18"/>
        <v>3.6701971803855891</v>
      </c>
      <c r="AQ16" s="65" t="e">
        <f t="shared" si="19"/>
        <v>#DIV/0!</v>
      </c>
      <c r="AR16" s="66" t="e">
        <f t="shared" si="20"/>
        <v>#DIV/0!</v>
      </c>
      <c r="AS16" s="66">
        <f t="shared" si="21"/>
        <v>0.71778521271269413</v>
      </c>
      <c r="AT16" s="73" t="e">
        <f t="shared" si="22"/>
        <v>#DIV/0!</v>
      </c>
    </row>
    <row r="17" spans="1:46" ht="12" hidden="1" customHeight="1" x14ac:dyDescent="0.2">
      <c r="A17" s="61" t="s">
        <v>54</v>
      </c>
      <c r="B17" s="70">
        <f>+'2020'!B33</f>
        <v>0</v>
      </c>
      <c r="C17" s="70">
        <f>+'2019'!B33</f>
        <v>43558.06</v>
      </c>
      <c r="D17" s="228">
        <f t="shared" si="0"/>
        <v>-1</v>
      </c>
      <c r="E17" s="92">
        <f>+'2020'!C33</f>
        <v>0</v>
      </c>
      <c r="F17" s="70">
        <f>+'2019'!C33</f>
        <v>499.69</v>
      </c>
      <c r="G17" s="65">
        <f t="shared" si="1"/>
        <v>-1</v>
      </c>
      <c r="H17" s="70">
        <f>+'2020'!D33</f>
        <v>0</v>
      </c>
      <c r="I17" s="70">
        <f>+'2019'!D33</f>
        <v>2951.1800000000003</v>
      </c>
      <c r="J17" s="228">
        <f t="shared" si="2"/>
        <v>-1</v>
      </c>
      <c r="K17" s="103">
        <f>+'2020'!E33</f>
        <v>0</v>
      </c>
      <c r="L17" s="103">
        <f>+'2019'!E33</f>
        <v>545678.79799999995</v>
      </c>
      <c r="M17" s="229">
        <f t="shared" si="3"/>
        <v>-1</v>
      </c>
      <c r="N17" s="95" t="str">
        <f>+'2020'!F33</f>
        <v/>
      </c>
      <c r="O17" s="95">
        <f>+'2019'!F33</f>
        <v>184.90190296762648</v>
      </c>
      <c r="P17" s="73" t="e">
        <f t="shared" si="4"/>
        <v>#VALUE!</v>
      </c>
      <c r="Q17" s="70">
        <f>+'2020'!G33</f>
        <v>0</v>
      </c>
      <c r="R17" s="70">
        <f>+'2019'!G33</f>
        <v>63674.595000000001</v>
      </c>
      <c r="S17" s="229">
        <f t="shared" si="5"/>
        <v>-1</v>
      </c>
      <c r="T17" s="70" t="str">
        <f>+'2020'!H33</f>
        <v/>
      </c>
      <c r="U17" s="70">
        <f>+'2019'!H33</f>
        <v>21575.978083342932</v>
      </c>
      <c r="V17" s="73" t="e">
        <f t="shared" si="6"/>
        <v>#VALUE!</v>
      </c>
      <c r="W17" s="70">
        <f>+'2020'!I33</f>
        <v>0</v>
      </c>
      <c r="X17" s="70">
        <f>+'2019'!I33</f>
        <v>66666.257473909165</v>
      </c>
      <c r="Y17" s="227">
        <f t="shared" si="7"/>
        <v>-1</v>
      </c>
      <c r="Z17" s="66" t="str">
        <f t="shared" si="8"/>
        <v/>
      </c>
      <c r="AA17" s="61">
        <f t="shared" si="9"/>
        <v>11.668878327942659</v>
      </c>
      <c r="AB17" s="227" t="e">
        <f t="shared" si="10"/>
        <v>#VALUE!</v>
      </c>
      <c r="AC17" s="70">
        <v>150020.43699999998</v>
      </c>
      <c r="AD17" s="70">
        <v>159947.285</v>
      </c>
      <c r="AE17" s="73">
        <f t="shared" si="11"/>
        <v>-6.2063247900706942E-2</v>
      </c>
      <c r="AF17" s="70">
        <v>20834.518333333333</v>
      </c>
      <c r="AG17" s="70">
        <v>22872.514999999999</v>
      </c>
      <c r="AH17" s="73">
        <f t="shared" si="12"/>
        <v>-8.9102429998041965E-2</v>
      </c>
      <c r="AI17" s="70">
        <v>4626646</v>
      </c>
      <c r="AJ17" s="70">
        <v>4984210</v>
      </c>
      <c r="AK17" s="73">
        <f t="shared" si="13"/>
        <v>-7.1739352876383666E-2</v>
      </c>
      <c r="AL17" s="188" t="e">
        <f t="shared" si="14"/>
        <v>#DIV/0!</v>
      </c>
      <c r="AM17" s="188">
        <f t="shared" si="15"/>
        <v>29.311618040912048</v>
      </c>
      <c r="AN17" s="65" t="e">
        <f>(AL17/AM17)-1</f>
        <v>#DIV/0!</v>
      </c>
      <c r="AO17" s="190" t="e">
        <f t="shared" si="17"/>
        <v>#DIV/0!</v>
      </c>
      <c r="AP17" s="191">
        <f t="shared" si="18"/>
        <v>4.1915711374221294</v>
      </c>
      <c r="AQ17" s="65" t="e">
        <f t="shared" si="19"/>
        <v>#DIV/0!</v>
      </c>
      <c r="AR17" s="66" t="e">
        <f t="shared" si="20"/>
        <v>#DIV/0!</v>
      </c>
      <c r="AS17" s="66">
        <f t="shared" si="21"/>
        <v>0.73071704721061936</v>
      </c>
      <c r="AT17" s="73" t="e">
        <f t="shared" si="22"/>
        <v>#DIV/0!</v>
      </c>
    </row>
    <row r="18" spans="1:46" ht="12.75" hidden="1" customHeight="1" x14ac:dyDescent="0.2">
      <c r="A18" s="61" t="s">
        <v>55</v>
      </c>
      <c r="B18" s="70">
        <f>+'2020'!B36</f>
        <v>0</v>
      </c>
      <c r="C18" s="70">
        <f>+'2019'!B36</f>
        <v>55319.08</v>
      </c>
      <c r="D18" s="73">
        <f t="shared" si="0"/>
        <v>-1</v>
      </c>
      <c r="E18" s="92">
        <f>+'2020'!C36</f>
        <v>0</v>
      </c>
      <c r="F18" s="70">
        <f>+'2019'!C36</f>
        <v>517.49</v>
      </c>
      <c r="G18" s="227">
        <f t="shared" si="1"/>
        <v>-1</v>
      </c>
      <c r="H18" s="70">
        <f>+'2020'!D36</f>
        <v>0</v>
      </c>
      <c r="I18" s="70">
        <f>+'2019'!D36</f>
        <v>3520.66</v>
      </c>
      <c r="J18" s="65">
        <f t="shared" si="2"/>
        <v>-1</v>
      </c>
      <c r="K18" s="103">
        <f>+'2020'!E36</f>
        <v>0</v>
      </c>
      <c r="L18" s="103">
        <f>+'2019'!E36</f>
        <v>519654.84898880008</v>
      </c>
      <c r="M18" s="104">
        <f t="shared" si="3"/>
        <v>-1</v>
      </c>
      <c r="N18" s="95" t="str">
        <f>+'2020'!F36</f>
        <v/>
      </c>
      <c r="O18" s="95">
        <f>+'2019'!F36</f>
        <v>147.60154317338228</v>
      </c>
      <c r="P18" s="73" t="e">
        <f t="shared" si="4"/>
        <v>#VALUE!</v>
      </c>
      <c r="Q18" s="70">
        <f>+'2020'!G36</f>
        <v>0</v>
      </c>
      <c r="R18" s="70">
        <f>+'2019'!G36</f>
        <v>60851.770999999993</v>
      </c>
      <c r="S18" s="106">
        <f t="shared" si="5"/>
        <v>-1</v>
      </c>
      <c r="T18" s="70" t="str">
        <f>+'2020'!H36</f>
        <v/>
      </c>
      <c r="U18" s="70">
        <f>+'2020'!I36</f>
        <v>0</v>
      </c>
      <c r="V18" s="73" t="str">
        <f>IF(ISERROR(+T18/U18),"",+T18/U18-1)</f>
        <v/>
      </c>
      <c r="W18" s="70">
        <f>+'2020'!I36</f>
        <v>0</v>
      </c>
      <c r="X18" s="70">
        <f>+'2019'!I36</f>
        <v>63638.69340297881</v>
      </c>
      <c r="Y18" s="227">
        <f t="shared" si="7"/>
        <v>-1</v>
      </c>
      <c r="Z18" s="66" t="str">
        <f t="shared" si="8"/>
        <v/>
      </c>
      <c r="AA18" s="61">
        <f t="shared" si="9"/>
        <v>11.710036213154149</v>
      </c>
      <c r="AB18" s="65" t="e">
        <f t="shared" si="10"/>
        <v>#VALUE!</v>
      </c>
      <c r="AC18" s="70"/>
      <c r="AD18" s="70">
        <v>150403.95000000001</v>
      </c>
      <c r="AE18" s="73">
        <f t="shared" si="11"/>
        <v>-1</v>
      </c>
      <c r="AF18" s="70"/>
      <c r="AG18" s="70">
        <v>21297.567999999999</v>
      </c>
      <c r="AH18" s="73">
        <f t="shared" si="12"/>
        <v>-1</v>
      </c>
      <c r="AI18" s="70"/>
      <c r="AJ18" s="70">
        <v>5303823</v>
      </c>
      <c r="AK18" s="73">
        <f t="shared" si="13"/>
        <v>-1</v>
      </c>
      <c r="AL18" s="188" t="e">
        <f t="shared" si="14"/>
        <v>#DIV/0!</v>
      </c>
      <c r="AM18" s="188">
        <f t="shared" si="15"/>
        <v>28.943047542551003</v>
      </c>
      <c r="AN18" s="65" t="e">
        <f t="shared" si="16"/>
        <v>#DIV/0!</v>
      </c>
      <c r="AO18" s="190" t="e">
        <f t="shared" si="17"/>
        <v>#DIV/0!</v>
      </c>
      <c r="AP18" s="191">
        <f t="shared" si="18"/>
        <v>4.0984064791164911</v>
      </c>
      <c r="AQ18" s="65" t="e">
        <f t="shared" si="19"/>
        <v>#DIV/0!</v>
      </c>
      <c r="AR18" s="66" t="e">
        <f t="shared" si="20"/>
        <v>#DIV/0!</v>
      </c>
      <c r="AS18" s="66">
        <f t="shared" si="21"/>
        <v>0.81651473247225481</v>
      </c>
      <c r="AT18" s="65" t="e">
        <f t="shared" si="22"/>
        <v>#DIV/0!</v>
      </c>
    </row>
    <row r="19" spans="1:46" hidden="1" x14ac:dyDescent="0.2">
      <c r="A19" s="61" t="s">
        <v>63</v>
      </c>
      <c r="B19" s="70">
        <f>+'2020'!B39</f>
        <v>0</v>
      </c>
      <c r="C19" s="70">
        <f>+'2019'!B39</f>
        <v>54712.81</v>
      </c>
      <c r="D19" s="73">
        <f t="shared" si="0"/>
        <v>-1</v>
      </c>
      <c r="E19" s="92">
        <f>+'2020'!C39</f>
        <v>0</v>
      </c>
      <c r="F19" s="70">
        <f>+'2019'!C39</f>
        <v>726.28</v>
      </c>
      <c r="G19" s="73">
        <f t="shared" si="1"/>
        <v>-1</v>
      </c>
      <c r="H19" s="70">
        <f>+'2020'!D39</f>
        <v>0</v>
      </c>
      <c r="I19" s="70">
        <f>+'2019'!D39</f>
        <v>4333.2299999999996</v>
      </c>
      <c r="J19" s="65">
        <f t="shared" si="2"/>
        <v>-1</v>
      </c>
      <c r="K19" s="103">
        <f>+'2020'!E39</f>
        <v>0</v>
      </c>
      <c r="L19" s="103">
        <f>+'2019'!E39</f>
        <v>512657.21699999995</v>
      </c>
      <c r="M19" s="104">
        <f t="shared" si="3"/>
        <v>-1</v>
      </c>
      <c r="N19" s="95" t="str">
        <f>+'2020'!F39</f>
        <v/>
      </c>
      <c r="O19" s="95">
        <f>+'2019'!F39</f>
        <v>118.30833281409018</v>
      </c>
      <c r="P19" s="73" t="e">
        <f t="shared" si="4"/>
        <v>#VALUE!</v>
      </c>
      <c r="Q19" s="70">
        <f>+'2020'!G39</f>
        <v>0</v>
      </c>
      <c r="R19" s="70">
        <f>+'2019'!G39</f>
        <v>70465.111000000004</v>
      </c>
      <c r="S19" s="104">
        <f t="shared" si="5"/>
        <v>-1</v>
      </c>
      <c r="T19" s="70" t="str">
        <f>+'2020'!H39</f>
        <v/>
      </c>
      <c r="U19" s="70">
        <f>+'2019'!H39</f>
        <v>16261.567237372585</v>
      </c>
      <c r="V19" s="73" t="str">
        <f>IF(ISERROR(+T19/U19),"",+T19/U19-1)</f>
        <v/>
      </c>
      <c r="W19" s="70">
        <f>+'2020'!I39</f>
        <v>0</v>
      </c>
      <c r="X19" s="70">
        <f>+'2019'!I39</f>
        <v>68971.716753933288</v>
      </c>
      <c r="Y19" s="73">
        <f>IF(ISERROR(+W19/X19),"",+W19/X19-1)</f>
        <v>-1</v>
      </c>
      <c r="Z19" s="66" t="str">
        <f t="shared" si="8"/>
        <v/>
      </c>
      <c r="AA19" s="61">
        <f t="shared" si="9"/>
        <v>13.745073445440253</v>
      </c>
      <c r="AB19" s="65" t="e">
        <f t="shared" si="10"/>
        <v>#VALUE!</v>
      </c>
      <c r="AC19" s="70"/>
      <c r="AD19" s="70">
        <v>155484.97100000002</v>
      </c>
      <c r="AE19" s="73">
        <f t="shared" si="11"/>
        <v>-1</v>
      </c>
      <c r="AF19" s="70"/>
      <c r="AG19" s="70">
        <v>22907.280999999999</v>
      </c>
      <c r="AH19" s="73">
        <f t="shared" si="12"/>
        <v>-1</v>
      </c>
      <c r="AI19" s="70"/>
      <c r="AJ19" s="70">
        <v>5172361</v>
      </c>
      <c r="AK19" s="73">
        <f t="shared" si="13"/>
        <v>-1</v>
      </c>
      <c r="AL19" s="188" t="e">
        <f t="shared" si="14"/>
        <v>#DIV/0!</v>
      </c>
      <c r="AM19" s="188">
        <f t="shared" si="15"/>
        <v>30.329226985211843</v>
      </c>
      <c r="AN19" s="65" t="e">
        <f t="shared" si="16"/>
        <v>#DIV/0!</v>
      </c>
      <c r="AO19" s="190" t="e">
        <f t="shared" si="17"/>
        <v>#DIV/0!</v>
      </c>
      <c r="AP19" s="191">
        <f t="shared" si="18"/>
        <v>4.4683426352700701</v>
      </c>
      <c r="AQ19" s="65" t="e">
        <f t="shared" si="19"/>
        <v>#DIV/0!</v>
      </c>
      <c r="AR19" s="66" t="e">
        <f t="shared" si="20"/>
        <v>#DIV/0!</v>
      </c>
      <c r="AS19" s="66">
        <f t="shared" si="21"/>
        <v>0.80714533274579858</v>
      </c>
      <c r="AT19" s="65" t="e">
        <f t="shared" si="22"/>
        <v>#DIV/0!</v>
      </c>
    </row>
    <row r="20" spans="1:46" ht="13.5" customHeight="1" x14ac:dyDescent="0.2">
      <c r="A20" s="69" t="s">
        <v>41</v>
      </c>
      <c r="B20" s="71">
        <f>+B12</f>
        <v>42561.42</v>
      </c>
      <c r="C20" s="71">
        <f>+C12</f>
        <v>43921.66</v>
      </c>
      <c r="D20" s="73">
        <f t="shared" si="0"/>
        <v>-3.0969685571993533E-2</v>
      </c>
      <c r="E20" s="71">
        <f>+SUM(E8:E12)</f>
        <v>2168.08</v>
      </c>
      <c r="F20" s="71">
        <f>+SUM(F8:F12)</f>
        <v>2456.8399999999997</v>
      </c>
      <c r="G20" s="73">
        <f t="shared" si="1"/>
        <v>-0.11753309128799583</v>
      </c>
      <c r="H20" s="71">
        <f>+SUM(H8:H12)</f>
        <v>15148.23</v>
      </c>
      <c r="I20" s="71">
        <f>+SUM(I8:I12)</f>
        <v>15692.409999999998</v>
      </c>
      <c r="J20" s="73">
        <f t="shared" si="2"/>
        <v>-3.4677911168520259E-2</v>
      </c>
      <c r="K20" s="71">
        <f>+SUM(K8:K12)</f>
        <v>1947481.3019999999</v>
      </c>
      <c r="L20" s="71">
        <f>+SUM(L8:L12)</f>
        <v>2067940.1510000001</v>
      </c>
      <c r="M20" s="104">
        <f t="shared" si="3"/>
        <v>-5.8250645668710299E-2</v>
      </c>
      <c r="N20" s="96">
        <f>+K20/$H$20</f>
        <v>128.56164066692941</v>
      </c>
      <c r="O20" s="96">
        <f>+L20/I20</f>
        <v>131.77964066704862</v>
      </c>
      <c r="P20" s="104">
        <f t="shared" si="4"/>
        <v>-2.4419553611090383E-2</v>
      </c>
      <c r="Q20" s="71">
        <f>+SUM(Q8:Q12)</f>
        <v>194351.11000000002</v>
      </c>
      <c r="R20" s="71">
        <f>+SUM(R8:R12)</f>
        <v>222371.69700000004</v>
      </c>
      <c r="S20" s="104">
        <f t="shared" si="5"/>
        <v>-0.12600788399793528</v>
      </c>
      <c r="T20" s="71">
        <f>+Q20*1000/H20</f>
        <v>12829.955050854129</v>
      </c>
      <c r="U20" s="71">
        <f>+R20*1000/I20</f>
        <v>14170.653009958321</v>
      </c>
      <c r="V20" s="73">
        <f t="shared" si="6"/>
        <v>-9.4610880540369369E-2</v>
      </c>
      <c r="W20" s="71">
        <f>+SUM(W8:W12)</f>
        <v>184157.97525173065</v>
      </c>
      <c r="X20" s="71">
        <f>+SUM(X8:X12)</f>
        <v>217844.92486167923</v>
      </c>
      <c r="Y20" s="73">
        <f t="shared" si="7"/>
        <v>-0.15463729362223211</v>
      </c>
      <c r="Z20" s="66">
        <f t="shared" si="8"/>
        <v>9.9796136579287182</v>
      </c>
      <c r="AA20" s="69">
        <f t="shared" si="9"/>
        <v>10.75329461988864</v>
      </c>
      <c r="AB20" s="104">
        <f t="shared" si="10"/>
        <v>-7.1948271604961755E-2</v>
      </c>
      <c r="AC20" s="71">
        <f>+SUM(AC8:AC18)</f>
        <v>1194814.524</v>
      </c>
      <c r="AD20" s="71">
        <f>+SUM(AD8:AD17)</f>
        <v>1339631.54</v>
      </c>
      <c r="AE20" s="73">
        <f t="shared" si="11"/>
        <v>-0.10810212485740678</v>
      </c>
      <c r="AF20" s="71">
        <f>+SUM(AF8:AF18)</f>
        <v>178740.16673572437</v>
      </c>
      <c r="AG20" s="71">
        <f>+SUM(AG8:AG18)</f>
        <v>217626.24109789231</v>
      </c>
      <c r="AH20" s="73">
        <f t="shared" si="12"/>
        <v>-0.17868283790591355</v>
      </c>
      <c r="AI20" s="71">
        <f>+SUM(AI8:AI15)</f>
        <v>25394231</v>
      </c>
      <c r="AJ20" s="71">
        <f>+SUM(AJ8:AJ17)</f>
        <v>44948978</v>
      </c>
      <c r="AK20" s="73">
        <f t="shared" si="13"/>
        <v>-0.43504319497542299</v>
      </c>
      <c r="AL20" s="189">
        <f t="shared" ref="AL20" si="23">+AC20*100/K20</f>
        <v>61.351784110736482</v>
      </c>
      <c r="AM20" s="189">
        <f t="shared" ref="AM20" si="24">+AD20*100/L20</f>
        <v>64.780962802631905</v>
      </c>
      <c r="AN20" s="73">
        <f t="shared" si="16"/>
        <v>-5.293497570178296E-2</v>
      </c>
      <c r="AO20" s="192">
        <f t="shared" si="17"/>
        <v>9.1780170906988445</v>
      </c>
      <c r="AP20" s="192">
        <f t="shared" si="18"/>
        <v>10.523817190388906</v>
      </c>
      <c r="AQ20" s="104">
        <f t="shared" si="19"/>
        <v>-0.127881364275231</v>
      </c>
      <c r="AR20" s="69">
        <f t="shared" ref="AR20" si="25">AI20*0.8*100/(K20*1000)</f>
        <v>1.0431619948872812</v>
      </c>
      <c r="AS20" s="69">
        <f t="shared" ref="AS20" si="26">AJ20*0.8*100/(L20*1000)</f>
        <v>1.738888931703904</v>
      </c>
      <c r="AT20" s="104">
        <f t="shared" si="22"/>
        <v>-0.40009854806246492</v>
      </c>
    </row>
    <row r="21" spans="1:46" hidden="1" x14ac:dyDescent="0.2">
      <c r="A21" s="69" t="s">
        <v>42</v>
      </c>
      <c r="B21" s="71"/>
      <c r="C21" s="71">
        <f>+C17</f>
        <v>43558.06</v>
      </c>
      <c r="D21" s="73">
        <f t="shared" si="0"/>
        <v>-1</v>
      </c>
      <c r="E21" s="71">
        <f>SUM(E8:E19)</f>
        <v>2275.81</v>
      </c>
      <c r="F21" s="71">
        <f>SUM(F8:F19)</f>
        <v>4583.16</v>
      </c>
      <c r="G21" s="65">
        <f t="shared" si="1"/>
        <v>-0.50344085739969802</v>
      </c>
      <c r="H21" s="71">
        <f>SUM(H8:H19)</f>
        <v>18346.794999999998</v>
      </c>
      <c r="I21" s="71">
        <f>SUM(I8:I19)</f>
        <v>36431.899999999994</v>
      </c>
      <c r="J21" s="65">
        <f t="shared" si="2"/>
        <v>-0.49640850463467456</v>
      </c>
      <c r="K21" s="71">
        <f>SUM(K8:K19)</f>
        <v>2428549.4189999998</v>
      </c>
      <c r="L21" s="71">
        <f>SUM(L8:L19)</f>
        <v>5518358.6399888014</v>
      </c>
      <c r="M21" s="65">
        <f t="shared" si="3"/>
        <v>-0.55991453665198387</v>
      </c>
      <c r="N21" s="96">
        <f>+K21/H21</f>
        <v>132.36913689829748</v>
      </c>
      <c r="O21" s="96">
        <f>+L21/I21</f>
        <v>151.4705145762039</v>
      </c>
      <c r="P21" s="65">
        <f t="shared" si="4"/>
        <v>-0.12610624405251247</v>
      </c>
      <c r="Q21" s="71">
        <f>SUM(Q8:Q19)</f>
        <v>247207.65300000002</v>
      </c>
      <c r="R21" s="71">
        <f>SUM(R8:R19)</f>
        <v>627068.70000000007</v>
      </c>
      <c r="S21" s="65">
        <f t="shared" si="5"/>
        <v>-0.6057726163018502</v>
      </c>
      <c r="T21" s="71">
        <f>+Q21*1000/H21</f>
        <v>13474.160091721746</v>
      </c>
      <c r="U21" s="71">
        <f>+R21*1000/I21</f>
        <v>17212.077876805772</v>
      </c>
      <c r="V21" s="65">
        <f t="shared" si="6"/>
        <v>-0.21716830540960297</v>
      </c>
      <c r="W21" s="71">
        <f>SUM(W8:W19)</f>
        <v>239497.64181154291</v>
      </c>
      <c r="X21" s="71">
        <f>SUM(X8:X19)</f>
        <v>636610.22636993928</v>
      </c>
      <c r="Y21" s="65">
        <f t="shared" si="7"/>
        <v>-0.62379234280102669</v>
      </c>
      <c r="Z21" s="69">
        <f>IF(K21=0,"",+Q21/K21*100)</f>
        <v>10.179230904915757</v>
      </c>
      <c r="AA21" s="69">
        <f>IF(L21=0,"",+R21/L21*100)</f>
        <v>11.363319075638632</v>
      </c>
      <c r="AB21" s="65">
        <f t="shared" ref="AB21" si="27">IF(Z21="0","0",IF(AA21=0,+Z21/AA21,+Z21/AA21-1))</f>
        <v>-0.10420266850214521</v>
      </c>
    </row>
    <row r="22" spans="1:46" x14ac:dyDescent="0.2">
      <c r="A22" s="101" t="s">
        <v>62</v>
      </c>
    </row>
    <row r="23" spans="1:46" ht="13.5" x14ac:dyDescent="0.25">
      <c r="A23" s="220" t="s">
        <v>131</v>
      </c>
    </row>
    <row r="25" spans="1:46" x14ac:dyDescent="0.2">
      <c r="Q25" s="294"/>
      <c r="R25" s="294"/>
      <c r="W25" s="294"/>
      <c r="X25" s="294"/>
    </row>
  </sheetData>
  <mergeCells count="47">
    <mergeCell ref="AI4:AK4"/>
    <mergeCell ref="AI5:AK5"/>
    <mergeCell ref="AI6:AK6"/>
    <mergeCell ref="AC4:AE4"/>
    <mergeCell ref="AC5:AE5"/>
    <mergeCell ref="AC6:AE6"/>
    <mergeCell ref="AF4:AH4"/>
    <mergeCell ref="AF5:AH5"/>
    <mergeCell ref="AF6:AH6"/>
    <mergeCell ref="Z4:AB4"/>
    <mergeCell ref="Z5:AB5"/>
    <mergeCell ref="Z6:AB6"/>
    <mergeCell ref="W25:X25"/>
    <mergeCell ref="T4:V4"/>
    <mergeCell ref="T5:V5"/>
    <mergeCell ref="T6:V6"/>
    <mergeCell ref="W4:Y4"/>
    <mergeCell ref="W5:Y5"/>
    <mergeCell ref="W6:Y6"/>
    <mergeCell ref="N5:P5"/>
    <mergeCell ref="N6:P6"/>
    <mergeCell ref="Q4:S4"/>
    <mergeCell ref="Q5:S5"/>
    <mergeCell ref="Q6:S6"/>
    <mergeCell ref="A2:AB2"/>
    <mergeCell ref="A3:AB3"/>
    <mergeCell ref="Q25:R25"/>
    <mergeCell ref="B4:D4"/>
    <mergeCell ref="B5:D5"/>
    <mergeCell ref="B6:D6"/>
    <mergeCell ref="E4:G4"/>
    <mergeCell ref="E5:G5"/>
    <mergeCell ref="E6:G6"/>
    <mergeCell ref="H4:J4"/>
    <mergeCell ref="H5:J5"/>
    <mergeCell ref="H6:J6"/>
    <mergeCell ref="K4:M4"/>
    <mergeCell ref="K5:M5"/>
    <mergeCell ref="K6:M6"/>
    <mergeCell ref="N4:P4"/>
    <mergeCell ref="AR4:AT4"/>
    <mergeCell ref="AR5:AT5"/>
    <mergeCell ref="AR6:AT6"/>
    <mergeCell ref="AL5:AN6"/>
    <mergeCell ref="AO5:AQ6"/>
    <mergeCell ref="AL4:AN4"/>
    <mergeCell ref="AO4:AQ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01"/>
  <sheetViews>
    <sheetView topLeftCell="A16" workbookViewId="0">
      <selection activeCell="F140" sqref="F140"/>
    </sheetView>
  </sheetViews>
  <sheetFormatPr baseColWidth="10" defaultRowHeight="12.75" x14ac:dyDescent="0.2"/>
  <cols>
    <col min="1" max="1" width="29.28515625" customWidth="1"/>
    <col min="2" max="2" width="17.42578125" customWidth="1"/>
    <col min="3" max="3" width="10.140625" customWidth="1"/>
    <col min="4" max="15" width="12.140625" bestFit="1" customWidth="1"/>
    <col min="16" max="16" width="13.5703125" customWidth="1"/>
    <col min="17" max="17" width="13.28515625" bestFit="1" customWidth="1"/>
    <col min="257" max="257" width="29.28515625" customWidth="1"/>
    <col min="258" max="258" width="17.42578125" customWidth="1"/>
    <col min="259" max="259" width="10.140625" customWidth="1"/>
    <col min="260" max="271" width="12.140625" bestFit="1" customWidth="1"/>
    <col min="272" max="272" width="13.5703125" customWidth="1"/>
    <col min="273" max="273" width="13.28515625" bestFit="1" customWidth="1"/>
    <col min="513" max="513" width="29.28515625" customWidth="1"/>
    <col min="514" max="514" width="17.42578125" customWidth="1"/>
    <col min="515" max="515" width="10.140625" customWidth="1"/>
    <col min="516" max="527" width="12.140625" bestFit="1" customWidth="1"/>
    <col min="528" max="528" width="13.5703125" customWidth="1"/>
    <col min="529" max="529" width="13.28515625" bestFit="1" customWidth="1"/>
    <col min="769" max="769" width="29.28515625" customWidth="1"/>
    <col min="770" max="770" width="17.42578125" customWidth="1"/>
    <col min="771" max="771" width="10.140625" customWidth="1"/>
    <col min="772" max="783" width="12.140625" bestFit="1" customWidth="1"/>
    <col min="784" max="784" width="13.5703125" customWidth="1"/>
    <col min="785" max="785" width="13.28515625" bestFit="1" customWidth="1"/>
    <col min="1025" max="1025" width="29.28515625" customWidth="1"/>
    <col min="1026" max="1026" width="17.42578125" customWidth="1"/>
    <col min="1027" max="1027" width="10.140625" customWidth="1"/>
    <col min="1028" max="1039" width="12.140625" bestFit="1" customWidth="1"/>
    <col min="1040" max="1040" width="13.5703125" customWidth="1"/>
    <col min="1041" max="1041" width="13.28515625" bestFit="1" customWidth="1"/>
    <col min="1281" max="1281" width="29.28515625" customWidth="1"/>
    <col min="1282" max="1282" width="17.42578125" customWidth="1"/>
    <col min="1283" max="1283" width="10.140625" customWidth="1"/>
    <col min="1284" max="1295" width="12.140625" bestFit="1" customWidth="1"/>
    <col min="1296" max="1296" width="13.5703125" customWidth="1"/>
    <col min="1297" max="1297" width="13.28515625" bestFit="1" customWidth="1"/>
    <col min="1537" max="1537" width="29.28515625" customWidth="1"/>
    <col min="1538" max="1538" width="17.42578125" customWidth="1"/>
    <col min="1539" max="1539" width="10.140625" customWidth="1"/>
    <col min="1540" max="1551" width="12.140625" bestFit="1" customWidth="1"/>
    <col min="1552" max="1552" width="13.5703125" customWidth="1"/>
    <col min="1553" max="1553" width="13.28515625" bestFit="1" customWidth="1"/>
    <col min="1793" max="1793" width="29.28515625" customWidth="1"/>
    <col min="1794" max="1794" width="17.42578125" customWidth="1"/>
    <col min="1795" max="1795" width="10.140625" customWidth="1"/>
    <col min="1796" max="1807" width="12.140625" bestFit="1" customWidth="1"/>
    <col min="1808" max="1808" width="13.5703125" customWidth="1"/>
    <col min="1809" max="1809" width="13.28515625" bestFit="1" customWidth="1"/>
    <col min="2049" max="2049" width="29.28515625" customWidth="1"/>
    <col min="2050" max="2050" width="17.42578125" customWidth="1"/>
    <col min="2051" max="2051" width="10.140625" customWidth="1"/>
    <col min="2052" max="2063" width="12.140625" bestFit="1" customWidth="1"/>
    <col min="2064" max="2064" width="13.5703125" customWidth="1"/>
    <col min="2065" max="2065" width="13.28515625" bestFit="1" customWidth="1"/>
    <col min="2305" max="2305" width="29.28515625" customWidth="1"/>
    <col min="2306" max="2306" width="17.42578125" customWidth="1"/>
    <col min="2307" max="2307" width="10.140625" customWidth="1"/>
    <col min="2308" max="2319" width="12.140625" bestFit="1" customWidth="1"/>
    <col min="2320" max="2320" width="13.5703125" customWidth="1"/>
    <col min="2321" max="2321" width="13.28515625" bestFit="1" customWidth="1"/>
    <col min="2561" max="2561" width="29.28515625" customWidth="1"/>
    <col min="2562" max="2562" width="17.42578125" customWidth="1"/>
    <col min="2563" max="2563" width="10.140625" customWidth="1"/>
    <col min="2564" max="2575" width="12.140625" bestFit="1" customWidth="1"/>
    <col min="2576" max="2576" width="13.5703125" customWidth="1"/>
    <col min="2577" max="2577" width="13.28515625" bestFit="1" customWidth="1"/>
    <col min="2817" max="2817" width="29.28515625" customWidth="1"/>
    <col min="2818" max="2818" width="17.42578125" customWidth="1"/>
    <col min="2819" max="2819" width="10.140625" customWidth="1"/>
    <col min="2820" max="2831" width="12.140625" bestFit="1" customWidth="1"/>
    <col min="2832" max="2832" width="13.5703125" customWidth="1"/>
    <col min="2833" max="2833" width="13.28515625" bestFit="1" customWidth="1"/>
    <col min="3073" max="3073" width="29.28515625" customWidth="1"/>
    <col min="3074" max="3074" width="17.42578125" customWidth="1"/>
    <col min="3075" max="3075" width="10.140625" customWidth="1"/>
    <col min="3076" max="3087" width="12.140625" bestFit="1" customWidth="1"/>
    <col min="3088" max="3088" width="13.5703125" customWidth="1"/>
    <col min="3089" max="3089" width="13.28515625" bestFit="1" customWidth="1"/>
    <col min="3329" max="3329" width="29.28515625" customWidth="1"/>
    <col min="3330" max="3330" width="17.42578125" customWidth="1"/>
    <col min="3331" max="3331" width="10.140625" customWidth="1"/>
    <col min="3332" max="3343" width="12.140625" bestFit="1" customWidth="1"/>
    <col min="3344" max="3344" width="13.5703125" customWidth="1"/>
    <col min="3345" max="3345" width="13.28515625" bestFit="1" customWidth="1"/>
    <col min="3585" max="3585" width="29.28515625" customWidth="1"/>
    <col min="3586" max="3586" width="17.42578125" customWidth="1"/>
    <col min="3587" max="3587" width="10.140625" customWidth="1"/>
    <col min="3588" max="3599" width="12.140625" bestFit="1" customWidth="1"/>
    <col min="3600" max="3600" width="13.5703125" customWidth="1"/>
    <col min="3601" max="3601" width="13.28515625" bestFit="1" customWidth="1"/>
    <col min="3841" max="3841" width="29.28515625" customWidth="1"/>
    <col min="3842" max="3842" width="17.42578125" customWidth="1"/>
    <col min="3843" max="3843" width="10.140625" customWidth="1"/>
    <col min="3844" max="3855" width="12.140625" bestFit="1" customWidth="1"/>
    <col min="3856" max="3856" width="13.5703125" customWidth="1"/>
    <col min="3857" max="3857" width="13.28515625" bestFit="1" customWidth="1"/>
    <col min="4097" max="4097" width="29.28515625" customWidth="1"/>
    <col min="4098" max="4098" width="17.42578125" customWidth="1"/>
    <col min="4099" max="4099" width="10.140625" customWidth="1"/>
    <col min="4100" max="4111" width="12.140625" bestFit="1" customWidth="1"/>
    <col min="4112" max="4112" width="13.5703125" customWidth="1"/>
    <col min="4113" max="4113" width="13.28515625" bestFit="1" customWidth="1"/>
    <col min="4353" max="4353" width="29.28515625" customWidth="1"/>
    <col min="4354" max="4354" width="17.42578125" customWidth="1"/>
    <col min="4355" max="4355" width="10.140625" customWidth="1"/>
    <col min="4356" max="4367" width="12.140625" bestFit="1" customWidth="1"/>
    <col min="4368" max="4368" width="13.5703125" customWidth="1"/>
    <col min="4369" max="4369" width="13.28515625" bestFit="1" customWidth="1"/>
    <col min="4609" max="4609" width="29.28515625" customWidth="1"/>
    <col min="4610" max="4610" width="17.42578125" customWidth="1"/>
    <col min="4611" max="4611" width="10.140625" customWidth="1"/>
    <col min="4612" max="4623" width="12.140625" bestFit="1" customWidth="1"/>
    <col min="4624" max="4624" width="13.5703125" customWidth="1"/>
    <col min="4625" max="4625" width="13.28515625" bestFit="1" customWidth="1"/>
    <col min="4865" max="4865" width="29.28515625" customWidth="1"/>
    <col min="4866" max="4866" width="17.42578125" customWidth="1"/>
    <col min="4867" max="4867" width="10.140625" customWidth="1"/>
    <col min="4868" max="4879" width="12.140625" bestFit="1" customWidth="1"/>
    <col min="4880" max="4880" width="13.5703125" customWidth="1"/>
    <col min="4881" max="4881" width="13.28515625" bestFit="1" customWidth="1"/>
    <col min="5121" max="5121" width="29.28515625" customWidth="1"/>
    <col min="5122" max="5122" width="17.42578125" customWidth="1"/>
    <col min="5123" max="5123" width="10.140625" customWidth="1"/>
    <col min="5124" max="5135" width="12.140625" bestFit="1" customWidth="1"/>
    <col min="5136" max="5136" width="13.5703125" customWidth="1"/>
    <col min="5137" max="5137" width="13.28515625" bestFit="1" customWidth="1"/>
    <col min="5377" max="5377" width="29.28515625" customWidth="1"/>
    <col min="5378" max="5378" width="17.42578125" customWidth="1"/>
    <col min="5379" max="5379" width="10.140625" customWidth="1"/>
    <col min="5380" max="5391" width="12.140625" bestFit="1" customWidth="1"/>
    <col min="5392" max="5392" width="13.5703125" customWidth="1"/>
    <col min="5393" max="5393" width="13.28515625" bestFit="1" customWidth="1"/>
    <col min="5633" max="5633" width="29.28515625" customWidth="1"/>
    <col min="5634" max="5634" width="17.42578125" customWidth="1"/>
    <col min="5635" max="5635" width="10.140625" customWidth="1"/>
    <col min="5636" max="5647" width="12.140625" bestFit="1" customWidth="1"/>
    <col min="5648" max="5648" width="13.5703125" customWidth="1"/>
    <col min="5649" max="5649" width="13.28515625" bestFit="1" customWidth="1"/>
    <col min="5889" max="5889" width="29.28515625" customWidth="1"/>
    <col min="5890" max="5890" width="17.42578125" customWidth="1"/>
    <col min="5891" max="5891" width="10.140625" customWidth="1"/>
    <col min="5892" max="5903" width="12.140625" bestFit="1" customWidth="1"/>
    <col min="5904" max="5904" width="13.5703125" customWidth="1"/>
    <col min="5905" max="5905" width="13.28515625" bestFit="1" customWidth="1"/>
    <col min="6145" max="6145" width="29.28515625" customWidth="1"/>
    <col min="6146" max="6146" width="17.42578125" customWidth="1"/>
    <col min="6147" max="6147" width="10.140625" customWidth="1"/>
    <col min="6148" max="6159" width="12.140625" bestFit="1" customWidth="1"/>
    <col min="6160" max="6160" width="13.5703125" customWidth="1"/>
    <col min="6161" max="6161" width="13.28515625" bestFit="1" customWidth="1"/>
    <col min="6401" max="6401" width="29.28515625" customWidth="1"/>
    <col min="6402" max="6402" width="17.42578125" customWidth="1"/>
    <col min="6403" max="6403" width="10.140625" customWidth="1"/>
    <col min="6404" max="6415" width="12.140625" bestFit="1" customWidth="1"/>
    <col min="6416" max="6416" width="13.5703125" customWidth="1"/>
    <col min="6417" max="6417" width="13.28515625" bestFit="1" customWidth="1"/>
    <col min="6657" max="6657" width="29.28515625" customWidth="1"/>
    <col min="6658" max="6658" width="17.42578125" customWidth="1"/>
    <col min="6659" max="6659" width="10.140625" customWidth="1"/>
    <col min="6660" max="6671" width="12.140625" bestFit="1" customWidth="1"/>
    <col min="6672" max="6672" width="13.5703125" customWidth="1"/>
    <col min="6673" max="6673" width="13.28515625" bestFit="1" customWidth="1"/>
    <col min="6913" max="6913" width="29.28515625" customWidth="1"/>
    <col min="6914" max="6914" width="17.42578125" customWidth="1"/>
    <col min="6915" max="6915" width="10.140625" customWidth="1"/>
    <col min="6916" max="6927" width="12.140625" bestFit="1" customWidth="1"/>
    <col min="6928" max="6928" width="13.5703125" customWidth="1"/>
    <col min="6929" max="6929" width="13.28515625" bestFit="1" customWidth="1"/>
    <col min="7169" max="7169" width="29.28515625" customWidth="1"/>
    <col min="7170" max="7170" width="17.42578125" customWidth="1"/>
    <col min="7171" max="7171" width="10.140625" customWidth="1"/>
    <col min="7172" max="7183" width="12.140625" bestFit="1" customWidth="1"/>
    <col min="7184" max="7184" width="13.5703125" customWidth="1"/>
    <col min="7185" max="7185" width="13.28515625" bestFit="1" customWidth="1"/>
    <col min="7425" max="7425" width="29.28515625" customWidth="1"/>
    <col min="7426" max="7426" width="17.42578125" customWidth="1"/>
    <col min="7427" max="7427" width="10.140625" customWidth="1"/>
    <col min="7428" max="7439" width="12.140625" bestFit="1" customWidth="1"/>
    <col min="7440" max="7440" width="13.5703125" customWidth="1"/>
    <col min="7441" max="7441" width="13.28515625" bestFit="1" customWidth="1"/>
    <col min="7681" max="7681" width="29.28515625" customWidth="1"/>
    <col min="7682" max="7682" width="17.42578125" customWidth="1"/>
    <col min="7683" max="7683" width="10.140625" customWidth="1"/>
    <col min="7684" max="7695" width="12.140625" bestFit="1" customWidth="1"/>
    <col min="7696" max="7696" width="13.5703125" customWidth="1"/>
    <col min="7697" max="7697" width="13.28515625" bestFit="1" customWidth="1"/>
    <col min="7937" max="7937" width="29.28515625" customWidth="1"/>
    <col min="7938" max="7938" width="17.42578125" customWidth="1"/>
    <col min="7939" max="7939" width="10.140625" customWidth="1"/>
    <col min="7940" max="7951" width="12.140625" bestFit="1" customWidth="1"/>
    <col min="7952" max="7952" width="13.5703125" customWidth="1"/>
    <col min="7953" max="7953" width="13.28515625" bestFit="1" customWidth="1"/>
    <col min="8193" max="8193" width="29.28515625" customWidth="1"/>
    <col min="8194" max="8194" width="17.42578125" customWidth="1"/>
    <col min="8195" max="8195" width="10.140625" customWidth="1"/>
    <col min="8196" max="8207" width="12.140625" bestFit="1" customWidth="1"/>
    <col min="8208" max="8208" width="13.5703125" customWidth="1"/>
    <col min="8209" max="8209" width="13.28515625" bestFit="1" customWidth="1"/>
    <col min="8449" max="8449" width="29.28515625" customWidth="1"/>
    <col min="8450" max="8450" width="17.42578125" customWidth="1"/>
    <col min="8451" max="8451" width="10.140625" customWidth="1"/>
    <col min="8452" max="8463" width="12.140625" bestFit="1" customWidth="1"/>
    <col min="8464" max="8464" width="13.5703125" customWidth="1"/>
    <col min="8465" max="8465" width="13.28515625" bestFit="1" customWidth="1"/>
    <col min="8705" max="8705" width="29.28515625" customWidth="1"/>
    <col min="8706" max="8706" width="17.42578125" customWidth="1"/>
    <col min="8707" max="8707" width="10.140625" customWidth="1"/>
    <col min="8708" max="8719" width="12.140625" bestFit="1" customWidth="1"/>
    <col min="8720" max="8720" width="13.5703125" customWidth="1"/>
    <col min="8721" max="8721" width="13.28515625" bestFit="1" customWidth="1"/>
    <col min="8961" max="8961" width="29.28515625" customWidth="1"/>
    <col min="8962" max="8962" width="17.42578125" customWidth="1"/>
    <col min="8963" max="8963" width="10.140625" customWidth="1"/>
    <col min="8964" max="8975" width="12.140625" bestFit="1" customWidth="1"/>
    <col min="8976" max="8976" width="13.5703125" customWidth="1"/>
    <col min="8977" max="8977" width="13.28515625" bestFit="1" customWidth="1"/>
    <col min="9217" max="9217" width="29.28515625" customWidth="1"/>
    <col min="9218" max="9218" width="17.42578125" customWidth="1"/>
    <col min="9219" max="9219" width="10.140625" customWidth="1"/>
    <col min="9220" max="9231" width="12.140625" bestFit="1" customWidth="1"/>
    <col min="9232" max="9232" width="13.5703125" customWidth="1"/>
    <col min="9233" max="9233" width="13.28515625" bestFit="1" customWidth="1"/>
    <col min="9473" max="9473" width="29.28515625" customWidth="1"/>
    <col min="9474" max="9474" width="17.42578125" customWidth="1"/>
    <col min="9475" max="9475" width="10.140625" customWidth="1"/>
    <col min="9476" max="9487" width="12.140625" bestFit="1" customWidth="1"/>
    <col min="9488" max="9488" width="13.5703125" customWidth="1"/>
    <col min="9489" max="9489" width="13.28515625" bestFit="1" customWidth="1"/>
    <col min="9729" max="9729" width="29.28515625" customWidth="1"/>
    <col min="9730" max="9730" width="17.42578125" customWidth="1"/>
    <col min="9731" max="9731" width="10.140625" customWidth="1"/>
    <col min="9732" max="9743" width="12.140625" bestFit="1" customWidth="1"/>
    <col min="9744" max="9744" width="13.5703125" customWidth="1"/>
    <col min="9745" max="9745" width="13.28515625" bestFit="1" customWidth="1"/>
    <col min="9985" max="9985" width="29.28515625" customWidth="1"/>
    <col min="9986" max="9986" width="17.42578125" customWidth="1"/>
    <col min="9987" max="9987" width="10.140625" customWidth="1"/>
    <col min="9988" max="9999" width="12.140625" bestFit="1" customWidth="1"/>
    <col min="10000" max="10000" width="13.5703125" customWidth="1"/>
    <col min="10001" max="10001" width="13.28515625" bestFit="1" customWidth="1"/>
    <col min="10241" max="10241" width="29.28515625" customWidth="1"/>
    <col min="10242" max="10242" width="17.42578125" customWidth="1"/>
    <col min="10243" max="10243" width="10.140625" customWidth="1"/>
    <col min="10244" max="10255" width="12.140625" bestFit="1" customWidth="1"/>
    <col min="10256" max="10256" width="13.5703125" customWidth="1"/>
    <col min="10257" max="10257" width="13.28515625" bestFit="1" customWidth="1"/>
    <col min="10497" max="10497" width="29.28515625" customWidth="1"/>
    <col min="10498" max="10498" width="17.42578125" customWidth="1"/>
    <col min="10499" max="10499" width="10.140625" customWidth="1"/>
    <col min="10500" max="10511" width="12.140625" bestFit="1" customWidth="1"/>
    <col min="10512" max="10512" width="13.5703125" customWidth="1"/>
    <col min="10513" max="10513" width="13.28515625" bestFit="1" customWidth="1"/>
    <col min="10753" max="10753" width="29.28515625" customWidth="1"/>
    <col min="10754" max="10754" width="17.42578125" customWidth="1"/>
    <col min="10755" max="10755" width="10.140625" customWidth="1"/>
    <col min="10756" max="10767" width="12.140625" bestFit="1" customWidth="1"/>
    <col min="10768" max="10768" width="13.5703125" customWidth="1"/>
    <col min="10769" max="10769" width="13.28515625" bestFit="1" customWidth="1"/>
    <col min="11009" max="11009" width="29.28515625" customWidth="1"/>
    <col min="11010" max="11010" width="17.42578125" customWidth="1"/>
    <col min="11011" max="11011" width="10.140625" customWidth="1"/>
    <col min="11012" max="11023" width="12.140625" bestFit="1" customWidth="1"/>
    <col min="11024" max="11024" width="13.5703125" customWidth="1"/>
    <col min="11025" max="11025" width="13.28515625" bestFit="1" customWidth="1"/>
    <col min="11265" max="11265" width="29.28515625" customWidth="1"/>
    <col min="11266" max="11266" width="17.42578125" customWidth="1"/>
    <col min="11267" max="11267" width="10.140625" customWidth="1"/>
    <col min="11268" max="11279" width="12.140625" bestFit="1" customWidth="1"/>
    <col min="11280" max="11280" width="13.5703125" customWidth="1"/>
    <col min="11281" max="11281" width="13.28515625" bestFit="1" customWidth="1"/>
    <col min="11521" max="11521" width="29.28515625" customWidth="1"/>
    <col min="11522" max="11522" width="17.42578125" customWidth="1"/>
    <col min="11523" max="11523" width="10.140625" customWidth="1"/>
    <col min="11524" max="11535" width="12.140625" bestFit="1" customWidth="1"/>
    <col min="11536" max="11536" width="13.5703125" customWidth="1"/>
    <col min="11537" max="11537" width="13.28515625" bestFit="1" customWidth="1"/>
    <col min="11777" max="11777" width="29.28515625" customWidth="1"/>
    <col min="11778" max="11778" width="17.42578125" customWidth="1"/>
    <col min="11779" max="11779" width="10.140625" customWidth="1"/>
    <col min="11780" max="11791" width="12.140625" bestFit="1" customWidth="1"/>
    <col min="11792" max="11792" width="13.5703125" customWidth="1"/>
    <col min="11793" max="11793" width="13.28515625" bestFit="1" customWidth="1"/>
    <col min="12033" max="12033" width="29.28515625" customWidth="1"/>
    <col min="12034" max="12034" width="17.42578125" customWidth="1"/>
    <col min="12035" max="12035" width="10.140625" customWidth="1"/>
    <col min="12036" max="12047" width="12.140625" bestFit="1" customWidth="1"/>
    <col min="12048" max="12048" width="13.5703125" customWidth="1"/>
    <col min="12049" max="12049" width="13.28515625" bestFit="1" customWidth="1"/>
    <col min="12289" max="12289" width="29.28515625" customWidth="1"/>
    <col min="12290" max="12290" width="17.42578125" customWidth="1"/>
    <col min="12291" max="12291" width="10.140625" customWidth="1"/>
    <col min="12292" max="12303" width="12.140625" bestFit="1" customWidth="1"/>
    <col min="12304" max="12304" width="13.5703125" customWidth="1"/>
    <col min="12305" max="12305" width="13.28515625" bestFit="1" customWidth="1"/>
    <col min="12545" max="12545" width="29.28515625" customWidth="1"/>
    <col min="12546" max="12546" width="17.42578125" customWidth="1"/>
    <col min="12547" max="12547" width="10.140625" customWidth="1"/>
    <col min="12548" max="12559" width="12.140625" bestFit="1" customWidth="1"/>
    <col min="12560" max="12560" width="13.5703125" customWidth="1"/>
    <col min="12561" max="12561" width="13.28515625" bestFit="1" customWidth="1"/>
    <col min="12801" max="12801" width="29.28515625" customWidth="1"/>
    <col min="12802" max="12802" width="17.42578125" customWidth="1"/>
    <col min="12803" max="12803" width="10.140625" customWidth="1"/>
    <col min="12804" max="12815" width="12.140625" bestFit="1" customWidth="1"/>
    <col min="12816" max="12816" width="13.5703125" customWidth="1"/>
    <col min="12817" max="12817" width="13.28515625" bestFit="1" customWidth="1"/>
    <col min="13057" max="13057" width="29.28515625" customWidth="1"/>
    <col min="13058" max="13058" width="17.42578125" customWidth="1"/>
    <col min="13059" max="13059" width="10.140625" customWidth="1"/>
    <col min="13060" max="13071" width="12.140625" bestFit="1" customWidth="1"/>
    <col min="13072" max="13072" width="13.5703125" customWidth="1"/>
    <col min="13073" max="13073" width="13.28515625" bestFit="1" customWidth="1"/>
    <col min="13313" max="13313" width="29.28515625" customWidth="1"/>
    <col min="13314" max="13314" width="17.42578125" customWidth="1"/>
    <col min="13315" max="13315" width="10.140625" customWidth="1"/>
    <col min="13316" max="13327" width="12.140625" bestFit="1" customWidth="1"/>
    <col min="13328" max="13328" width="13.5703125" customWidth="1"/>
    <col min="13329" max="13329" width="13.28515625" bestFit="1" customWidth="1"/>
    <col min="13569" max="13569" width="29.28515625" customWidth="1"/>
    <col min="13570" max="13570" width="17.42578125" customWidth="1"/>
    <col min="13571" max="13571" width="10.140625" customWidth="1"/>
    <col min="13572" max="13583" width="12.140625" bestFit="1" customWidth="1"/>
    <col min="13584" max="13584" width="13.5703125" customWidth="1"/>
    <col min="13585" max="13585" width="13.28515625" bestFit="1" customWidth="1"/>
    <col min="13825" max="13825" width="29.28515625" customWidth="1"/>
    <col min="13826" max="13826" width="17.42578125" customWidth="1"/>
    <col min="13827" max="13827" width="10.140625" customWidth="1"/>
    <col min="13828" max="13839" width="12.140625" bestFit="1" customWidth="1"/>
    <col min="13840" max="13840" width="13.5703125" customWidth="1"/>
    <col min="13841" max="13841" width="13.28515625" bestFit="1" customWidth="1"/>
    <col min="14081" max="14081" width="29.28515625" customWidth="1"/>
    <col min="14082" max="14082" width="17.42578125" customWidth="1"/>
    <col min="14083" max="14083" width="10.140625" customWidth="1"/>
    <col min="14084" max="14095" width="12.140625" bestFit="1" customWidth="1"/>
    <col min="14096" max="14096" width="13.5703125" customWidth="1"/>
    <col min="14097" max="14097" width="13.28515625" bestFit="1" customWidth="1"/>
    <col min="14337" max="14337" width="29.28515625" customWidth="1"/>
    <col min="14338" max="14338" width="17.42578125" customWidth="1"/>
    <col min="14339" max="14339" width="10.140625" customWidth="1"/>
    <col min="14340" max="14351" width="12.140625" bestFit="1" customWidth="1"/>
    <col min="14352" max="14352" width="13.5703125" customWidth="1"/>
    <col min="14353" max="14353" width="13.28515625" bestFit="1" customWidth="1"/>
    <col min="14593" max="14593" width="29.28515625" customWidth="1"/>
    <col min="14594" max="14594" width="17.42578125" customWidth="1"/>
    <col min="14595" max="14595" width="10.140625" customWidth="1"/>
    <col min="14596" max="14607" width="12.140625" bestFit="1" customWidth="1"/>
    <col min="14608" max="14608" width="13.5703125" customWidth="1"/>
    <col min="14609" max="14609" width="13.28515625" bestFit="1" customWidth="1"/>
    <col min="14849" max="14849" width="29.28515625" customWidth="1"/>
    <col min="14850" max="14850" width="17.42578125" customWidth="1"/>
    <col min="14851" max="14851" width="10.140625" customWidth="1"/>
    <col min="14852" max="14863" width="12.140625" bestFit="1" customWidth="1"/>
    <col min="14864" max="14864" width="13.5703125" customWidth="1"/>
    <col min="14865" max="14865" width="13.28515625" bestFit="1" customWidth="1"/>
    <col min="15105" max="15105" width="29.28515625" customWidth="1"/>
    <col min="15106" max="15106" width="17.42578125" customWidth="1"/>
    <col min="15107" max="15107" width="10.140625" customWidth="1"/>
    <col min="15108" max="15119" width="12.140625" bestFit="1" customWidth="1"/>
    <col min="15120" max="15120" width="13.5703125" customWidth="1"/>
    <col min="15121" max="15121" width="13.28515625" bestFit="1" customWidth="1"/>
    <col min="15361" max="15361" width="29.28515625" customWidth="1"/>
    <col min="15362" max="15362" width="17.42578125" customWidth="1"/>
    <col min="15363" max="15363" width="10.140625" customWidth="1"/>
    <col min="15364" max="15375" width="12.140625" bestFit="1" customWidth="1"/>
    <col min="15376" max="15376" width="13.5703125" customWidth="1"/>
    <col min="15377" max="15377" width="13.28515625" bestFit="1" customWidth="1"/>
    <col min="15617" max="15617" width="29.28515625" customWidth="1"/>
    <col min="15618" max="15618" width="17.42578125" customWidth="1"/>
    <col min="15619" max="15619" width="10.140625" customWidth="1"/>
    <col min="15620" max="15631" width="12.140625" bestFit="1" customWidth="1"/>
    <col min="15632" max="15632" width="13.5703125" customWidth="1"/>
    <col min="15633" max="15633" width="13.28515625" bestFit="1" customWidth="1"/>
    <col min="15873" max="15873" width="29.28515625" customWidth="1"/>
    <col min="15874" max="15874" width="17.42578125" customWidth="1"/>
    <col min="15875" max="15875" width="10.140625" customWidth="1"/>
    <col min="15876" max="15887" width="12.140625" bestFit="1" customWidth="1"/>
    <col min="15888" max="15888" width="13.5703125" customWidth="1"/>
    <col min="15889" max="15889" width="13.28515625" bestFit="1" customWidth="1"/>
    <col min="16129" max="16129" width="29.28515625" customWidth="1"/>
    <col min="16130" max="16130" width="17.42578125" customWidth="1"/>
    <col min="16131" max="16131" width="10.140625" customWidth="1"/>
    <col min="16132" max="16143" width="12.140625" bestFit="1" customWidth="1"/>
    <col min="16144" max="16144" width="13.5703125" customWidth="1"/>
    <col min="16145" max="16145" width="13.28515625" bestFit="1" customWidth="1"/>
  </cols>
  <sheetData>
    <row r="3" spans="1:29" ht="13.5" thickBot="1" x14ac:dyDescent="0.25"/>
    <row r="4" spans="1:29" ht="13.5" thickBot="1" x14ac:dyDescent="0.25">
      <c r="A4" s="151" t="s">
        <v>111</v>
      </c>
      <c r="B4" s="151" t="s">
        <v>112</v>
      </c>
      <c r="C4" s="151"/>
      <c r="D4" s="151" t="s">
        <v>77</v>
      </c>
      <c r="E4" s="151" t="s">
        <v>78</v>
      </c>
      <c r="F4" s="151" t="s">
        <v>79</v>
      </c>
      <c r="G4" s="151" t="s">
        <v>80</v>
      </c>
      <c r="H4" s="151" t="s">
        <v>81</v>
      </c>
      <c r="I4" s="151" t="s">
        <v>82</v>
      </c>
      <c r="J4" s="151" t="s">
        <v>83</v>
      </c>
      <c r="K4" s="151" t="s">
        <v>84</v>
      </c>
      <c r="L4" s="151" t="s">
        <v>113</v>
      </c>
      <c r="M4" s="151" t="s">
        <v>86</v>
      </c>
      <c r="N4" s="151" t="s">
        <v>87</v>
      </c>
      <c r="O4" s="152" t="s">
        <v>88</v>
      </c>
      <c r="P4" s="153" t="s">
        <v>89</v>
      </c>
    </row>
    <row r="5" spans="1:29" x14ac:dyDescent="0.2">
      <c r="A5" s="154" t="s">
        <v>114</v>
      </c>
      <c r="B5" s="155" t="s">
        <v>115</v>
      </c>
      <c r="C5" s="156">
        <v>2014</v>
      </c>
      <c r="D5" s="157">
        <v>60049.868999999999</v>
      </c>
      <c r="E5" s="157">
        <v>70228.914999999994</v>
      </c>
      <c r="F5" s="157">
        <v>68158.633000000002</v>
      </c>
      <c r="G5" s="157">
        <v>78025.073999999993</v>
      </c>
      <c r="H5" s="157">
        <v>82919.718999999997</v>
      </c>
      <c r="I5" s="157">
        <v>57321.726999999999</v>
      </c>
      <c r="J5" s="157">
        <v>7533.0659999999998</v>
      </c>
      <c r="K5" s="157">
        <v>86369.838000000003</v>
      </c>
      <c r="L5" s="157">
        <v>82557.297000000006</v>
      </c>
      <c r="M5" s="157">
        <v>82900.726999999999</v>
      </c>
      <c r="N5" s="157">
        <v>77731.324999999997</v>
      </c>
      <c r="O5" s="158">
        <v>69433.047999999995</v>
      </c>
      <c r="P5" s="159">
        <f>SUM(D5:O5)</f>
        <v>823229.23799999978</v>
      </c>
      <c r="T5" s="61"/>
      <c r="U5" s="160">
        <v>2014</v>
      </c>
      <c r="V5" s="160">
        <v>2015</v>
      </c>
      <c r="W5" s="160" t="s">
        <v>109</v>
      </c>
      <c r="X5" s="160">
        <v>2014</v>
      </c>
      <c r="Y5" s="160">
        <v>2015</v>
      </c>
      <c r="Z5" s="160" t="s">
        <v>109</v>
      </c>
      <c r="AA5" s="160">
        <v>2014</v>
      </c>
      <c r="AB5" s="160">
        <v>2015</v>
      </c>
      <c r="AC5" s="160" t="s">
        <v>109</v>
      </c>
    </row>
    <row r="6" spans="1:29" x14ac:dyDescent="0.2">
      <c r="A6" s="154" t="s">
        <v>116</v>
      </c>
      <c r="B6" s="155" t="s">
        <v>115</v>
      </c>
      <c r="C6" s="161">
        <v>2014</v>
      </c>
      <c r="D6" s="157">
        <v>8204.0789999999997</v>
      </c>
      <c r="E6" s="157">
        <v>9838.7990000000009</v>
      </c>
      <c r="F6" s="157">
        <v>10840.623</v>
      </c>
      <c r="G6" s="157">
        <v>11653.457</v>
      </c>
      <c r="H6" s="157">
        <v>12108.781000000001</v>
      </c>
      <c r="I6" s="157">
        <v>8112.9369999999999</v>
      </c>
      <c r="J6" s="157">
        <v>384.23099999999999</v>
      </c>
      <c r="K6" s="157">
        <v>9546.1080000000002</v>
      </c>
      <c r="L6" s="157">
        <v>9456.6740000000009</v>
      </c>
      <c r="M6" s="157">
        <v>10500.614</v>
      </c>
      <c r="N6" s="157">
        <v>10772.106</v>
      </c>
      <c r="O6" s="157">
        <v>10257.143</v>
      </c>
      <c r="P6" s="159">
        <f t="shared" ref="P6:P32" si="0">SUM(D6:O6)</f>
        <v>111675.552</v>
      </c>
      <c r="T6" s="61" t="s">
        <v>77</v>
      </c>
      <c r="U6" s="61">
        <v>4824314</v>
      </c>
      <c r="V6" s="61">
        <v>4528954</v>
      </c>
      <c r="W6" s="162">
        <f>(V6/U6)-1</f>
        <v>-6.1223212253597059E-2</v>
      </c>
      <c r="X6" s="61">
        <v>12278.989</v>
      </c>
      <c r="Y6" s="61">
        <v>18474.695000000003</v>
      </c>
      <c r="Z6" s="162">
        <f>(Y6/X6)-1</f>
        <v>0.50457786060399634</v>
      </c>
      <c r="AA6" s="61">
        <v>135650.459</v>
      </c>
      <c r="AB6" s="61">
        <v>138441.27799999999</v>
      </c>
      <c r="AC6" s="162">
        <f>(AB6/AA6)-1</f>
        <v>2.0573605283561891E-2</v>
      </c>
    </row>
    <row r="7" spans="1:29" x14ac:dyDescent="0.2">
      <c r="A7" s="154" t="s">
        <v>117</v>
      </c>
      <c r="B7" s="163" t="s">
        <v>115</v>
      </c>
      <c r="C7" s="161">
        <v>2014</v>
      </c>
      <c r="D7" s="164">
        <v>1480504</v>
      </c>
      <c r="E7" s="164">
        <v>2275392</v>
      </c>
      <c r="F7" s="164">
        <v>2523211</v>
      </c>
      <c r="G7" s="164">
        <v>2033684</v>
      </c>
      <c r="H7" s="164">
        <v>2652740</v>
      </c>
      <c r="I7" s="164">
        <v>1965244</v>
      </c>
      <c r="J7" s="164">
        <v>137710</v>
      </c>
      <c r="K7" s="164">
        <v>2499546</v>
      </c>
      <c r="L7" s="164">
        <v>2090932</v>
      </c>
      <c r="M7" s="164">
        <v>2979293</v>
      </c>
      <c r="N7" s="164">
        <v>2590059</v>
      </c>
      <c r="O7" s="164">
        <v>2544410</v>
      </c>
      <c r="P7" s="165">
        <f t="shared" si="0"/>
        <v>25772725</v>
      </c>
      <c r="T7" s="61" t="s">
        <v>78</v>
      </c>
      <c r="U7" s="61">
        <v>5404903</v>
      </c>
      <c r="V7" s="61">
        <v>5316807</v>
      </c>
      <c r="W7" s="162">
        <f t="shared" ref="W7:W17" si="1">(V7/U7)-1</f>
        <v>-1.6299274936108943E-2</v>
      </c>
      <c r="X7" s="61">
        <v>14743.229000000001</v>
      </c>
      <c r="Y7" s="61">
        <v>22393.298000000003</v>
      </c>
      <c r="Z7" s="162">
        <f t="shared" ref="Z7:Z18" si="2">(Y7/X7)-1</f>
        <v>0.51888694125282875</v>
      </c>
      <c r="AA7" s="61">
        <v>149915.91499999998</v>
      </c>
      <c r="AB7" s="61">
        <v>155641.23800000001</v>
      </c>
      <c r="AC7" s="162">
        <f t="shared" ref="AC7:AC18" si="3">(AB7/AA7)-1</f>
        <v>3.8190228168904161E-2</v>
      </c>
    </row>
    <row r="8" spans="1:29" x14ac:dyDescent="0.2">
      <c r="A8" s="166" t="s">
        <v>118</v>
      </c>
      <c r="B8" s="167" t="s">
        <v>115</v>
      </c>
      <c r="C8" s="161">
        <v>2014</v>
      </c>
      <c r="D8" s="168">
        <v>1360178</v>
      </c>
      <c r="E8" s="168">
        <v>2103229</v>
      </c>
      <c r="F8" s="168">
        <v>2307634</v>
      </c>
      <c r="G8" s="168">
        <v>1877326</v>
      </c>
      <c r="H8" s="168">
        <v>2439604</v>
      </c>
      <c r="I8" s="168">
        <v>1804174</v>
      </c>
      <c r="J8" s="168">
        <v>126839</v>
      </c>
      <c r="K8" s="168">
        <v>2290601</v>
      </c>
      <c r="L8" s="168">
        <v>1936099</v>
      </c>
      <c r="M8" s="168">
        <v>2749984</v>
      </c>
      <c r="N8" s="168">
        <v>2347993</v>
      </c>
      <c r="O8" s="169">
        <v>2293259</v>
      </c>
      <c r="P8" s="170">
        <f t="shared" si="0"/>
        <v>23636920</v>
      </c>
      <c r="T8" s="61" t="s">
        <v>79</v>
      </c>
      <c r="U8" s="61">
        <v>6858208</v>
      </c>
      <c r="V8" s="61">
        <v>5597163</v>
      </c>
      <c r="W8" s="162">
        <f t="shared" si="1"/>
        <v>-0.18387383409777014</v>
      </c>
      <c r="X8" s="61">
        <v>15977.574000000001</v>
      </c>
      <c r="Y8" s="61">
        <v>23810.270097892302</v>
      </c>
      <c r="Z8" s="162">
        <f t="shared" si="2"/>
        <v>0.49023062561890196</v>
      </c>
      <c r="AA8" s="61">
        <v>158491.261</v>
      </c>
      <c r="AB8" s="61">
        <v>162855.36599999998</v>
      </c>
      <c r="AC8" s="162">
        <f t="shared" si="3"/>
        <v>2.7535303665733313E-2</v>
      </c>
    </row>
    <row r="9" spans="1:29" ht="13.5" thickBot="1" x14ac:dyDescent="0.25">
      <c r="A9" s="171" t="s">
        <v>119</v>
      </c>
      <c r="B9" s="172" t="s">
        <v>115</v>
      </c>
      <c r="C9" s="173">
        <v>2014</v>
      </c>
      <c r="D9" s="174">
        <v>120326</v>
      </c>
      <c r="E9" s="174">
        <v>172163</v>
      </c>
      <c r="F9" s="174">
        <v>215577</v>
      </c>
      <c r="G9" s="174">
        <v>156358</v>
      </c>
      <c r="H9" s="174">
        <v>213136</v>
      </c>
      <c r="I9" s="174">
        <v>161070</v>
      </c>
      <c r="J9" s="174">
        <v>10871</v>
      </c>
      <c r="K9" s="174">
        <v>208945</v>
      </c>
      <c r="L9" s="174">
        <v>154833</v>
      </c>
      <c r="M9" s="174">
        <v>229309</v>
      </c>
      <c r="N9" s="174">
        <v>242066</v>
      </c>
      <c r="O9" s="175">
        <v>251151</v>
      </c>
      <c r="P9" s="176">
        <f t="shared" si="0"/>
        <v>2135805</v>
      </c>
      <c r="T9" s="61" t="s">
        <v>80</v>
      </c>
      <c r="U9" s="61">
        <v>5399690</v>
      </c>
      <c r="V9" s="61">
        <v>4077478</v>
      </c>
      <c r="W9" s="162">
        <f t="shared" si="1"/>
        <v>-0.24486813131864982</v>
      </c>
      <c r="X9" s="61">
        <v>16248.327000000001</v>
      </c>
      <c r="Y9" s="61">
        <v>22208.486999999997</v>
      </c>
      <c r="Z9" s="162">
        <f t="shared" si="2"/>
        <v>0.36681684212780774</v>
      </c>
      <c r="AA9" s="61">
        <v>161336.54800000001</v>
      </c>
      <c r="AB9" s="61">
        <v>127697.95600000001</v>
      </c>
      <c r="AC9" s="162">
        <f t="shared" si="3"/>
        <v>-0.20849951493941721</v>
      </c>
    </row>
    <row r="10" spans="1:29" x14ac:dyDescent="0.2">
      <c r="A10" s="154" t="s">
        <v>114</v>
      </c>
      <c r="B10" s="68" t="s">
        <v>120</v>
      </c>
      <c r="C10" s="156">
        <v>2014</v>
      </c>
      <c r="D10" s="157">
        <v>41385</v>
      </c>
      <c r="E10" s="157">
        <v>39333</v>
      </c>
      <c r="F10" s="157">
        <v>50095</v>
      </c>
      <c r="G10" s="157">
        <v>44629</v>
      </c>
      <c r="H10" s="157">
        <v>12068</v>
      </c>
      <c r="I10" s="157">
        <v>1845</v>
      </c>
      <c r="J10" s="157">
        <v>45801</v>
      </c>
      <c r="K10" s="157">
        <v>46097</v>
      </c>
      <c r="L10" s="157">
        <v>47091</v>
      </c>
      <c r="M10" s="157">
        <v>47472.3</v>
      </c>
      <c r="N10" s="157">
        <v>42995</v>
      </c>
      <c r="O10" s="158">
        <v>48949</v>
      </c>
      <c r="P10" s="159">
        <f t="shared" si="0"/>
        <v>467760.3</v>
      </c>
      <c r="T10" s="61" t="s">
        <v>81</v>
      </c>
      <c r="U10" s="61">
        <v>5597692</v>
      </c>
      <c r="V10" s="61">
        <v>2395803</v>
      </c>
      <c r="W10" s="162">
        <f t="shared" si="1"/>
        <v>-0.57200163924703251</v>
      </c>
      <c r="X10" s="61">
        <v>17218.800999999999</v>
      </c>
      <c r="Y10" s="61">
        <v>14931.367</v>
      </c>
      <c r="Z10" s="162">
        <f t="shared" si="2"/>
        <v>-0.13284513828808397</v>
      </c>
      <c r="AA10" s="61">
        <v>139782.603</v>
      </c>
      <c r="AB10" s="61">
        <v>97390.749000000011</v>
      </c>
      <c r="AC10" s="162">
        <f t="shared" si="3"/>
        <v>-0.30326988545205436</v>
      </c>
    </row>
    <row r="11" spans="1:29" x14ac:dyDescent="0.2">
      <c r="A11" s="154" t="s">
        <v>116</v>
      </c>
      <c r="B11" s="177" t="s">
        <v>120</v>
      </c>
      <c r="C11" s="161">
        <v>2014</v>
      </c>
      <c r="D11" s="157"/>
      <c r="E11" s="157"/>
      <c r="F11" s="157"/>
      <c r="G11" s="157"/>
      <c r="H11" s="157"/>
      <c r="I11" s="157"/>
      <c r="J11" s="157">
        <v>7141.8639999999996</v>
      </c>
      <c r="K11" s="157">
        <v>6531.9359999999997</v>
      </c>
      <c r="L11" s="157">
        <v>6645.9660000000003</v>
      </c>
      <c r="M11" s="157">
        <v>6927.32</v>
      </c>
      <c r="N11" s="157">
        <v>6138.3459999999995</v>
      </c>
      <c r="O11" s="157">
        <v>7647.2960000000003</v>
      </c>
      <c r="P11" s="159">
        <f t="shared" si="0"/>
        <v>41032.728000000003</v>
      </c>
      <c r="T11" s="61" t="s">
        <v>82</v>
      </c>
      <c r="U11" s="61">
        <v>2581154</v>
      </c>
      <c r="V11" s="61">
        <v>5046605</v>
      </c>
      <c r="W11" s="162">
        <f t="shared" si="1"/>
        <v>0.95517392608112495</v>
      </c>
      <c r="X11" s="61">
        <v>12507.268</v>
      </c>
      <c r="Y11" s="61">
        <v>16406.942999999999</v>
      </c>
      <c r="Z11" s="162">
        <f t="shared" si="2"/>
        <v>0.31179271124597308</v>
      </c>
      <c r="AA11" s="61">
        <v>96168.063999999998</v>
      </c>
      <c r="AB11" s="61">
        <v>108733.68700000001</v>
      </c>
      <c r="AC11" s="162">
        <f t="shared" si="3"/>
        <v>0.13066315861365374</v>
      </c>
    </row>
    <row r="12" spans="1:29" x14ac:dyDescent="0.2">
      <c r="A12" s="154" t="s">
        <v>117</v>
      </c>
      <c r="B12" s="177" t="s">
        <v>120</v>
      </c>
      <c r="C12" s="161">
        <v>2014</v>
      </c>
      <c r="D12" s="164">
        <v>2731808</v>
      </c>
      <c r="E12" s="164">
        <v>2434396</v>
      </c>
      <c r="F12" s="164">
        <v>3610990</v>
      </c>
      <c r="G12" s="164">
        <v>2668138</v>
      </c>
      <c r="H12" s="164">
        <v>2252540</v>
      </c>
      <c r="I12" s="164">
        <v>45827</v>
      </c>
      <c r="J12" s="164">
        <v>2811883</v>
      </c>
      <c r="K12" s="164">
        <v>2579806</v>
      </c>
      <c r="L12" s="164">
        <v>2753816</v>
      </c>
      <c r="M12" s="164">
        <v>3417107</v>
      </c>
      <c r="N12" s="164">
        <v>2609099</v>
      </c>
      <c r="O12" s="164">
        <v>2904873</v>
      </c>
      <c r="P12" s="165">
        <f t="shared" si="0"/>
        <v>30820283</v>
      </c>
      <c r="T12" s="61" t="s">
        <v>83</v>
      </c>
      <c r="U12" s="61">
        <v>3616170</v>
      </c>
      <c r="V12" s="61">
        <v>2853412</v>
      </c>
      <c r="W12" s="162">
        <f t="shared" si="1"/>
        <v>-0.21092979588902072</v>
      </c>
      <c r="X12" s="61">
        <v>11881.628999999999</v>
      </c>
      <c r="Y12" s="61">
        <v>13206.143</v>
      </c>
      <c r="Z12" s="162">
        <f t="shared" si="2"/>
        <v>0.11147579174539124</v>
      </c>
      <c r="AA12" s="61">
        <v>87055.758000000002</v>
      </c>
      <c r="AB12" s="61">
        <v>96406.351999999999</v>
      </c>
      <c r="AC12" s="162">
        <f t="shared" si="3"/>
        <v>0.10740925373368171</v>
      </c>
    </row>
    <row r="13" spans="1:29" x14ac:dyDescent="0.2">
      <c r="A13" s="177" t="s">
        <v>121</v>
      </c>
      <c r="B13" s="177" t="s">
        <v>120</v>
      </c>
      <c r="C13" s="161">
        <v>2014</v>
      </c>
      <c r="D13" s="168">
        <v>2469973</v>
      </c>
      <c r="E13" s="168">
        <v>2214564</v>
      </c>
      <c r="F13" s="168">
        <v>3370098</v>
      </c>
      <c r="G13" s="168">
        <v>2473609</v>
      </c>
      <c r="H13" s="168">
        <v>2070016</v>
      </c>
      <c r="I13" s="168">
        <v>41840</v>
      </c>
      <c r="J13" s="168">
        <v>2598553</v>
      </c>
      <c r="K13" s="168">
        <v>2390906</v>
      </c>
      <c r="L13" s="168">
        <v>2543844</v>
      </c>
      <c r="M13" s="168">
        <v>3158005</v>
      </c>
      <c r="N13" s="168">
        <v>2397040</v>
      </c>
      <c r="O13" s="169">
        <v>2669382</v>
      </c>
      <c r="P13" s="170">
        <f t="shared" si="0"/>
        <v>28397830</v>
      </c>
      <c r="T13" s="61" t="s">
        <v>84</v>
      </c>
      <c r="U13" s="61">
        <v>5797763</v>
      </c>
      <c r="V13" s="61">
        <v>5367241</v>
      </c>
      <c r="W13" s="162">
        <f t="shared" si="1"/>
        <v>-7.4256571025756002E-2</v>
      </c>
      <c r="X13" s="61">
        <v>21232.13</v>
      </c>
      <c r="Y13" s="61">
        <v>22466.645</v>
      </c>
      <c r="Z13" s="162">
        <f t="shared" si="2"/>
        <v>5.8143718976852554E-2</v>
      </c>
      <c r="AA13" s="61">
        <v>173354.152</v>
      </c>
      <c r="AB13" s="61">
        <v>157721.51300000001</v>
      </c>
      <c r="AC13" s="162">
        <f t="shared" si="3"/>
        <v>-9.0177470915147162E-2</v>
      </c>
    </row>
    <row r="14" spans="1:29" ht="13.5" thickBot="1" x14ac:dyDescent="0.25">
      <c r="A14" s="178" t="s">
        <v>119</v>
      </c>
      <c r="B14" s="178" t="s">
        <v>120</v>
      </c>
      <c r="C14" s="173">
        <v>2014</v>
      </c>
      <c r="D14" s="174">
        <v>261835</v>
      </c>
      <c r="E14" s="174">
        <v>219832</v>
      </c>
      <c r="F14" s="174">
        <v>240892</v>
      </c>
      <c r="G14" s="174">
        <v>194529</v>
      </c>
      <c r="H14" s="174">
        <v>182524</v>
      </c>
      <c r="I14" s="174">
        <v>3987</v>
      </c>
      <c r="J14" s="174">
        <v>213330</v>
      </c>
      <c r="K14" s="174">
        <v>188900</v>
      </c>
      <c r="L14" s="174">
        <v>209972</v>
      </c>
      <c r="M14" s="174">
        <v>259102</v>
      </c>
      <c r="N14" s="174">
        <v>212059</v>
      </c>
      <c r="O14" s="175">
        <v>235491</v>
      </c>
      <c r="P14" s="176">
        <f t="shared" si="0"/>
        <v>2422453</v>
      </c>
      <c r="T14" s="61" t="s">
        <v>113</v>
      </c>
      <c r="U14" s="61">
        <v>5508731</v>
      </c>
      <c r="V14" s="61">
        <v>4781305</v>
      </c>
      <c r="W14" s="162">
        <f t="shared" si="1"/>
        <v>-0.132049649910297</v>
      </c>
      <c r="X14" s="61">
        <v>20776.781000000003</v>
      </c>
      <c r="Y14" s="61">
        <v>19558.310000000001</v>
      </c>
      <c r="Z14" s="162">
        <f t="shared" si="2"/>
        <v>-5.8645802735274644E-2</v>
      </c>
      <c r="AA14" s="61">
        <v>168183.71900000001</v>
      </c>
      <c r="AB14" s="61">
        <v>134796.11600000001</v>
      </c>
      <c r="AC14" s="162">
        <f t="shared" si="3"/>
        <v>-0.19851863901285238</v>
      </c>
    </row>
    <row r="15" spans="1:29" x14ac:dyDescent="0.2">
      <c r="A15" s="154" t="s">
        <v>114</v>
      </c>
      <c r="B15" s="155" t="s">
        <v>122</v>
      </c>
      <c r="C15" s="156">
        <v>2014</v>
      </c>
      <c r="D15" s="157">
        <v>34215.589999999997</v>
      </c>
      <c r="E15" s="157">
        <v>40354</v>
      </c>
      <c r="F15" s="157">
        <v>40237.627999999997</v>
      </c>
      <c r="G15" s="157">
        <v>38682.474000000002</v>
      </c>
      <c r="H15" s="157">
        <v>44794.883999999998</v>
      </c>
      <c r="I15" s="157">
        <v>37001.337</v>
      </c>
      <c r="J15" s="157">
        <v>33721.692000000003</v>
      </c>
      <c r="K15" s="157">
        <v>40887.313999999998</v>
      </c>
      <c r="L15" s="157">
        <v>38535.421999999999</v>
      </c>
      <c r="M15" s="157">
        <v>38872.802000000003</v>
      </c>
      <c r="N15" s="157">
        <v>43911.71</v>
      </c>
      <c r="O15" s="158">
        <v>43661.71</v>
      </c>
      <c r="P15" s="159">
        <f t="shared" si="0"/>
        <v>474876.56300000008</v>
      </c>
      <c r="T15" s="61" t="s">
        <v>86</v>
      </c>
      <c r="U15" s="61">
        <v>6989811</v>
      </c>
      <c r="V15" s="61">
        <v>4984210</v>
      </c>
      <c r="W15" s="162">
        <f t="shared" si="1"/>
        <v>-0.28693207870713533</v>
      </c>
      <c r="X15" s="61">
        <v>21845.203000000001</v>
      </c>
      <c r="Y15" s="61">
        <v>22872.514999999999</v>
      </c>
      <c r="Z15" s="162">
        <f t="shared" si="2"/>
        <v>4.7026891899333512E-2</v>
      </c>
      <c r="AA15" s="61">
        <v>169245.829</v>
      </c>
      <c r="AB15" s="61">
        <v>159947.285</v>
      </c>
      <c r="AC15" s="162">
        <f t="shared" si="3"/>
        <v>-5.4941052638880605E-2</v>
      </c>
    </row>
    <row r="16" spans="1:29" x14ac:dyDescent="0.2">
      <c r="A16" s="154" t="s">
        <v>116</v>
      </c>
      <c r="B16" s="155" t="s">
        <v>122</v>
      </c>
      <c r="C16" s="161">
        <v>2014</v>
      </c>
      <c r="D16" s="157">
        <v>4074.91</v>
      </c>
      <c r="E16" s="157">
        <v>4904.43</v>
      </c>
      <c r="F16" s="157">
        <v>5136.951</v>
      </c>
      <c r="G16" s="157">
        <v>4594.87</v>
      </c>
      <c r="H16" s="157">
        <v>5110.0200000000004</v>
      </c>
      <c r="I16" s="157">
        <v>4394.3310000000001</v>
      </c>
      <c r="J16" s="157">
        <v>4355.5339999999997</v>
      </c>
      <c r="K16" s="157">
        <v>5154.0860000000002</v>
      </c>
      <c r="L16" s="157">
        <v>4674.1409999999996</v>
      </c>
      <c r="M16" s="157">
        <v>4417.2690000000002</v>
      </c>
      <c r="N16" s="157">
        <v>5234.375</v>
      </c>
      <c r="O16" s="157">
        <v>4852.95</v>
      </c>
      <c r="P16" s="159">
        <f t="shared" si="0"/>
        <v>56903.866999999998</v>
      </c>
      <c r="T16" s="61" t="s">
        <v>87</v>
      </c>
      <c r="U16" s="61">
        <v>5917119</v>
      </c>
      <c r="V16" s="61">
        <v>5303823</v>
      </c>
      <c r="W16" s="162">
        <f t="shared" si="1"/>
        <v>-0.1036477380292673</v>
      </c>
      <c r="X16" s="61">
        <v>22144.826999999997</v>
      </c>
      <c r="Y16" s="61">
        <v>21297.567999999999</v>
      </c>
      <c r="Z16" s="162">
        <f t="shared" si="2"/>
        <v>-3.8259906026811508E-2</v>
      </c>
      <c r="AA16" s="61">
        <v>164638.035</v>
      </c>
      <c r="AB16" s="61">
        <v>150403.95000000001</v>
      </c>
      <c r="AC16" s="162">
        <f t="shared" si="3"/>
        <v>-8.6456844555998225E-2</v>
      </c>
    </row>
    <row r="17" spans="1:29" x14ac:dyDescent="0.2">
      <c r="A17" s="154" t="s">
        <v>117</v>
      </c>
      <c r="B17" s="163" t="s">
        <v>122</v>
      </c>
      <c r="C17" s="161">
        <v>2014</v>
      </c>
      <c r="D17" s="164">
        <f t="shared" ref="D17:O17" si="4">D18+D19</f>
        <v>612002</v>
      </c>
      <c r="E17" s="164">
        <f t="shared" si="4"/>
        <v>695115</v>
      </c>
      <c r="F17" s="164">
        <f t="shared" si="4"/>
        <v>724007</v>
      </c>
      <c r="G17" s="164">
        <f t="shared" si="4"/>
        <v>697868</v>
      </c>
      <c r="H17" s="164">
        <f t="shared" si="4"/>
        <v>692412</v>
      </c>
      <c r="I17" s="164">
        <f t="shared" si="4"/>
        <v>570083</v>
      </c>
      <c r="J17" s="164">
        <f t="shared" si="4"/>
        <v>666577</v>
      </c>
      <c r="K17" s="164">
        <f t="shared" si="4"/>
        <v>718411</v>
      </c>
      <c r="L17" s="164">
        <f t="shared" si="4"/>
        <v>663983</v>
      </c>
      <c r="M17" s="164">
        <f t="shared" si="4"/>
        <v>593411</v>
      </c>
      <c r="N17" s="164">
        <f t="shared" si="4"/>
        <v>717961</v>
      </c>
      <c r="O17" s="164">
        <f t="shared" si="4"/>
        <v>611187</v>
      </c>
      <c r="P17" s="165">
        <f t="shared" si="0"/>
        <v>7963017</v>
      </c>
      <c r="T17" s="61" t="s">
        <v>88</v>
      </c>
      <c r="U17" s="61">
        <v>6060470</v>
      </c>
      <c r="V17" s="61">
        <v>5172361</v>
      </c>
      <c r="W17" s="162">
        <f t="shared" si="1"/>
        <v>-0.14654127485162038</v>
      </c>
      <c r="X17" s="61">
        <v>22757.388999999999</v>
      </c>
      <c r="Y17" s="61">
        <v>22907.280999999999</v>
      </c>
      <c r="Z17" s="162">
        <f t="shared" si="2"/>
        <v>6.5865200968353577E-3</v>
      </c>
      <c r="AA17" s="61">
        <v>162043.758</v>
      </c>
      <c r="AB17" s="61">
        <v>155484.97100000002</v>
      </c>
      <c r="AC17" s="162">
        <f t="shared" si="3"/>
        <v>-4.0475406649110091E-2</v>
      </c>
    </row>
    <row r="18" spans="1:29" x14ac:dyDescent="0.2">
      <c r="A18" s="166" t="s">
        <v>123</v>
      </c>
      <c r="B18" s="167" t="s">
        <v>122</v>
      </c>
      <c r="C18" s="161">
        <v>2014</v>
      </c>
      <c r="D18" s="168">
        <v>550622</v>
      </c>
      <c r="E18" s="168">
        <v>623608</v>
      </c>
      <c r="F18" s="168">
        <v>652613</v>
      </c>
      <c r="G18" s="168">
        <v>631365</v>
      </c>
      <c r="H18" s="168">
        <v>622242</v>
      </c>
      <c r="I18" s="168">
        <v>511035</v>
      </c>
      <c r="J18" s="168">
        <v>600853</v>
      </c>
      <c r="K18" s="168">
        <v>646910</v>
      </c>
      <c r="L18" s="168">
        <v>597706</v>
      </c>
      <c r="M18" s="168">
        <v>536810</v>
      </c>
      <c r="N18" s="168">
        <v>653683</v>
      </c>
      <c r="O18" s="169">
        <v>554693</v>
      </c>
      <c r="P18" s="170">
        <f t="shared" si="0"/>
        <v>7182140</v>
      </c>
      <c r="T18" s="61"/>
      <c r="U18" s="160">
        <v>64556025</v>
      </c>
      <c r="V18" s="160">
        <v>55425162</v>
      </c>
      <c r="W18" s="162">
        <f>(V18/U18)-1</f>
        <v>-0.14144091120852009</v>
      </c>
      <c r="X18" s="160">
        <v>209612.147</v>
      </c>
      <c r="Y18" s="160">
        <v>240533.52209789233</v>
      </c>
      <c r="Z18" s="162">
        <f t="shared" si="2"/>
        <v>0.1475170954567453</v>
      </c>
      <c r="AA18" s="160">
        <v>1765866.1009999998</v>
      </c>
      <c r="AB18" s="160">
        <v>1645520.4610000001</v>
      </c>
      <c r="AC18" s="162">
        <f t="shared" si="3"/>
        <v>-6.8151056261767873E-2</v>
      </c>
    </row>
    <row r="19" spans="1:29" ht="13.5" thickBot="1" x14ac:dyDescent="0.25">
      <c r="A19" s="171" t="s">
        <v>124</v>
      </c>
      <c r="B19" s="172" t="s">
        <v>122</v>
      </c>
      <c r="C19" s="173">
        <v>2014</v>
      </c>
      <c r="D19" s="174">
        <v>61380</v>
      </c>
      <c r="E19" s="174">
        <v>71507</v>
      </c>
      <c r="F19" s="174">
        <v>71394</v>
      </c>
      <c r="G19" s="174">
        <v>66503</v>
      </c>
      <c r="H19" s="174">
        <v>70170</v>
      </c>
      <c r="I19" s="174">
        <v>59048</v>
      </c>
      <c r="J19" s="174">
        <v>65724</v>
      </c>
      <c r="K19" s="174">
        <v>71501</v>
      </c>
      <c r="L19" s="174">
        <v>66277</v>
      </c>
      <c r="M19" s="174">
        <v>56601</v>
      </c>
      <c r="N19" s="174">
        <v>64278</v>
      </c>
      <c r="O19" s="175">
        <v>56494</v>
      </c>
      <c r="P19" s="176">
        <f t="shared" si="0"/>
        <v>780877</v>
      </c>
    </row>
    <row r="20" spans="1:29" x14ac:dyDescent="0.2">
      <c r="A20" s="154" t="s">
        <v>114</v>
      </c>
      <c r="B20" s="155" t="s">
        <v>115</v>
      </c>
      <c r="C20" s="156">
        <v>2015</v>
      </c>
      <c r="D20" s="157">
        <v>60882.277999999998</v>
      </c>
      <c r="E20" s="157">
        <v>73326.237999999998</v>
      </c>
      <c r="F20" s="157">
        <v>76825.365999999995</v>
      </c>
      <c r="G20" s="157">
        <v>80323.956000000006</v>
      </c>
      <c r="H20" s="157">
        <v>34982.749000000003</v>
      </c>
      <c r="I20" s="157">
        <v>27340.687000000002</v>
      </c>
      <c r="J20" s="157">
        <v>46278.351999999999</v>
      </c>
      <c r="K20" s="157">
        <v>84542.513000000006</v>
      </c>
      <c r="L20" s="157">
        <v>57960.116000000002</v>
      </c>
      <c r="M20" s="157">
        <v>75466.285000000003</v>
      </c>
      <c r="N20" s="157">
        <v>68348.95</v>
      </c>
      <c r="O20" s="158">
        <v>77646.971000000005</v>
      </c>
      <c r="P20" s="159">
        <f t="shared" si="0"/>
        <v>763924.46100000001</v>
      </c>
    </row>
    <row r="21" spans="1:29" x14ac:dyDescent="0.2">
      <c r="A21" s="154" t="s">
        <v>116</v>
      </c>
      <c r="B21" s="155" t="s">
        <v>115</v>
      </c>
      <c r="C21" s="161">
        <v>2015</v>
      </c>
      <c r="D21" s="157">
        <v>7969.3969999999999</v>
      </c>
      <c r="E21" s="157">
        <v>11299.386</v>
      </c>
      <c r="F21" s="157">
        <v>11460.641</v>
      </c>
      <c r="G21" s="157">
        <v>14572.308999999999</v>
      </c>
      <c r="H21" s="157">
        <v>5870.3890000000001</v>
      </c>
      <c r="I21" s="157">
        <v>5113.17</v>
      </c>
      <c r="J21" s="157">
        <v>5871.5259999999998</v>
      </c>
      <c r="K21" s="157">
        <v>11286.752</v>
      </c>
      <c r="L21" s="157">
        <v>7322.96</v>
      </c>
      <c r="M21" s="157">
        <v>10444.352000000001</v>
      </c>
      <c r="N21" s="157">
        <v>9498.3430000000008</v>
      </c>
      <c r="O21" s="157">
        <v>10817.462</v>
      </c>
      <c r="P21" s="159">
        <f t="shared" si="0"/>
        <v>111526.68700000001</v>
      </c>
    </row>
    <row r="22" spans="1:29" x14ac:dyDescent="0.2">
      <c r="A22" s="154" t="s">
        <v>117</v>
      </c>
      <c r="B22" s="163" t="s">
        <v>115</v>
      </c>
      <c r="C22" s="161">
        <v>2015</v>
      </c>
      <c r="D22" s="164">
        <v>1991134</v>
      </c>
      <c r="E22" s="164">
        <v>2395776</v>
      </c>
      <c r="F22" s="164">
        <v>2483772</v>
      </c>
      <c r="G22" s="164">
        <v>2927163</v>
      </c>
      <c r="H22" s="164">
        <v>1189462</v>
      </c>
      <c r="I22" s="164">
        <v>1687222</v>
      </c>
      <c r="J22" s="164">
        <v>1475176</v>
      </c>
      <c r="K22" s="164">
        <v>2549901</v>
      </c>
      <c r="L22" s="164">
        <v>1448331</v>
      </c>
      <c r="M22" s="164">
        <v>2356697</v>
      </c>
      <c r="N22" s="164">
        <v>2073807</v>
      </c>
      <c r="O22" s="164">
        <v>1967852</v>
      </c>
      <c r="P22" s="165">
        <f t="shared" si="0"/>
        <v>24546293</v>
      </c>
    </row>
    <row r="23" spans="1:29" x14ac:dyDescent="0.2">
      <c r="A23" s="166" t="s">
        <v>118</v>
      </c>
      <c r="B23" s="167" t="s">
        <v>115</v>
      </c>
      <c r="C23" s="161">
        <v>2015</v>
      </c>
      <c r="D23" s="168">
        <v>1773928</v>
      </c>
      <c r="E23" s="168">
        <v>2176887</v>
      </c>
      <c r="F23" s="168">
        <v>2270972</v>
      </c>
      <c r="G23" s="168">
        <v>2679540</v>
      </c>
      <c r="H23" s="168">
        <v>1080537</v>
      </c>
      <c r="I23" s="168">
        <v>1507110</v>
      </c>
      <c r="J23" s="168">
        <v>1342145</v>
      </c>
      <c r="K23" s="168">
        <v>2299034</v>
      </c>
      <c r="L23" s="168">
        <v>1300390</v>
      </c>
      <c r="M23" s="168">
        <v>2111441</v>
      </c>
      <c r="N23" s="168">
        <v>1872471</v>
      </c>
      <c r="O23" s="169">
        <v>1765219</v>
      </c>
      <c r="P23" s="170">
        <f t="shared" si="0"/>
        <v>22179674</v>
      </c>
    </row>
    <row r="24" spans="1:29" ht="13.5" thickBot="1" x14ac:dyDescent="0.25">
      <c r="A24" s="171" t="s">
        <v>119</v>
      </c>
      <c r="B24" s="172" t="s">
        <v>115</v>
      </c>
      <c r="C24" s="173">
        <v>2015</v>
      </c>
      <c r="D24" s="174">
        <v>217206</v>
      </c>
      <c r="E24" s="174">
        <v>218889</v>
      </c>
      <c r="F24" s="174">
        <v>212800</v>
      </c>
      <c r="G24" s="174">
        <v>247623</v>
      </c>
      <c r="H24" s="174">
        <v>108925</v>
      </c>
      <c r="I24" s="174">
        <v>180112</v>
      </c>
      <c r="J24" s="174">
        <v>133031</v>
      </c>
      <c r="K24" s="174">
        <v>250867</v>
      </c>
      <c r="L24" s="174">
        <v>147941</v>
      </c>
      <c r="M24" s="174">
        <v>245256</v>
      </c>
      <c r="N24" s="174">
        <v>201336</v>
      </c>
      <c r="O24" s="175">
        <v>202633</v>
      </c>
      <c r="P24" s="176">
        <f t="shared" si="0"/>
        <v>2366619</v>
      </c>
    </row>
    <row r="25" spans="1:29" x14ac:dyDescent="0.2">
      <c r="A25" s="154" t="s">
        <v>114</v>
      </c>
      <c r="B25" s="68" t="s">
        <v>120</v>
      </c>
      <c r="C25" s="156">
        <v>2015</v>
      </c>
      <c r="D25" s="157">
        <v>46789</v>
      </c>
      <c r="E25" s="157">
        <v>41685</v>
      </c>
      <c r="F25" s="157">
        <v>47975</v>
      </c>
      <c r="G25" s="157">
        <v>10964</v>
      </c>
      <c r="H25" s="157">
        <v>25473</v>
      </c>
      <c r="I25" s="157">
        <v>47992</v>
      </c>
      <c r="J25" s="157">
        <v>19701</v>
      </c>
      <c r="K25" s="157">
        <v>41669</v>
      </c>
      <c r="L25" s="157">
        <v>42853</v>
      </c>
      <c r="M25" s="157">
        <v>46376</v>
      </c>
      <c r="N25" s="157">
        <v>47020</v>
      </c>
      <c r="O25" s="158">
        <v>40837</v>
      </c>
      <c r="P25" s="159">
        <f t="shared" si="0"/>
        <v>459334</v>
      </c>
    </row>
    <row r="26" spans="1:29" x14ac:dyDescent="0.2">
      <c r="A26" s="154" t="s">
        <v>116</v>
      </c>
      <c r="B26" s="177" t="s">
        <v>120</v>
      </c>
      <c r="C26" s="161">
        <v>2015</v>
      </c>
      <c r="D26" s="157">
        <v>6983.4180000000015</v>
      </c>
      <c r="E26" s="157">
        <v>6485.7080000000005</v>
      </c>
      <c r="F26" s="157">
        <v>7792.3880978923044</v>
      </c>
      <c r="G26" s="157">
        <v>2621.4140000000007</v>
      </c>
      <c r="H26" s="157">
        <v>3800.0920000000001</v>
      </c>
      <c r="I26" s="157">
        <v>6485.8939999999993</v>
      </c>
      <c r="J26" s="157">
        <v>2954.6600000000003</v>
      </c>
      <c r="K26" s="157">
        <v>6440.8959999999997</v>
      </c>
      <c r="L26" s="157">
        <v>6753.0619999999999</v>
      </c>
      <c r="M26" s="157">
        <v>6911.9550000000008</v>
      </c>
      <c r="N26" s="157">
        <v>7006.5470000000005</v>
      </c>
      <c r="O26" s="157">
        <v>6622.87</v>
      </c>
      <c r="P26" s="159">
        <f t="shared" si="0"/>
        <v>70858.904097892315</v>
      </c>
    </row>
    <row r="27" spans="1:29" x14ac:dyDescent="0.2">
      <c r="A27" s="154" t="s">
        <v>117</v>
      </c>
      <c r="B27" s="177" t="s">
        <v>120</v>
      </c>
      <c r="C27" s="161">
        <v>2015</v>
      </c>
      <c r="D27" s="164">
        <f t="shared" ref="D27:O27" si="5">D28+D29</f>
        <v>2038296</v>
      </c>
      <c r="E27" s="164">
        <f t="shared" si="5"/>
        <v>2252681</v>
      </c>
      <c r="F27" s="164">
        <f t="shared" si="5"/>
        <v>2547354</v>
      </c>
      <c r="G27" s="164">
        <f t="shared" si="5"/>
        <v>644154</v>
      </c>
      <c r="H27" s="164">
        <f t="shared" si="5"/>
        <v>718641</v>
      </c>
      <c r="I27" s="164">
        <f t="shared" si="5"/>
        <v>2810862</v>
      </c>
      <c r="J27" s="164">
        <f t="shared" si="5"/>
        <v>860333</v>
      </c>
      <c r="K27" s="164">
        <f t="shared" si="5"/>
        <v>2207841</v>
      </c>
      <c r="L27" s="164">
        <f t="shared" si="5"/>
        <v>2659332</v>
      </c>
      <c r="M27" s="164">
        <f t="shared" si="5"/>
        <v>1932032</v>
      </c>
      <c r="N27" s="164">
        <f t="shared" si="5"/>
        <v>2655262</v>
      </c>
      <c r="O27" s="164">
        <f t="shared" si="5"/>
        <v>2516896</v>
      </c>
      <c r="P27" s="165">
        <f t="shared" si="0"/>
        <v>23843684</v>
      </c>
    </row>
    <row r="28" spans="1:29" x14ac:dyDescent="0.2">
      <c r="A28" s="177" t="s">
        <v>121</v>
      </c>
      <c r="B28" s="177" t="s">
        <v>120</v>
      </c>
      <c r="C28" s="161">
        <v>2015</v>
      </c>
      <c r="D28" s="168">
        <v>1863987</v>
      </c>
      <c r="E28" s="168">
        <v>2047449</v>
      </c>
      <c r="F28" s="168">
        <v>2304684</v>
      </c>
      <c r="G28" s="168">
        <v>585884</v>
      </c>
      <c r="H28" s="168">
        <v>627014</v>
      </c>
      <c r="I28" s="168">
        <v>2574294</v>
      </c>
      <c r="J28" s="168">
        <v>775387</v>
      </c>
      <c r="K28" s="168">
        <v>2019420</v>
      </c>
      <c r="L28" s="168">
        <v>2412703</v>
      </c>
      <c r="M28" s="168">
        <v>1737987</v>
      </c>
      <c r="N28" s="168">
        <v>2427130</v>
      </c>
      <c r="O28" s="169">
        <v>2313671</v>
      </c>
      <c r="P28" s="170">
        <f t="shared" si="0"/>
        <v>21689610</v>
      </c>
    </row>
    <row r="29" spans="1:29" ht="13.5" thickBot="1" x14ac:dyDescent="0.25">
      <c r="A29" s="178" t="s">
        <v>119</v>
      </c>
      <c r="B29" s="178" t="s">
        <v>120</v>
      </c>
      <c r="C29" s="173">
        <v>2015</v>
      </c>
      <c r="D29" s="174">
        <v>174309</v>
      </c>
      <c r="E29" s="174">
        <v>205232</v>
      </c>
      <c r="F29" s="174">
        <v>242670</v>
      </c>
      <c r="G29" s="174">
        <v>58270</v>
      </c>
      <c r="H29" s="174">
        <v>91627</v>
      </c>
      <c r="I29" s="174">
        <v>236568</v>
      </c>
      <c r="J29" s="174">
        <v>84946</v>
      </c>
      <c r="K29" s="174">
        <v>188421</v>
      </c>
      <c r="L29" s="174">
        <v>246629</v>
      </c>
      <c r="M29" s="174">
        <v>194045</v>
      </c>
      <c r="N29" s="174">
        <v>228132</v>
      </c>
      <c r="O29" s="175">
        <v>203225</v>
      </c>
      <c r="P29" s="176">
        <f t="shared" si="0"/>
        <v>2154074</v>
      </c>
    </row>
    <row r="30" spans="1:29" x14ac:dyDescent="0.2">
      <c r="A30" s="154" t="s">
        <v>114</v>
      </c>
      <c r="B30" s="179" t="s">
        <v>122</v>
      </c>
      <c r="C30" s="156">
        <v>2015</v>
      </c>
      <c r="D30" s="157">
        <v>30770</v>
      </c>
      <c r="E30" s="157">
        <v>40630</v>
      </c>
      <c r="F30" s="157">
        <v>38055</v>
      </c>
      <c r="G30" s="157">
        <v>36410</v>
      </c>
      <c r="H30" s="157">
        <v>36935</v>
      </c>
      <c r="I30" s="157">
        <v>33401</v>
      </c>
      <c r="J30" s="157">
        <v>30427</v>
      </c>
      <c r="K30" s="157">
        <v>31510</v>
      </c>
      <c r="L30" s="157">
        <v>33983</v>
      </c>
      <c r="M30" s="157">
        <v>38105</v>
      </c>
      <c r="N30" s="157">
        <v>35035</v>
      </c>
      <c r="O30" s="158">
        <v>37001</v>
      </c>
      <c r="P30" s="159">
        <f t="shared" si="0"/>
        <v>422262</v>
      </c>
    </row>
    <row r="31" spans="1:29" x14ac:dyDescent="0.2">
      <c r="A31" s="154" t="s">
        <v>116</v>
      </c>
      <c r="B31" s="180" t="s">
        <v>122</v>
      </c>
      <c r="C31" s="161">
        <v>2015</v>
      </c>
      <c r="D31" s="157">
        <v>3521.88</v>
      </c>
      <c r="E31" s="157">
        <v>4608.2039999999997</v>
      </c>
      <c r="F31" s="157">
        <v>4557.241</v>
      </c>
      <c r="G31" s="157">
        <v>5014.7640000000001</v>
      </c>
      <c r="H31" s="157">
        <v>5260.8860000000004</v>
      </c>
      <c r="I31" s="157">
        <v>4807.8789999999999</v>
      </c>
      <c r="J31" s="157">
        <v>4379.9570000000003</v>
      </c>
      <c r="K31" s="157">
        <v>4738.9970000000003</v>
      </c>
      <c r="L31" s="157">
        <v>5482.2879999999996</v>
      </c>
      <c r="M31" s="157">
        <v>5516.2079999999996</v>
      </c>
      <c r="N31" s="157">
        <v>4792.6779999999999</v>
      </c>
      <c r="O31" s="157">
        <v>5466.9489999999996</v>
      </c>
      <c r="P31" s="159">
        <f>SUM(D31:O31)</f>
        <v>58147.931000000004</v>
      </c>
      <c r="Q31" s="181"/>
    </row>
    <row r="32" spans="1:29" x14ac:dyDescent="0.2">
      <c r="A32" s="154" t="s">
        <v>117</v>
      </c>
      <c r="B32" s="182" t="s">
        <v>122</v>
      </c>
      <c r="C32" s="161">
        <v>2015</v>
      </c>
      <c r="D32" s="164">
        <v>499524</v>
      </c>
      <c r="E32" s="164">
        <v>668350</v>
      </c>
      <c r="F32" s="164">
        <v>566037</v>
      </c>
      <c r="G32" s="164">
        <v>506161</v>
      </c>
      <c r="H32" s="164">
        <v>487700</v>
      </c>
      <c r="I32" s="164">
        <v>548521</v>
      </c>
      <c r="J32" s="164">
        <v>517903</v>
      </c>
      <c r="K32" s="164">
        <v>609499</v>
      </c>
      <c r="L32" s="164">
        <v>673642</v>
      </c>
      <c r="M32" s="164">
        <v>695481</v>
      </c>
      <c r="N32" s="164">
        <v>574754</v>
      </c>
      <c r="O32" s="164">
        <v>687613</v>
      </c>
      <c r="P32" s="159">
        <f t="shared" si="0"/>
        <v>7035185</v>
      </c>
    </row>
    <row r="33" spans="1:16" x14ac:dyDescent="0.2">
      <c r="A33" s="183" t="s">
        <v>123</v>
      </c>
      <c r="B33" s="184" t="s">
        <v>122</v>
      </c>
      <c r="C33" s="161">
        <v>2015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9"/>
      <c r="P33" s="170"/>
    </row>
    <row r="34" spans="1:16" ht="13.5" thickBot="1" x14ac:dyDescent="0.25">
      <c r="A34" s="185" t="s">
        <v>124</v>
      </c>
      <c r="B34" s="186" t="s">
        <v>122</v>
      </c>
      <c r="C34" s="173">
        <v>2015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5"/>
      <c r="P34" s="176"/>
    </row>
    <row r="38" spans="1:16" x14ac:dyDescent="0.2">
      <c r="D38" s="187" t="s">
        <v>77</v>
      </c>
      <c r="E38" t="s">
        <v>78</v>
      </c>
      <c r="F38" t="s">
        <v>79</v>
      </c>
      <c r="G38" t="s">
        <v>80</v>
      </c>
      <c r="H38" t="s">
        <v>81</v>
      </c>
      <c r="I38" t="s">
        <v>82</v>
      </c>
      <c r="J38" s="187" t="s">
        <v>83</v>
      </c>
      <c r="K38" t="s">
        <v>84</v>
      </c>
      <c r="L38" s="187" t="s">
        <v>113</v>
      </c>
      <c r="M38" s="187" t="s">
        <v>86</v>
      </c>
      <c r="N38" t="s">
        <v>87</v>
      </c>
      <c r="O38" s="187" t="s">
        <v>88</v>
      </c>
    </row>
    <row r="39" spans="1:16" x14ac:dyDescent="0.2">
      <c r="C39">
        <v>2014</v>
      </c>
      <c r="D39" s="181">
        <f>+D5+D10+D15</f>
        <v>135650.459</v>
      </c>
      <c r="E39" s="181">
        <f t="shared" ref="E39:P39" si="6">+E5+E10+E15</f>
        <v>149915.91499999998</v>
      </c>
      <c r="F39" s="181">
        <f t="shared" si="6"/>
        <v>158491.261</v>
      </c>
      <c r="G39" s="181">
        <f t="shared" si="6"/>
        <v>161336.54800000001</v>
      </c>
      <c r="H39" s="181">
        <f t="shared" si="6"/>
        <v>139782.603</v>
      </c>
      <c r="I39" s="181">
        <f t="shared" si="6"/>
        <v>96168.063999999998</v>
      </c>
      <c r="J39" s="181">
        <f t="shared" si="6"/>
        <v>87055.758000000002</v>
      </c>
      <c r="K39" s="181">
        <f t="shared" si="6"/>
        <v>173354.152</v>
      </c>
      <c r="L39" s="181">
        <f t="shared" si="6"/>
        <v>168183.71900000001</v>
      </c>
      <c r="M39" s="181">
        <f t="shared" si="6"/>
        <v>169245.829</v>
      </c>
      <c r="N39" s="181">
        <f t="shared" si="6"/>
        <v>164638.035</v>
      </c>
      <c r="O39" s="181">
        <f t="shared" si="6"/>
        <v>162043.758</v>
      </c>
      <c r="P39" s="181">
        <f t="shared" si="6"/>
        <v>1765866.1009999998</v>
      </c>
    </row>
    <row r="40" spans="1:16" x14ac:dyDescent="0.2">
      <c r="C40">
        <v>2015</v>
      </c>
      <c r="D40" s="181">
        <f>+D20+D25+D30</f>
        <v>138441.27799999999</v>
      </c>
      <c r="E40" s="181">
        <f t="shared" ref="E40:P40" si="7">+E20+E25+E30</f>
        <v>155641.23800000001</v>
      </c>
      <c r="F40" s="181">
        <f t="shared" si="7"/>
        <v>162855.36599999998</v>
      </c>
      <c r="G40" s="181">
        <f t="shared" si="7"/>
        <v>127697.95600000001</v>
      </c>
      <c r="H40" s="181">
        <f t="shared" si="7"/>
        <v>97390.749000000011</v>
      </c>
      <c r="I40" s="181">
        <f t="shared" si="7"/>
        <v>108733.68700000001</v>
      </c>
      <c r="J40" s="181">
        <f t="shared" si="7"/>
        <v>96406.351999999999</v>
      </c>
      <c r="K40" s="181">
        <f t="shared" si="7"/>
        <v>157721.51300000001</v>
      </c>
      <c r="L40" s="181">
        <f t="shared" si="7"/>
        <v>134796.11600000001</v>
      </c>
      <c r="M40" s="181">
        <f t="shared" si="7"/>
        <v>159947.285</v>
      </c>
      <c r="N40" s="181">
        <f t="shared" si="7"/>
        <v>150403.95000000001</v>
      </c>
      <c r="O40" s="181">
        <f t="shared" si="7"/>
        <v>155484.97100000002</v>
      </c>
      <c r="P40" s="181">
        <f t="shared" si="7"/>
        <v>1645520.4610000001</v>
      </c>
    </row>
    <row r="69" spans="3:17" x14ac:dyDescent="0.2">
      <c r="D69" s="187" t="s">
        <v>77</v>
      </c>
      <c r="E69" t="s">
        <v>78</v>
      </c>
      <c r="F69" t="s">
        <v>79</v>
      </c>
      <c r="G69" t="s">
        <v>80</v>
      </c>
      <c r="H69" t="s">
        <v>81</v>
      </c>
      <c r="I69" t="s">
        <v>82</v>
      </c>
      <c r="J69" s="187" t="s">
        <v>83</v>
      </c>
      <c r="K69" t="s">
        <v>84</v>
      </c>
      <c r="L69" s="187" t="s">
        <v>113</v>
      </c>
      <c r="M69" s="187" t="s">
        <v>86</v>
      </c>
      <c r="N69" t="s">
        <v>87</v>
      </c>
      <c r="O69" s="187" t="s">
        <v>88</v>
      </c>
    </row>
    <row r="70" spans="3:17" x14ac:dyDescent="0.2">
      <c r="C70">
        <v>2014</v>
      </c>
      <c r="D70" s="181">
        <f>+D7+D12+D17</f>
        <v>4824314</v>
      </c>
      <c r="E70" s="181">
        <f t="shared" ref="E70:N70" si="8">+E7+E12+E17</f>
        <v>5404903</v>
      </c>
      <c r="F70" s="181">
        <f t="shared" si="8"/>
        <v>6858208</v>
      </c>
      <c r="G70" s="181">
        <f t="shared" si="8"/>
        <v>5399690</v>
      </c>
      <c r="H70" s="181">
        <f t="shared" si="8"/>
        <v>5597692</v>
      </c>
      <c r="I70" s="181">
        <f t="shared" si="8"/>
        <v>2581154</v>
      </c>
      <c r="J70" s="181">
        <f t="shared" si="8"/>
        <v>3616170</v>
      </c>
      <c r="K70" s="181">
        <f t="shared" si="8"/>
        <v>5797763</v>
      </c>
      <c r="L70" s="181">
        <f t="shared" si="8"/>
        <v>5508731</v>
      </c>
      <c r="M70" s="181">
        <f t="shared" si="8"/>
        <v>6989811</v>
      </c>
      <c r="N70" s="181">
        <f t="shared" si="8"/>
        <v>5917119</v>
      </c>
      <c r="O70" s="181">
        <f>+O7+O12+O17</f>
        <v>6060470</v>
      </c>
      <c r="P70" s="181">
        <f>+P7+P12+P17</f>
        <v>64556025</v>
      </c>
      <c r="Q70" s="181">
        <f>SUBTOTAL(9,D70:O70)</f>
        <v>64556025</v>
      </c>
    </row>
    <row r="71" spans="3:17" x14ac:dyDescent="0.2">
      <c r="C71">
        <v>2015</v>
      </c>
      <c r="D71" s="181">
        <f>+D22+D27+D32</f>
        <v>4528954</v>
      </c>
      <c r="E71" s="181">
        <f t="shared" ref="E71:N71" si="9">+E22+E27+E32</f>
        <v>5316807</v>
      </c>
      <c r="F71" s="181">
        <f t="shared" si="9"/>
        <v>5597163</v>
      </c>
      <c r="G71" s="181">
        <f t="shared" si="9"/>
        <v>4077478</v>
      </c>
      <c r="H71" s="181">
        <f t="shared" si="9"/>
        <v>2395803</v>
      </c>
      <c r="I71" s="181">
        <f t="shared" si="9"/>
        <v>5046605</v>
      </c>
      <c r="J71" s="181">
        <f t="shared" si="9"/>
        <v>2853412</v>
      </c>
      <c r="K71" s="181">
        <f t="shared" si="9"/>
        <v>5367241</v>
      </c>
      <c r="L71" s="181">
        <f t="shared" si="9"/>
        <v>4781305</v>
      </c>
      <c r="M71" s="181">
        <f t="shared" si="9"/>
        <v>4984210</v>
      </c>
      <c r="N71" s="181">
        <f t="shared" si="9"/>
        <v>5303823</v>
      </c>
      <c r="O71" s="181">
        <f>+O22+O27+O32</f>
        <v>5172361</v>
      </c>
      <c r="P71" s="181">
        <f>+P22+P27+P32</f>
        <v>55425162</v>
      </c>
      <c r="Q71" s="181">
        <f>SUBTOTAL(9,D71:O71)</f>
        <v>55425162</v>
      </c>
    </row>
    <row r="99" spans="3:17" x14ac:dyDescent="0.2">
      <c r="D99" t="s">
        <v>77</v>
      </c>
      <c r="E99" t="s">
        <v>78</v>
      </c>
      <c r="F99" t="s">
        <v>79</v>
      </c>
      <c r="G99" t="s">
        <v>80</v>
      </c>
      <c r="H99" t="s">
        <v>81</v>
      </c>
      <c r="I99" t="s">
        <v>82</v>
      </c>
      <c r="J99" t="s">
        <v>83</v>
      </c>
      <c r="K99" t="s">
        <v>84</v>
      </c>
      <c r="L99" t="s">
        <v>113</v>
      </c>
      <c r="M99" t="s">
        <v>86</v>
      </c>
      <c r="N99" t="s">
        <v>87</v>
      </c>
      <c r="O99" t="s">
        <v>88</v>
      </c>
    </row>
    <row r="100" spans="3:17" x14ac:dyDescent="0.2">
      <c r="C100">
        <v>2014</v>
      </c>
      <c r="D100" s="181">
        <f>+D6+D11+D16</f>
        <v>12278.989</v>
      </c>
      <c r="E100" s="181">
        <f t="shared" ref="E100:P100" si="10">+E6+E11+E16</f>
        <v>14743.229000000001</v>
      </c>
      <c r="F100" s="181">
        <f t="shared" si="10"/>
        <v>15977.574000000001</v>
      </c>
      <c r="G100" s="181">
        <f t="shared" si="10"/>
        <v>16248.327000000001</v>
      </c>
      <c r="H100" s="181">
        <f t="shared" si="10"/>
        <v>17218.800999999999</v>
      </c>
      <c r="I100" s="181">
        <f t="shared" si="10"/>
        <v>12507.268</v>
      </c>
      <c r="J100" s="181">
        <f t="shared" si="10"/>
        <v>11881.628999999999</v>
      </c>
      <c r="K100" s="181">
        <f t="shared" si="10"/>
        <v>21232.13</v>
      </c>
      <c r="L100" s="181">
        <f t="shared" si="10"/>
        <v>20776.781000000003</v>
      </c>
      <c r="M100" s="181">
        <f t="shared" si="10"/>
        <v>21845.203000000001</v>
      </c>
      <c r="N100" s="181">
        <f t="shared" si="10"/>
        <v>22144.826999999997</v>
      </c>
      <c r="O100" s="181">
        <f t="shared" si="10"/>
        <v>22757.388999999999</v>
      </c>
      <c r="P100" s="181">
        <f t="shared" si="10"/>
        <v>209612.147</v>
      </c>
      <c r="Q100" s="181">
        <f>SUBTOTAL(9,D100:O100)</f>
        <v>209612.147</v>
      </c>
    </row>
    <row r="101" spans="3:17" x14ac:dyDescent="0.2">
      <c r="C101">
        <v>2015</v>
      </c>
      <c r="D101" s="181">
        <f>+D21+D26+D31</f>
        <v>18474.695000000003</v>
      </c>
      <c r="E101" s="181">
        <f t="shared" ref="E101:P101" si="11">+E21+E26+E31</f>
        <v>22393.298000000003</v>
      </c>
      <c r="F101" s="181">
        <f t="shared" si="11"/>
        <v>23810.270097892302</v>
      </c>
      <c r="G101" s="181">
        <f t="shared" si="11"/>
        <v>22208.486999999997</v>
      </c>
      <c r="H101" s="181">
        <f t="shared" si="11"/>
        <v>14931.367</v>
      </c>
      <c r="I101" s="181">
        <f t="shared" si="11"/>
        <v>16406.942999999999</v>
      </c>
      <c r="J101" s="181">
        <f t="shared" si="11"/>
        <v>13206.143</v>
      </c>
      <c r="K101" s="181">
        <f t="shared" si="11"/>
        <v>22466.645</v>
      </c>
      <c r="L101" s="181">
        <f t="shared" si="11"/>
        <v>19558.310000000001</v>
      </c>
      <c r="M101" s="181">
        <f t="shared" si="11"/>
        <v>22872.514999999999</v>
      </c>
      <c r="N101" s="181">
        <f t="shared" si="11"/>
        <v>21297.567999999999</v>
      </c>
      <c r="O101" s="181">
        <f t="shared" si="11"/>
        <v>22907.280999999999</v>
      </c>
      <c r="P101" s="181">
        <f t="shared" si="11"/>
        <v>240533.52209789233</v>
      </c>
      <c r="Q101" s="181">
        <f>SUBTOTAL(9,D101:O101)</f>
        <v>240533.5220978923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5"/>
  <sheetViews>
    <sheetView topLeftCell="A10" workbookViewId="0">
      <selection activeCell="E27" sqref="E27"/>
    </sheetView>
  </sheetViews>
  <sheetFormatPr baseColWidth="10" defaultRowHeight="12.75" x14ac:dyDescent="0.2"/>
  <cols>
    <col min="1" max="1" width="15.140625" customWidth="1"/>
    <col min="3" max="3" width="35.7109375" customWidth="1"/>
    <col min="4" max="4" width="11.42578125" customWidth="1"/>
    <col min="17" max="17" width="15" customWidth="1"/>
  </cols>
  <sheetData>
    <row r="5" spans="1:17" ht="15" x14ac:dyDescent="0.25">
      <c r="E5" t="s">
        <v>77</v>
      </c>
      <c r="F5" t="s">
        <v>78</v>
      </c>
      <c r="G5" t="s">
        <v>79</v>
      </c>
      <c r="H5" t="s">
        <v>80</v>
      </c>
      <c r="I5" t="s">
        <v>81</v>
      </c>
      <c r="J5" t="s">
        <v>82</v>
      </c>
      <c r="K5" t="s">
        <v>83</v>
      </c>
      <c r="L5" t="s">
        <v>84</v>
      </c>
      <c r="M5" t="s">
        <v>85</v>
      </c>
      <c r="N5" t="s">
        <v>86</v>
      </c>
      <c r="O5" t="s">
        <v>87</v>
      </c>
      <c r="P5" t="s">
        <v>88</v>
      </c>
      <c r="Q5" s="130" t="s">
        <v>89</v>
      </c>
    </row>
    <row r="6" spans="1:17" ht="15" x14ac:dyDescent="0.25">
      <c r="A6" s="61" t="s">
        <v>90</v>
      </c>
      <c r="B6" s="136">
        <v>2014</v>
      </c>
      <c r="C6" s="61" t="s">
        <v>91</v>
      </c>
      <c r="D6" s="61" t="s">
        <v>92</v>
      </c>
      <c r="E6" s="61"/>
      <c r="F6" s="61"/>
      <c r="G6" s="61">
        <v>1409970</v>
      </c>
      <c r="H6" s="61"/>
      <c r="I6" s="61"/>
      <c r="J6" s="61"/>
      <c r="K6" s="61"/>
      <c r="L6" s="61"/>
      <c r="M6" s="61"/>
      <c r="N6" s="61"/>
      <c r="O6" s="61"/>
      <c r="P6" s="131"/>
      <c r="Q6" s="130">
        <f t="shared" ref="Q6:Q26" si="0">SUM(E6:P6)</f>
        <v>1409970</v>
      </c>
    </row>
    <row r="7" spans="1:17" ht="15" x14ac:dyDescent="0.25">
      <c r="A7" s="61" t="s">
        <v>90</v>
      </c>
      <c r="B7" s="136">
        <v>2014</v>
      </c>
      <c r="C7" s="61" t="s">
        <v>93</v>
      </c>
      <c r="D7" s="61" t="s">
        <v>92</v>
      </c>
      <c r="E7" s="61"/>
      <c r="F7" s="61"/>
      <c r="G7" s="61">
        <v>161707</v>
      </c>
      <c r="H7" s="61"/>
      <c r="I7" s="61"/>
      <c r="J7" s="61"/>
      <c r="K7" s="61"/>
      <c r="L7" s="61"/>
      <c r="M7" s="61"/>
      <c r="N7" s="61"/>
      <c r="O7" s="61"/>
      <c r="P7" s="131"/>
      <c r="Q7" s="130">
        <f t="shared" si="0"/>
        <v>161707</v>
      </c>
    </row>
    <row r="8" spans="1:17" ht="15" x14ac:dyDescent="0.25">
      <c r="A8" s="61" t="s">
        <v>90</v>
      </c>
      <c r="B8" s="136">
        <v>2014</v>
      </c>
      <c r="C8" s="61" t="s">
        <v>94</v>
      </c>
      <c r="D8" s="61" t="s">
        <v>92</v>
      </c>
      <c r="E8" s="61"/>
      <c r="F8" s="61"/>
      <c r="G8" s="61">
        <v>0</v>
      </c>
      <c r="H8" s="61"/>
      <c r="I8" s="61"/>
      <c r="J8" s="61"/>
      <c r="K8" s="61"/>
      <c r="L8" s="61"/>
      <c r="M8" s="61"/>
      <c r="N8" s="61"/>
      <c r="O8" s="61"/>
      <c r="P8" s="131"/>
      <c r="Q8" s="130">
        <f t="shared" si="0"/>
        <v>0</v>
      </c>
    </row>
    <row r="9" spans="1:17" ht="15" x14ac:dyDescent="0.25">
      <c r="A9" s="61" t="s">
        <v>90</v>
      </c>
      <c r="B9" s="136">
        <v>2014</v>
      </c>
      <c r="C9" s="61" t="s">
        <v>95</v>
      </c>
      <c r="D9" s="61" t="s">
        <v>96</v>
      </c>
      <c r="E9" s="61"/>
      <c r="F9" s="61"/>
      <c r="G9" s="61">
        <v>10257.143</v>
      </c>
      <c r="H9" s="61"/>
      <c r="I9" s="61"/>
      <c r="J9" s="61"/>
      <c r="K9" s="61"/>
      <c r="L9" s="61"/>
      <c r="M9" s="61"/>
      <c r="N9" s="61"/>
      <c r="O9" s="61"/>
      <c r="P9" s="131"/>
      <c r="Q9" s="130">
        <f t="shared" si="0"/>
        <v>10257.143</v>
      </c>
    </row>
    <row r="10" spans="1:17" ht="15" x14ac:dyDescent="0.25">
      <c r="A10" s="61" t="s">
        <v>90</v>
      </c>
      <c r="B10" s="136">
        <v>2014</v>
      </c>
      <c r="C10" s="61" t="s">
        <v>97</v>
      </c>
      <c r="D10" s="61" t="s">
        <v>96</v>
      </c>
      <c r="E10" s="61"/>
      <c r="F10" s="61"/>
      <c r="G10" s="61">
        <v>69433.047999999995</v>
      </c>
      <c r="H10" s="61"/>
      <c r="I10" s="61"/>
      <c r="J10" s="61"/>
      <c r="K10" s="61"/>
      <c r="L10" s="61"/>
      <c r="M10" s="61"/>
      <c r="N10" s="61"/>
      <c r="O10" s="61"/>
      <c r="P10" s="131"/>
      <c r="Q10" s="130">
        <f t="shared" si="0"/>
        <v>69433.047999999995</v>
      </c>
    </row>
    <row r="11" spans="1:17" ht="15" x14ac:dyDescent="0.25">
      <c r="A11" s="61" t="s">
        <v>90</v>
      </c>
      <c r="B11" s="135">
        <v>2015</v>
      </c>
      <c r="C11" s="61" t="s">
        <v>91</v>
      </c>
      <c r="D11" s="61" t="s">
        <v>92</v>
      </c>
      <c r="E11" s="61"/>
      <c r="F11" s="61">
        <v>2186820</v>
      </c>
      <c r="G11" s="61">
        <v>2270972</v>
      </c>
      <c r="H11" s="61">
        <v>2683600</v>
      </c>
      <c r="I11" s="61">
        <v>1080537</v>
      </c>
      <c r="J11" s="61">
        <v>1516623</v>
      </c>
      <c r="K11" s="61">
        <v>1362090</v>
      </c>
      <c r="L11" s="61"/>
      <c r="M11" s="61">
        <v>1305633</v>
      </c>
      <c r="N11" s="61">
        <v>1593956</v>
      </c>
      <c r="O11" s="61"/>
      <c r="P11" s="131"/>
      <c r="Q11" s="130">
        <f t="shared" si="0"/>
        <v>14000231</v>
      </c>
    </row>
    <row r="12" spans="1:17" ht="15" x14ac:dyDescent="0.25">
      <c r="A12" s="61" t="s">
        <v>90</v>
      </c>
      <c r="B12" s="135">
        <v>2015</v>
      </c>
      <c r="C12" s="61" t="s">
        <v>93</v>
      </c>
      <c r="D12" s="61" t="s">
        <v>92</v>
      </c>
      <c r="E12" s="61"/>
      <c r="F12" s="61">
        <v>219780</v>
      </c>
      <c r="G12" s="61">
        <v>212800</v>
      </c>
      <c r="H12" s="61">
        <v>247988</v>
      </c>
      <c r="I12" s="61">
        <v>108925</v>
      </c>
      <c r="J12" s="61">
        <v>180967</v>
      </c>
      <c r="K12" s="61">
        <v>134822</v>
      </c>
      <c r="L12" s="61"/>
      <c r="M12" s="61">
        <v>148412</v>
      </c>
      <c r="N12" s="61">
        <v>147448</v>
      </c>
      <c r="O12" s="61"/>
      <c r="P12" s="131"/>
      <c r="Q12" s="130">
        <f t="shared" si="0"/>
        <v>1401142</v>
      </c>
    </row>
    <row r="13" spans="1:17" ht="15" x14ac:dyDescent="0.25">
      <c r="A13" s="61" t="s">
        <v>90</v>
      </c>
      <c r="B13" s="135">
        <v>2015</v>
      </c>
      <c r="C13" s="61" t="s">
        <v>94</v>
      </c>
      <c r="D13" s="61" t="s">
        <v>92</v>
      </c>
      <c r="E13" s="61"/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/>
      <c r="M13" s="61">
        <v>0</v>
      </c>
      <c r="N13" s="61">
        <v>0</v>
      </c>
      <c r="O13" s="61"/>
      <c r="P13" s="131"/>
      <c r="Q13" s="130">
        <f t="shared" si="0"/>
        <v>0</v>
      </c>
    </row>
    <row r="14" spans="1:17" ht="15" x14ac:dyDescent="0.25">
      <c r="A14" s="61" t="s">
        <v>90</v>
      </c>
      <c r="B14" s="135">
        <v>2015</v>
      </c>
      <c r="C14" s="61" t="s">
        <v>95</v>
      </c>
      <c r="D14" s="61" t="s">
        <v>96</v>
      </c>
      <c r="E14" s="61"/>
      <c r="F14" s="61">
        <v>11299.386</v>
      </c>
      <c r="G14" s="61">
        <v>11460.641</v>
      </c>
      <c r="H14" s="61">
        <v>14572.31</v>
      </c>
      <c r="I14" s="61">
        <v>5870.39</v>
      </c>
      <c r="J14" s="61">
        <v>5113.17</v>
      </c>
      <c r="K14" s="61">
        <v>5871.53</v>
      </c>
      <c r="L14" s="61"/>
      <c r="M14" s="61">
        <v>7322.96</v>
      </c>
      <c r="N14" s="61">
        <v>6849.33</v>
      </c>
      <c r="O14" s="61"/>
      <c r="P14" s="131"/>
      <c r="Q14" s="130">
        <f t="shared" si="0"/>
        <v>68359.71699999999</v>
      </c>
    </row>
    <row r="15" spans="1:17" ht="15" x14ac:dyDescent="0.25">
      <c r="A15" s="61" t="s">
        <v>90</v>
      </c>
      <c r="B15" s="135">
        <v>2015</v>
      </c>
      <c r="C15" s="61" t="s">
        <v>97</v>
      </c>
      <c r="D15" s="61" t="s">
        <v>96</v>
      </c>
      <c r="E15" s="61"/>
      <c r="F15" s="61">
        <v>73326.237999999998</v>
      </c>
      <c r="G15" s="61">
        <v>76825.365999999995</v>
      </c>
      <c r="H15" s="61">
        <v>80323.960000000006</v>
      </c>
      <c r="I15" s="61">
        <v>34982.75</v>
      </c>
      <c r="J15" s="61">
        <v>27340.69</v>
      </c>
      <c r="K15" s="61">
        <v>46278.35</v>
      </c>
      <c r="L15" s="61"/>
      <c r="M15" s="61">
        <v>57960.12</v>
      </c>
      <c r="N15" s="61">
        <v>15094.93</v>
      </c>
      <c r="O15" s="61"/>
      <c r="P15" s="131"/>
      <c r="Q15" s="130">
        <f t="shared" si="0"/>
        <v>412132.40399999998</v>
      </c>
    </row>
    <row r="16" spans="1:17" ht="15" x14ac:dyDescent="0.25">
      <c r="A16" s="61" t="s">
        <v>98</v>
      </c>
      <c r="B16" s="136">
        <v>2014</v>
      </c>
      <c r="C16" s="61" t="s">
        <v>99</v>
      </c>
      <c r="D16" s="61" t="s">
        <v>92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31"/>
      <c r="Q16" s="130">
        <f t="shared" si="0"/>
        <v>0</v>
      </c>
    </row>
    <row r="17" spans="1:17" ht="15" x14ac:dyDescent="0.25">
      <c r="A17" s="61" t="s">
        <v>98</v>
      </c>
      <c r="B17" s="136">
        <v>2014</v>
      </c>
      <c r="C17" s="61" t="s">
        <v>95</v>
      </c>
      <c r="D17" s="61" t="s">
        <v>96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31"/>
      <c r="Q17" s="130">
        <f t="shared" si="0"/>
        <v>0</v>
      </c>
    </row>
    <row r="18" spans="1:17" ht="15" x14ac:dyDescent="0.25">
      <c r="A18" s="61" t="s">
        <v>98</v>
      </c>
      <c r="B18" s="136">
        <v>2014</v>
      </c>
      <c r="C18" s="61" t="s">
        <v>97</v>
      </c>
      <c r="D18" s="61" t="s">
        <v>96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31"/>
      <c r="Q18" s="130">
        <f t="shared" si="0"/>
        <v>0</v>
      </c>
    </row>
    <row r="19" spans="1:17" ht="15" x14ac:dyDescent="0.25">
      <c r="A19" s="61" t="s">
        <v>98</v>
      </c>
      <c r="B19" s="135">
        <v>2015</v>
      </c>
      <c r="C19" s="61" t="s">
        <v>99</v>
      </c>
      <c r="D19" s="61" t="s">
        <v>92</v>
      </c>
      <c r="E19" s="61"/>
      <c r="F19" s="61">
        <v>668350</v>
      </c>
      <c r="G19" s="61">
        <v>566037</v>
      </c>
      <c r="H19" s="61">
        <v>506161</v>
      </c>
      <c r="I19" s="61">
        <v>487700</v>
      </c>
      <c r="J19" s="61"/>
      <c r="K19" s="61"/>
      <c r="L19" s="61"/>
      <c r="M19" s="61"/>
      <c r="N19" s="61"/>
      <c r="O19" s="61"/>
      <c r="P19" s="131"/>
      <c r="Q19" s="130">
        <f t="shared" si="0"/>
        <v>2228248</v>
      </c>
    </row>
    <row r="20" spans="1:17" ht="15" x14ac:dyDescent="0.25">
      <c r="A20" s="61" t="s">
        <v>98</v>
      </c>
      <c r="B20" s="135">
        <v>2015</v>
      </c>
      <c r="C20" s="61" t="s">
        <v>95</v>
      </c>
      <c r="D20" s="61" t="s">
        <v>96</v>
      </c>
      <c r="E20" s="61"/>
      <c r="F20" s="61">
        <v>5303.9830000000002</v>
      </c>
      <c r="G20" s="61">
        <v>5072.74</v>
      </c>
      <c r="H20" s="61">
        <v>5014.76</v>
      </c>
      <c r="I20" s="61">
        <v>5260.87</v>
      </c>
      <c r="J20" s="61"/>
      <c r="K20" s="61"/>
      <c r="L20" s="61"/>
      <c r="M20" s="61"/>
      <c r="N20" s="61"/>
      <c r="O20" s="61"/>
      <c r="P20" s="131"/>
      <c r="Q20" s="130">
        <f t="shared" si="0"/>
        <v>20652.352999999999</v>
      </c>
    </row>
    <row r="21" spans="1:17" ht="15" x14ac:dyDescent="0.25">
      <c r="A21" s="61" t="s">
        <v>98</v>
      </c>
      <c r="B21" s="135">
        <v>2015</v>
      </c>
      <c r="C21" s="61" t="s">
        <v>97</v>
      </c>
      <c r="D21" s="61" t="s">
        <v>96</v>
      </c>
      <c r="E21" s="61"/>
      <c r="F21" s="61">
        <v>41079.5</v>
      </c>
      <c r="G21" s="61">
        <v>37149.788999999997</v>
      </c>
      <c r="H21" s="61">
        <v>36375.379999999997</v>
      </c>
      <c r="I21" s="61">
        <v>37164.61</v>
      </c>
      <c r="J21" s="61"/>
      <c r="K21" s="61"/>
      <c r="L21" s="61"/>
      <c r="M21" s="61"/>
      <c r="N21" s="61"/>
      <c r="O21" s="61"/>
      <c r="P21" s="131"/>
      <c r="Q21" s="130">
        <f t="shared" si="0"/>
        <v>151769.27899999998</v>
      </c>
    </row>
    <row r="22" spans="1:17" ht="15" x14ac:dyDescent="0.25">
      <c r="A22" s="61" t="s">
        <v>100</v>
      </c>
      <c r="B22" s="136">
        <v>2014</v>
      </c>
      <c r="C22" s="61" t="s">
        <v>101</v>
      </c>
      <c r="D22" s="61" t="s">
        <v>102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>
        <v>1357343</v>
      </c>
      <c r="P22" s="131">
        <v>1365827</v>
      </c>
      <c r="Q22" s="130">
        <f t="shared" si="0"/>
        <v>2723170</v>
      </c>
    </row>
    <row r="23" spans="1:17" ht="15" x14ac:dyDescent="0.25">
      <c r="A23" s="61" t="s">
        <v>100</v>
      </c>
      <c r="B23" s="136">
        <v>2014</v>
      </c>
      <c r="C23" s="61" t="s">
        <v>103</v>
      </c>
      <c r="D23" s="61" t="s">
        <v>102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>
        <v>124537</v>
      </c>
      <c r="P23" s="131">
        <v>121168</v>
      </c>
      <c r="Q23" s="130">
        <f t="shared" si="0"/>
        <v>245705</v>
      </c>
    </row>
    <row r="24" spans="1:17" ht="15" x14ac:dyDescent="0.25">
      <c r="A24" s="61" t="s">
        <v>100</v>
      </c>
      <c r="B24" s="136">
        <v>2014</v>
      </c>
      <c r="C24" s="61" t="s">
        <v>97</v>
      </c>
      <c r="D24" s="61" t="s">
        <v>104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>
        <v>0</v>
      </c>
      <c r="P24" s="131">
        <v>0</v>
      </c>
      <c r="Q24" s="130">
        <f t="shared" si="0"/>
        <v>0</v>
      </c>
    </row>
    <row r="25" spans="1:17" ht="15" x14ac:dyDescent="0.25">
      <c r="A25" s="61" t="s">
        <v>100</v>
      </c>
      <c r="B25" s="136">
        <v>2014</v>
      </c>
      <c r="C25" s="61" t="s">
        <v>95</v>
      </c>
      <c r="D25" s="61" t="s">
        <v>104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>
        <v>0</v>
      </c>
      <c r="P25" s="131">
        <v>0</v>
      </c>
      <c r="Q25" s="130">
        <f t="shared" si="0"/>
        <v>0</v>
      </c>
    </row>
    <row r="26" spans="1:17" ht="15" x14ac:dyDescent="0.25">
      <c r="A26" s="61" t="s">
        <v>100</v>
      </c>
      <c r="B26" s="136">
        <v>2014</v>
      </c>
      <c r="C26" s="61" t="s">
        <v>105</v>
      </c>
      <c r="D26" s="61" t="s">
        <v>104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>
        <v>6500</v>
      </c>
      <c r="P26" s="131">
        <v>0</v>
      </c>
      <c r="Q26" s="130">
        <f t="shared" si="0"/>
        <v>6500</v>
      </c>
    </row>
    <row r="27" spans="1:17" ht="15" x14ac:dyDescent="0.25">
      <c r="A27" s="61" t="s">
        <v>100</v>
      </c>
      <c r="B27" s="135">
        <v>2015</v>
      </c>
      <c r="C27" s="61" t="s">
        <v>101</v>
      </c>
      <c r="D27" s="61" t="s">
        <v>102</v>
      </c>
      <c r="E27" s="61">
        <v>1056660</v>
      </c>
      <c r="F27" s="61">
        <v>2083989</v>
      </c>
      <c r="G27" s="61">
        <v>2308677</v>
      </c>
      <c r="H27" s="61">
        <v>585884</v>
      </c>
      <c r="I27" s="61">
        <v>627014</v>
      </c>
      <c r="J27" s="61"/>
      <c r="K27" s="61">
        <v>775387</v>
      </c>
      <c r="L27" s="61">
        <v>2019420</v>
      </c>
      <c r="M27" s="61">
        <v>2412703</v>
      </c>
      <c r="N27" s="61">
        <v>1737987</v>
      </c>
      <c r="O27" s="61"/>
      <c r="P27" s="131"/>
      <c r="Q27" s="130">
        <f>SUM(E27:P27)</f>
        <v>13607721</v>
      </c>
    </row>
    <row r="28" spans="1:17" ht="15" x14ac:dyDescent="0.25">
      <c r="A28" s="61" t="s">
        <v>100</v>
      </c>
      <c r="B28" s="135">
        <v>2015</v>
      </c>
      <c r="C28" s="61" t="s">
        <v>103</v>
      </c>
      <c r="D28" s="61" t="s">
        <v>102</v>
      </c>
      <c r="E28" s="61">
        <v>99580</v>
      </c>
      <c r="F28" s="61">
        <v>208479</v>
      </c>
      <c r="G28" s="61">
        <v>243025</v>
      </c>
      <c r="H28" s="61">
        <v>58270</v>
      </c>
      <c r="I28" s="61">
        <v>91627</v>
      </c>
      <c r="J28" s="61"/>
      <c r="K28" s="61">
        <v>84946</v>
      </c>
      <c r="L28" s="61">
        <v>188421</v>
      </c>
      <c r="M28" s="61">
        <v>246629</v>
      </c>
      <c r="N28" s="61">
        <v>194045</v>
      </c>
      <c r="O28" s="61"/>
      <c r="P28" s="131"/>
      <c r="Q28" s="130">
        <f t="shared" ref="Q28:Q31" si="1">SUM(E28:P28)</f>
        <v>1415022</v>
      </c>
    </row>
    <row r="29" spans="1:17" ht="15" x14ac:dyDescent="0.25">
      <c r="A29" s="61" t="s">
        <v>100</v>
      </c>
      <c r="B29" s="135">
        <v>2015</v>
      </c>
      <c r="C29" s="61" t="s">
        <v>97</v>
      </c>
      <c r="D29" s="61" t="s">
        <v>104</v>
      </c>
      <c r="E29" s="61">
        <v>46789</v>
      </c>
      <c r="F29" s="61">
        <v>41685</v>
      </c>
      <c r="G29" s="61">
        <v>47975</v>
      </c>
      <c r="H29" s="61">
        <v>10964</v>
      </c>
      <c r="I29" s="61">
        <v>25473</v>
      </c>
      <c r="J29" s="61"/>
      <c r="K29" s="61">
        <v>19701</v>
      </c>
      <c r="L29" s="61">
        <v>41669</v>
      </c>
      <c r="M29" s="61">
        <v>42853</v>
      </c>
      <c r="N29" s="61">
        <v>46376</v>
      </c>
      <c r="O29" s="61"/>
      <c r="P29" s="131"/>
      <c r="Q29" s="130">
        <f t="shared" si="1"/>
        <v>323485</v>
      </c>
    </row>
    <row r="30" spans="1:17" ht="15" x14ac:dyDescent="0.25">
      <c r="A30" s="61" t="s">
        <v>100</v>
      </c>
      <c r="B30" s="135">
        <v>2015</v>
      </c>
      <c r="C30" s="61" t="s">
        <v>95</v>
      </c>
      <c r="D30" s="61" t="s">
        <v>104</v>
      </c>
      <c r="E30" s="61">
        <v>6983.42</v>
      </c>
      <c r="F30" s="61">
        <v>6485.7079999999996</v>
      </c>
      <c r="G30" s="61">
        <v>6796.83</v>
      </c>
      <c r="H30" s="61">
        <v>2621.41</v>
      </c>
      <c r="I30" s="61">
        <v>3800.0920000000001</v>
      </c>
      <c r="J30" s="61"/>
      <c r="K30" s="61">
        <v>2954.66</v>
      </c>
      <c r="L30" s="61">
        <v>6440.9</v>
      </c>
      <c r="M30" s="61">
        <v>6753</v>
      </c>
      <c r="N30" s="61">
        <v>6912</v>
      </c>
      <c r="O30" s="61"/>
      <c r="P30" s="131"/>
      <c r="Q30" s="130">
        <f t="shared" si="1"/>
        <v>49748.02</v>
      </c>
    </row>
    <row r="31" spans="1:17" ht="15" x14ac:dyDescent="0.25">
      <c r="A31" s="61" t="s">
        <v>100</v>
      </c>
      <c r="B31" s="135">
        <v>2015</v>
      </c>
      <c r="C31" s="61" t="s">
        <v>105</v>
      </c>
      <c r="D31" s="61" t="s">
        <v>104</v>
      </c>
      <c r="E31" s="61">
        <v>0</v>
      </c>
      <c r="F31" s="61">
        <v>0</v>
      </c>
      <c r="G31" s="61">
        <v>1474.71</v>
      </c>
      <c r="H31" s="61">
        <v>0</v>
      </c>
      <c r="I31" s="61">
        <v>0</v>
      </c>
      <c r="J31" s="61"/>
      <c r="K31" s="61">
        <v>0</v>
      </c>
      <c r="L31" s="61"/>
      <c r="M31" s="61">
        <v>0</v>
      </c>
      <c r="N31" s="61">
        <v>0</v>
      </c>
      <c r="O31" s="61"/>
      <c r="P31" s="131"/>
      <c r="Q31" s="130">
        <f t="shared" si="1"/>
        <v>1474.71</v>
      </c>
    </row>
    <row r="32" spans="1:17" ht="15" x14ac:dyDescent="0.25">
      <c r="A32" s="132"/>
      <c r="B32" s="137">
        <v>2014</v>
      </c>
      <c r="C32" s="61" t="s">
        <v>99</v>
      </c>
      <c r="D32" s="61" t="s">
        <v>102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131"/>
      <c r="Q32" s="130"/>
    </row>
    <row r="33" spans="2:17" x14ac:dyDescent="0.2">
      <c r="B33" s="137">
        <v>2014</v>
      </c>
      <c r="C33" s="61" t="s">
        <v>106</v>
      </c>
      <c r="D33" s="61" t="s">
        <v>102</v>
      </c>
      <c r="E33" s="61">
        <f>+E6+E16+E22</f>
        <v>0</v>
      </c>
      <c r="F33" s="61">
        <f t="shared" ref="F33:Q33" si="2">+F6+F16+F22</f>
        <v>0</v>
      </c>
      <c r="G33" s="61">
        <f t="shared" si="2"/>
        <v>1409970</v>
      </c>
      <c r="H33" s="61">
        <f t="shared" si="2"/>
        <v>0</v>
      </c>
      <c r="I33" s="61">
        <f t="shared" si="2"/>
        <v>0</v>
      </c>
      <c r="J33" s="61">
        <f t="shared" si="2"/>
        <v>0</v>
      </c>
      <c r="K33" s="61">
        <f t="shared" si="2"/>
        <v>0</v>
      </c>
      <c r="L33" s="61">
        <f t="shared" si="2"/>
        <v>0</v>
      </c>
      <c r="M33" s="61">
        <f t="shared" si="2"/>
        <v>0</v>
      </c>
      <c r="N33" s="61">
        <f t="shared" si="2"/>
        <v>0</v>
      </c>
      <c r="O33" s="61">
        <f t="shared" si="2"/>
        <v>1357343</v>
      </c>
      <c r="P33" s="61">
        <f t="shared" si="2"/>
        <v>1365827</v>
      </c>
      <c r="Q33" s="61">
        <f t="shared" si="2"/>
        <v>4133140</v>
      </c>
    </row>
    <row r="34" spans="2:17" x14ac:dyDescent="0.2">
      <c r="B34" s="137">
        <v>2014</v>
      </c>
      <c r="C34" s="61" t="s">
        <v>107</v>
      </c>
      <c r="D34" s="61" t="s">
        <v>102</v>
      </c>
      <c r="E34" s="61">
        <f>+E7+E23</f>
        <v>0</v>
      </c>
      <c r="F34" s="61">
        <f t="shared" ref="F34:Q34" si="3">+F7+F23</f>
        <v>0</v>
      </c>
      <c r="G34" s="61">
        <f t="shared" si="3"/>
        <v>161707</v>
      </c>
      <c r="H34" s="61">
        <f t="shared" si="3"/>
        <v>0</v>
      </c>
      <c r="I34" s="61">
        <f t="shared" si="3"/>
        <v>0</v>
      </c>
      <c r="J34" s="61">
        <f t="shared" si="3"/>
        <v>0</v>
      </c>
      <c r="K34" s="61">
        <f t="shared" si="3"/>
        <v>0</v>
      </c>
      <c r="L34" s="61">
        <f t="shared" si="3"/>
        <v>0</v>
      </c>
      <c r="M34" s="61">
        <f t="shared" si="3"/>
        <v>0</v>
      </c>
      <c r="N34" s="61">
        <f t="shared" si="3"/>
        <v>0</v>
      </c>
      <c r="O34" s="61">
        <f t="shared" si="3"/>
        <v>124537</v>
      </c>
      <c r="P34" s="61">
        <f t="shared" si="3"/>
        <v>121168</v>
      </c>
      <c r="Q34" s="61">
        <f t="shared" si="3"/>
        <v>407412</v>
      </c>
    </row>
    <row r="35" spans="2:17" x14ac:dyDescent="0.2">
      <c r="B35" s="137">
        <v>2014</v>
      </c>
      <c r="C35" s="61" t="s">
        <v>108</v>
      </c>
      <c r="D35" s="61" t="s">
        <v>102</v>
      </c>
      <c r="E35" s="61">
        <f>+E8</f>
        <v>0</v>
      </c>
      <c r="F35" s="61">
        <f t="shared" ref="F35:Q35" si="4">+F8</f>
        <v>0</v>
      </c>
      <c r="G35" s="61">
        <f t="shared" si="4"/>
        <v>0</v>
      </c>
      <c r="H35" s="61">
        <f t="shared" si="4"/>
        <v>0</v>
      </c>
      <c r="I35" s="61">
        <f t="shared" si="4"/>
        <v>0</v>
      </c>
      <c r="J35" s="61">
        <f t="shared" si="4"/>
        <v>0</v>
      </c>
      <c r="K35" s="61">
        <f t="shared" si="4"/>
        <v>0</v>
      </c>
      <c r="L35" s="61">
        <f t="shared" si="4"/>
        <v>0</v>
      </c>
      <c r="M35" s="61">
        <f t="shared" si="4"/>
        <v>0</v>
      </c>
      <c r="N35" s="61">
        <f t="shared" si="4"/>
        <v>0</v>
      </c>
      <c r="O35" s="61">
        <f t="shared" si="4"/>
        <v>0</v>
      </c>
      <c r="P35" s="61">
        <f t="shared" si="4"/>
        <v>0</v>
      </c>
      <c r="Q35" s="61">
        <f t="shared" si="4"/>
        <v>0</v>
      </c>
    </row>
    <row r="36" spans="2:17" x14ac:dyDescent="0.2">
      <c r="B36" s="137">
        <v>2014</v>
      </c>
      <c r="C36" s="61" t="s">
        <v>95</v>
      </c>
      <c r="D36" s="61" t="s">
        <v>104</v>
      </c>
      <c r="E36" s="61">
        <f>+E9+E17+E25</f>
        <v>0</v>
      </c>
      <c r="F36" s="61">
        <f t="shared" ref="F36:Q36" si="5">+F9+F17+F25</f>
        <v>0</v>
      </c>
      <c r="G36" s="61">
        <f t="shared" si="5"/>
        <v>10257.143</v>
      </c>
      <c r="H36" s="61">
        <f t="shared" si="5"/>
        <v>0</v>
      </c>
      <c r="I36" s="61">
        <f t="shared" si="5"/>
        <v>0</v>
      </c>
      <c r="J36" s="61">
        <f t="shared" si="5"/>
        <v>0</v>
      </c>
      <c r="K36" s="61">
        <f t="shared" si="5"/>
        <v>0</v>
      </c>
      <c r="L36" s="61">
        <f t="shared" si="5"/>
        <v>0</v>
      </c>
      <c r="M36" s="61">
        <f t="shared" si="5"/>
        <v>0</v>
      </c>
      <c r="N36" s="61">
        <f t="shared" si="5"/>
        <v>0</v>
      </c>
      <c r="O36" s="61">
        <f t="shared" si="5"/>
        <v>0</v>
      </c>
      <c r="P36" s="61">
        <f t="shared" si="5"/>
        <v>0</v>
      </c>
      <c r="Q36" s="61">
        <f t="shared" si="5"/>
        <v>10257.143</v>
      </c>
    </row>
    <row r="37" spans="2:17" x14ac:dyDescent="0.2">
      <c r="B37" s="137">
        <v>2014</v>
      </c>
      <c r="C37" s="61" t="s">
        <v>97</v>
      </c>
      <c r="D37" s="61" t="s">
        <v>104</v>
      </c>
      <c r="E37" s="61">
        <f>+E10+E18+E24</f>
        <v>0</v>
      </c>
      <c r="F37" s="61">
        <f t="shared" ref="F37:Q37" si="6">+F10+F18+F24</f>
        <v>0</v>
      </c>
      <c r="G37" s="61">
        <f t="shared" si="6"/>
        <v>69433.047999999995</v>
      </c>
      <c r="H37" s="61">
        <f t="shared" si="6"/>
        <v>0</v>
      </c>
      <c r="I37" s="61">
        <f t="shared" si="6"/>
        <v>0</v>
      </c>
      <c r="J37" s="61">
        <f t="shared" si="6"/>
        <v>0</v>
      </c>
      <c r="K37" s="61">
        <f t="shared" si="6"/>
        <v>0</v>
      </c>
      <c r="L37" s="61">
        <f t="shared" si="6"/>
        <v>0</v>
      </c>
      <c r="M37" s="61">
        <f t="shared" si="6"/>
        <v>0</v>
      </c>
      <c r="N37" s="61">
        <f t="shared" si="6"/>
        <v>0</v>
      </c>
      <c r="O37" s="61">
        <f t="shared" si="6"/>
        <v>0</v>
      </c>
      <c r="P37" s="61">
        <f t="shared" si="6"/>
        <v>0</v>
      </c>
      <c r="Q37" s="61">
        <f t="shared" si="6"/>
        <v>69433.047999999995</v>
      </c>
    </row>
    <row r="38" spans="2:17" ht="13.5" thickBot="1" x14ac:dyDescent="0.25">
      <c r="B38" s="138">
        <v>2014</v>
      </c>
      <c r="C38" s="61" t="s">
        <v>105</v>
      </c>
      <c r="D38" s="61" t="s">
        <v>104</v>
      </c>
      <c r="E38" s="61">
        <f>+E26</f>
        <v>0</v>
      </c>
      <c r="F38" s="61">
        <f t="shared" ref="F38:Q38" si="7">+F26</f>
        <v>0</v>
      </c>
      <c r="G38" s="61">
        <f t="shared" si="7"/>
        <v>0</v>
      </c>
      <c r="H38" s="61">
        <f t="shared" si="7"/>
        <v>0</v>
      </c>
      <c r="I38" s="61">
        <f t="shared" si="7"/>
        <v>0</v>
      </c>
      <c r="J38" s="61">
        <f t="shared" si="7"/>
        <v>0</v>
      </c>
      <c r="K38" s="61">
        <f t="shared" si="7"/>
        <v>0</v>
      </c>
      <c r="L38" s="61">
        <f t="shared" si="7"/>
        <v>0</v>
      </c>
      <c r="M38" s="61">
        <f t="shared" si="7"/>
        <v>0</v>
      </c>
      <c r="N38" s="61">
        <f t="shared" si="7"/>
        <v>0</v>
      </c>
      <c r="O38" s="61">
        <f t="shared" si="7"/>
        <v>6500</v>
      </c>
      <c r="P38" s="61">
        <f t="shared" si="7"/>
        <v>0</v>
      </c>
      <c r="Q38" s="61">
        <f t="shared" si="7"/>
        <v>6500</v>
      </c>
    </row>
    <row r="39" spans="2:17" x14ac:dyDescent="0.2">
      <c r="B39" s="139">
        <v>2015</v>
      </c>
      <c r="C39" s="134" t="s">
        <v>99</v>
      </c>
      <c r="D39" s="61" t="s">
        <v>102</v>
      </c>
      <c r="E39" s="133">
        <f>SUM(E40:E42)</f>
        <v>1156240</v>
      </c>
      <c r="F39" s="133">
        <f t="shared" ref="F39:Q39" si="8">SUM(F40:F42)</f>
        <v>5367418</v>
      </c>
      <c r="G39" s="133">
        <f t="shared" si="8"/>
        <v>5601511</v>
      </c>
      <c r="H39" s="133">
        <f t="shared" si="8"/>
        <v>4081903</v>
      </c>
      <c r="I39" s="133">
        <f t="shared" si="8"/>
        <v>2395803</v>
      </c>
      <c r="J39" s="133">
        <f t="shared" si="8"/>
        <v>1697590</v>
      </c>
      <c r="K39" s="133">
        <f t="shared" si="8"/>
        <v>2357245</v>
      </c>
      <c r="L39" s="133">
        <f t="shared" si="8"/>
        <v>2207841</v>
      </c>
      <c r="M39" s="133">
        <f t="shared" si="8"/>
        <v>4113377</v>
      </c>
      <c r="N39" s="133">
        <f t="shared" si="8"/>
        <v>3673436</v>
      </c>
      <c r="O39" s="133">
        <f t="shared" si="8"/>
        <v>0</v>
      </c>
      <c r="P39" s="133">
        <f t="shared" si="8"/>
        <v>0</v>
      </c>
      <c r="Q39" s="133">
        <f t="shared" si="8"/>
        <v>32652364</v>
      </c>
    </row>
    <row r="40" spans="2:17" x14ac:dyDescent="0.2">
      <c r="B40" s="140">
        <v>2015</v>
      </c>
      <c r="C40" s="134" t="s">
        <v>106</v>
      </c>
      <c r="D40" s="61" t="s">
        <v>102</v>
      </c>
      <c r="E40" s="61">
        <f>+E11+E19+E27</f>
        <v>1056660</v>
      </c>
      <c r="F40" s="61">
        <f t="shared" ref="F40:Q40" si="9">+F11+F19+F27</f>
        <v>4939159</v>
      </c>
      <c r="G40" s="61">
        <f t="shared" si="9"/>
        <v>5145686</v>
      </c>
      <c r="H40" s="61">
        <f t="shared" si="9"/>
        <v>3775645</v>
      </c>
      <c r="I40" s="61">
        <f t="shared" si="9"/>
        <v>2195251</v>
      </c>
      <c r="J40" s="61">
        <f t="shared" si="9"/>
        <v>1516623</v>
      </c>
      <c r="K40" s="61">
        <f t="shared" si="9"/>
        <v>2137477</v>
      </c>
      <c r="L40" s="61">
        <f t="shared" si="9"/>
        <v>2019420</v>
      </c>
      <c r="M40" s="61">
        <f t="shared" si="9"/>
        <v>3718336</v>
      </c>
      <c r="N40" s="61">
        <f t="shared" si="9"/>
        <v>3331943</v>
      </c>
      <c r="O40" s="61">
        <f t="shared" si="9"/>
        <v>0</v>
      </c>
      <c r="P40" s="61">
        <f t="shared" si="9"/>
        <v>0</v>
      </c>
      <c r="Q40" s="61">
        <f t="shared" si="9"/>
        <v>29836200</v>
      </c>
    </row>
    <row r="41" spans="2:17" x14ac:dyDescent="0.2">
      <c r="B41" s="140">
        <v>2015</v>
      </c>
      <c r="C41" s="134" t="s">
        <v>107</v>
      </c>
      <c r="D41" s="61" t="s">
        <v>102</v>
      </c>
      <c r="E41" s="61">
        <f>+E12+E28</f>
        <v>99580</v>
      </c>
      <c r="F41" s="61">
        <f t="shared" ref="F41:Q41" si="10">+F12+F28</f>
        <v>428259</v>
      </c>
      <c r="G41" s="61">
        <f t="shared" si="10"/>
        <v>455825</v>
      </c>
      <c r="H41" s="61">
        <f t="shared" si="10"/>
        <v>306258</v>
      </c>
      <c r="I41" s="61">
        <f t="shared" si="10"/>
        <v>200552</v>
      </c>
      <c r="J41" s="61">
        <f t="shared" si="10"/>
        <v>180967</v>
      </c>
      <c r="K41" s="61">
        <f t="shared" si="10"/>
        <v>219768</v>
      </c>
      <c r="L41" s="61">
        <f t="shared" si="10"/>
        <v>188421</v>
      </c>
      <c r="M41" s="61">
        <f t="shared" si="10"/>
        <v>395041</v>
      </c>
      <c r="N41" s="61">
        <f t="shared" si="10"/>
        <v>341493</v>
      </c>
      <c r="O41" s="61">
        <f t="shared" si="10"/>
        <v>0</v>
      </c>
      <c r="P41" s="61">
        <f t="shared" si="10"/>
        <v>0</v>
      </c>
      <c r="Q41" s="61">
        <f t="shared" si="10"/>
        <v>2816164</v>
      </c>
    </row>
    <row r="42" spans="2:17" x14ac:dyDescent="0.2">
      <c r="B42" s="140">
        <v>2015</v>
      </c>
      <c r="C42" s="134" t="s">
        <v>108</v>
      </c>
      <c r="D42" s="61" t="s">
        <v>102</v>
      </c>
      <c r="E42" s="61">
        <f>+E13</f>
        <v>0</v>
      </c>
      <c r="F42" s="61">
        <f t="shared" ref="F42:Q42" si="11">+F13</f>
        <v>0</v>
      </c>
      <c r="G42" s="61">
        <f t="shared" si="11"/>
        <v>0</v>
      </c>
      <c r="H42" s="61">
        <f t="shared" si="11"/>
        <v>0</v>
      </c>
      <c r="I42" s="61">
        <f t="shared" si="11"/>
        <v>0</v>
      </c>
      <c r="J42" s="61">
        <f t="shared" si="11"/>
        <v>0</v>
      </c>
      <c r="K42" s="61">
        <f t="shared" si="11"/>
        <v>0</v>
      </c>
      <c r="L42" s="61">
        <f t="shared" si="11"/>
        <v>0</v>
      </c>
      <c r="M42" s="61">
        <f t="shared" si="11"/>
        <v>0</v>
      </c>
      <c r="N42" s="61">
        <f t="shared" si="11"/>
        <v>0</v>
      </c>
      <c r="O42" s="61">
        <f t="shared" si="11"/>
        <v>0</v>
      </c>
      <c r="P42" s="61">
        <f t="shared" si="11"/>
        <v>0</v>
      </c>
      <c r="Q42" s="61">
        <f t="shared" si="11"/>
        <v>0</v>
      </c>
    </row>
    <row r="43" spans="2:17" x14ac:dyDescent="0.2">
      <c r="B43" s="140">
        <v>2015</v>
      </c>
      <c r="C43" s="134" t="s">
        <v>95</v>
      </c>
      <c r="D43" s="61" t="s">
        <v>104</v>
      </c>
      <c r="E43" s="61">
        <f>+E14+E20+E30</f>
        <v>6983.42</v>
      </c>
      <c r="F43" s="61">
        <f t="shared" ref="F43:Q43" si="12">+F14+F20+F30</f>
        <v>23089.076999999997</v>
      </c>
      <c r="G43" s="61">
        <f t="shared" si="12"/>
        <v>23330.211000000003</v>
      </c>
      <c r="H43" s="61">
        <f t="shared" si="12"/>
        <v>22208.48</v>
      </c>
      <c r="I43" s="61">
        <f t="shared" si="12"/>
        <v>14931.352000000001</v>
      </c>
      <c r="J43" s="61">
        <f t="shared" si="12"/>
        <v>5113.17</v>
      </c>
      <c r="K43" s="61">
        <f t="shared" si="12"/>
        <v>8826.1899999999987</v>
      </c>
      <c r="L43" s="61">
        <f t="shared" si="12"/>
        <v>6440.9</v>
      </c>
      <c r="M43" s="61">
        <f t="shared" si="12"/>
        <v>14075.96</v>
      </c>
      <c r="N43" s="61">
        <f t="shared" si="12"/>
        <v>13761.33</v>
      </c>
      <c r="O43" s="61">
        <f t="shared" si="12"/>
        <v>0</v>
      </c>
      <c r="P43" s="61">
        <f t="shared" si="12"/>
        <v>0</v>
      </c>
      <c r="Q43" s="61">
        <f t="shared" si="12"/>
        <v>138760.09</v>
      </c>
    </row>
    <row r="44" spans="2:17" x14ac:dyDescent="0.2">
      <c r="B44" s="140">
        <v>2015</v>
      </c>
      <c r="C44" s="134" t="s">
        <v>97</v>
      </c>
      <c r="D44" s="61" t="s">
        <v>104</v>
      </c>
      <c r="E44" s="61">
        <f>+E29+E21+E15</f>
        <v>46789</v>
      </c>
      <c r="F44" s="61">
        <f t="shared" ref="F44:Q44" si="13">+F29+F21+F15</f>
        <v>156090.73800000001</v>
      </c>
      <c r="G44" s="61">
        <f t="shared" si="13"/>
        <v>161950.15499999997</v>
      </c>
      <c r="H44" s="61">
        <f t="shared" si="13"/>
        <v>127663.34</v>
      </c>
      <c r="I44" s="61">
        <f t="shared" si="13"/>
        <v>97620.36</v>
      </c>
      <c r="J44" s="61">
        <f t="shared" si="13"/>
        <v>27340.69</v>
      </c>
      <c r="K44" s="61">
        <f t="shared" si="13"/>
        <v>65979.350000000006</v>
      </c>
      <c r="L44" s="61">
        <f t="shared" si="13"/>
        <v>41669</v>
      </c>
      <c r="M44" s="61">
        <f t="shared" si="13"/>
        <v>100813.12</v>
      </c>
      <c r="N44" s="61">
        <f t="shared" si="13"/>
        <v>61470.93</v>
      </c>
      <c r="O44" s="61">
        <f t="shared" si="13"/>
        <v>0</v>
      </c>
      <c r="P44" s="61">
        <f t="shared" si="13"/>
        <v>0</v>
      </c>
      <c r="Q44" s="61">
        <f t="shared" si="13"/>
        <v>887386.68299999996</v>
      </c>
    </row>
    <row r="45" spans="2:17" ht="13.5" thickBot="1" x14ac:dyDescent="0.25">
      <c r="B45" s="141">
        <v>2015</v>
      </c>
      <c r="C45" s="134" t="s">
        <v>105</v>
      </c>
      <c r="D45" s="61" t="s">
        <v>104</v>
      </c>
      <c r="E45" s="61">
        <f>+E31</f>
        <v>0</v>
      </c>
      <c r="F45" s="61">
        <f t="shared" ref="F45:Q45" si="14">+F31</f>
        <v>0</v>
      </c>
      <c r="G45" s="61">
        <f t="shared" si="14"/>
        <v>1474.71</v>
      </c>
      <c r="H45" s="61">
        <f t="shared" si="14"/>
        <v>0</v>
      </c>
      <c r="I45" s="61">
        <f t="shared" si="14"/>
        <v>0</v>
      </c>
      <c r="J45" s="61">
        <f t="shared" si="14"/>
        <v>0</v>
      </c>
      <c r="K45" s="61">
        <f t="shared" si="14"/>
        <v>0</v>
      </c>
      <c r="L45" s="61">
        <f t="shared" si="14"/>
        <v>0</v>
      </c>
      <c r="M45" s="61">
        <f t="shared" si="14"/>
        <v>0</v>
      </c>
      <c r="N45" s="61">
        <f t="shared" si="14"/>
        <v>0</v>
      </c>
      <c r="O45" s="61">
        <f t="shared" si="14"/>
        <v>0</v>
      </c>
      <c r="P45" s="61">
        <f t="shared" si="14"/>
        <v>0</v>
      </c>
      <c r="Q45" s="61">
        <f t="shared" si="14"/>
        <v>1474.71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2020</vt:lpstr>
      <vt:lpstr>2019</vt:lpstr>
      <vt:lpstr>variación</vt:lpstr>
      <vt:lpstr>ANALISIS</vt:lpstr>
      <vt:lpstr>ANALISIS 2</vt:lpstr>
      <vt:lpstr>alcohol_melaza_bagazo</vt:lpstr>
      <vt:lpstr>'2020'!Área_de_impresión</vt:lpstr>
    </vt:vector>
  </TitlesOfParts>
  <Company>hlkjhljk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Información Agraria</dc:creator>
  <cp:lastModifiedBy>America</cp:lastModifiedBy>
  <cp:lastPrinted>2013-10-29T13:27:23Z</cp:lastPrinted>
  <dcterms:created xsi:type="dcterms:W3CDTF">2003-02-11T13:30:02Z</dcterms:created>
  <dcterms:modified xsi:type="dcterms:W3CDTF">2020-07-22T23:54:10Z</dcterms:modified>
</cp:coreProperties>
</file>