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drawings/drawing10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charts/chart25.xml" ContentType="application/vnd.openxmlformats-officedocument.drawingml.chart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omments3.xml" ContentType="application/vnd.openxmlformats-officedocument.spreadsheetml.comments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drawings/drawing2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1.xml" ContentType="application/vnd.openxmlformats-officedocument.drawing+xml"/>
  <Override PartName="/xl/charts/chart39.xml" ContentType="application/vnd.openxmlformats-officedocument.drawingml.chart+xml"/>
  <Override PartName="/xl/drawings/drawing22.xml" ContentType="application/vnd.openxmlformats-officedocument.drawing+xml"/>
  <Override PartName="/xl/charts/chart40.xml" ContentType="application/vnd.openxmlformats-officedocument.drawingml.chart+xml"/>
  <Override PartName="/xl/drawings/drawing23.xml" ContentType="application/vnd.openxmlformats-officedocument.drawing+xml"/>
  <Override PartName="/xl/charts/chart4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8380" windowHeight="12600" tabRatio="872"/>
  </bookViews>
  <sheets>
    <sheet name="Caratula" sheetId="4" r:id="rId1"/>
    <sheet name="Indice" sheetId="5" r:id="rId2"/>
    <sheet name="1.1 Indicadores" sheetId="6" r:id="rId3"/>
    <sheet name="1.2-1.3" sheetId="7" r:id="rId4"/>
    <sheet name="1.4" sheetId="8" r:id="rId5"/>
    <sheet name="2.1 P.I." sheetId="9" r:id="rId6"/>
    <sheet name="2.3-2.4" sheetId="10" r:id="rId7"/>
    <sheet name="2.5" sheetId="11" r:id="rId8"/>
    <sheet name="3.1 P.E." sheetId="12" r:id="rId9"/>
    <sheet name="3.2" sheetId="13" r:id="rId10"/>
    <sheet name="3.3-3.4" sheetId="14" r:id="rId11"/>
    <sheet name="4 MD" sheetId="15" r:id="rId12"/>
    <sheet name="5.1 PROD." sheetId="16" r:id="rId13"/>
    <sheet name="5.2" sheetId="17" r:id="rId14"/>
    <sheet name="5.3-5.4" sheetId="18" r:id="rId15"/>
    <sheet name="5.5" sheetId="19" r:id="rId16"/>
    <sheet name="6.1 LLTT" sheetId="20" r:id="rId17"/>
    <sheet name="6.2 " sheetId="21" r:id="rId18"/>
    <sheet name="7.1" sheetId="22" r:id="rId19"/>
    <sheet name="7.2-7.3" sheetId="23" r:id="rId20"/>
    <sheet name="8.1" sheetId="24" r:id="rId21"/>
    <sheet name="8.2-8.3" sheetId="25" r:id="rId22"/>
    <sheet name="9.1" sheetId="26" r:id="rId23"/>
    <sheet name="9.2-9.3" sheetId="28" r:id="rId24"/>
    <sheet name="10,1" sheetId="29" r:id="rId25"/>
    <sheet name="10,2-10,3" sheetId="30" r:id="rId26"/>
    <sheet name="11" sheetId="31" r:id="rId27"/>
    <sheet name="12" sheetId="32" r:id="rId28"/>
    <sheet name="13" sheetId="33" r:id="rId29"/>
    <sheet name="14" sheetId="34" r:id="rId30"/>
    <sheet name="15" sheetId="3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2" hidden="1">'1.1 Indicadores'!$X$1:$X$112</definedName>
    <definedName name="_xlnm._FilterDatabase" localSheetId="4" hidden="1">'1.4'!$B$2:$B$113</definedName>
    <definedName name="_xlnm._FilterDatabase" localSheetId="24" hidden="1">'10,1'!$B$1:$B$83</definedName>
    <definedName name="_xlnm._FilterDatabase" localSheetId="25" hidden="1">'10,2-10,3'!$A$2:$A$106</definedName>
    <definedName name="_xlnm._FilterDatabase" localSheetId="5" hidden="1">'2.1 P.I.'!$B$2:$B$88</definedName>
    <definedName name="_xlnm._FilterDatabase" localSheetId="6" hidden="1">'2.3-2.4'!$B$2:$B$96</definedName>
    <definedName name="_xlnm._FilterDatabase" localSheetId="7" hidden="1">'2.5'!$B$2:$B$90</definedName>
    <definedName name="_xlnm._FilterDatabase" localSheetId="8" hidden="1">'3.1 P.E.'!$B$1:$B$92</definedName>
    <definedName name="_xlnm._FilterDatabase" localSheetId="9" hidden="1">'3.2'!$B$1:$B$92</definedName>
    <definedName name="_xlnm._FilterDatabase" localSheetId="10" hidden="1">'3.3-3.4'!$B$1:$B$86</definedName>
    <definedName name="_xlnm._FilterDatabase" localSheetId="16" hidden="1">'6.1 LLTT'!$B$2:$B$59</definedName>
    <definedName name="_xlnm._FilterDatabase" localSheetId="17" hidden="1">'6.2 '!$B$3:$B$63</definedName>
    <definedName name="_xlnm._FilterDatabase" localSheetId="18" hidden="1">'7.1'!$B$1:$B$75</definedName>
    <definedName name="_xlnm._FilterDatabase" localSheetId="19" hidden="1">'7.2-7.3'!$A$1:$A$73</definedName>
    <definedName name="_xlnm._FilterDatabase" localSheetId="20" hidden="1">'8.1'!$B$1:$B$84</definedName>
    <definedName name="_xlnm._FilterDatabase" localSheetId="21" hidden="1">'8.2-8.3'!$A$1:$A$130</definedName>
    <definedName name="_xlnm._FilterDatabase" localSheetId="22" hidden="1">'9.1'!$B$1:$B$59</definedName>
    <definedName name="_xlnm._FilterDatabase" localSheetId="23" hidden="1">'9.2-9.3'!$A$2:$A$78</definedName>
    <definedName name="_xlnm.Print_Area" localSheetId="2">'1.1 Indicadores'!$A$1:$AA$88</definedName>
    <definedName name="_xlnm.Print_Area" localSheetId="3">'1.2-1.3'!$A$1:$H$107</definedName>
    <definedName name="_xlnm.Print_Area" localSheetId="4">'1.4'!$A$3:$P$102</definedName>
    <definedName name="_xlnm.Print_Area" localSheetId="24">'10,1'!$A$1:$K$82</definedName>
    <definedName name="_xlnm.Print_Area" localSheetId="25">'10,2-10,3'!$A$1:$L$70</definedName>
    <definedName name="_xlnm.Print_Area" localSheetId="26">'11'!$A$1:$E$59</definedName>
    <definedName name="_xlnm.Print_Area" localSheetId="27">'12'!$A$1:$H$85</definedName>
    <definedName name="_xlnm.Print_Area" localSheetId="28">'13'!$A$1:$I$61</definedName>
    <definedName name="_xlnm.Print_Area" localSheetId="29">'14'!$A$1:$G$62</definedName>
    <definedName name="_xlnm.Print_Area" localSheetId="30">'15'!$A$1:$G$66</definedName>
    <definedName name="_xlnm.Print_Area" localSheetId="5">'2.1 P.I.'!$A$2:$O$96</definedName>
    <definedName name="_xlnm.Print_Area" localSheetId="6">'2.3-2.4'!$A$2:$Q$97</definedName>
    <definedName name="_xlnm.Print_Area" localSheetId="7">'2.5'!$B$1:$O$83</definedName>
    <definedName name="_xlnm.Print_Area" localSheetId="8">'3.1 P.E.'!$A$2:$O$94</definedName>
    <definedName name="_xlnm.Print_Area" localSheetId="9">'3.2'!$A$2:$Q$92</definedName>
    <definedName name="_xlnm.Print_Area" localSheetId="10">'3.3-3.4'!$B$2:$O$83</definedName>
    <definedName name="_xlnm.Print_Area" localSheetId="11">'4 MD'!$A$1:$I$38</definedName>
    <definedName name="_xlnm.Print_Area" localSheetId="12">'5.1 PROD.'!$A$1:$O$96</definedName>
    <definedName name="_xlnm.Print_Area" localSheetId="13">'5.2'!$A$1:$R$95</definedName>
    <definedName name="_xlnm.Print_Area" localSheetId="14">'5.3-5.4'!$A$1:$P$88</definedName>
    <definedName name="_xlnm.Print_Area" localSheetId="15">'5.5'!$A$1:$G$55</definedName>
    <definedName name="_xlnm.Print_Area" localSheetId="16">'6.1 LLTT'!$A$1:$J$65</definedName>
    <definedName name="_xlnm.Print_Area" localSheetId="17">'6.2 '!$A$1:$H$59</definedName>
    <definedName name="_xlnm.Print_Area" localSheetId="18">'7.1'!$A$1:$L$74</definedName>
    <definedName name="_xlnm.Print_Area" localSheetId="19">'7.2-7.3'!$A$1:$L$72</definedName>
    <definedName name="_xlnm.Print_Area" localSheetId="20">'8.1'!$A$1:$K$83</definedName>
    <definedName name="_xlnm.Print_Area" localSheetId="21">'8.2-8.3'!$A$1:$L$73</definedName>
    <definedName name="_xlnm.Print_Area" localSheetId="22">'9.1'!$A$1:$L$81</definedName>
    <definedName name="_xlnm.Print_Area" localSheetId="23">'9.2-9.3'!$A$1:$L$70</definedName>
    <definedName name="_xlnm.Print_Area" localSheetId="0">Caratula!$A$1:$L$87</definedName>
    <definedName name="_xlnm.Print_Area" localSheetId="1">Indice!$A$1:$K$65</definedName>
    <definedName name="AYACUCHO" localSheetId="2">[1]X_DEPA!#REF!</definedName>
    <definedName name="AYACUCHO" localSheetId="5">[1]X_DEPA!#REF!</definedName>
    <definedName name="AYACUCHO" localSheetId="6">[1]X_DEPA!#REF!</definedName>
    <definedName name="AYACUCHO" localSheetId="7">[1]X_DEPA!#REF!</definedName>
    <definedName name="AYACUCHO" localSheetId="12">[1]X_DEPA!#REF!</definedName>
    <definedName name="AYACUCHO" localSheetId="13">[1]X_DEPA!#REF!</definedName>
    <definedName name="AYACUCHO" localSheetId="14">[1]X_DEPA!#REF!</definedName>
    <definedName name="AYACUCHO" localSheetId="15">[1]X_DEPA!#REF!</definedName>
    <definedName name="AYACUCHO">[1]X_DEPA!#REF!</definedName>
    <definedName name="LIMA_I" localSheetId="2">[1]X_DEPA!#REF!</definedName>
    <definedName name="LIMA_I" localSheetId="5">[1]X_DEPA!#REF!</definedName>
    <definedName name="LIMA_I" localSheetId="6">[1]X_DEPA!#REF!</definedName>
    <definedName name="LIMA_I" localSheetId="7">[1]X_DEPA!#REF!</definedName>
    <definedName name="LIMA_I" localSheetId="12">[1]X_DEPA!#REF!</definedName>
    <definedName name="LIMA_I" localSheetId="13">[1]X_DEPA!#REF!</definedName>
    <definedName name="LIMA_I" localSheetId="14">[1]X_DEPA!#REF!</definedName>
    <definedName name="LIMA_I" localSheetId="15">[1]X_DEPA!#REF!</definedName>
    <definedName name="LIMA_I">[1]X_DEPA!#REF!</definedName>
    <definedName name="LIMA_II" localSheetId="2">[1]X_DEPA!#REF!</definedName>
    <definedName name="LIMA_II" localSheetId="5">[1]X_DEPA!#REF!</definedName>
    <definedName name="LIMA_II" localSheetId="6">[1]X_DEPA!#REF!</definedName>
    <definedName name="LIMA_II" localSheetId="7">[1]X_DEPA!#REF!</definedName>
    <definedName name="LIMA_II" localSheetId="12">[1]X_DEPA!#REF!</definedName>
    <definedName name="LIMA_II" localSheetId="13">[1]X_DEPA!#REF!</definedName>
    <definedName name="LIMA_II" localSheetId="14">[1]X_DEPA!#REF!</definedName>
    <definedName name="LIMA_II" localSheetId="15">[1]X_DEPA!#REF!</definedName>
    <definedName name="LIMA_II">[1]X_DEPA!#REF!</definedName>
    <definedName name="PIURA_I" localSheetId="2">[1]X_DEPA!#REF!</definedName>
    <definedName name="PIURA_I" localSheetId="5">[1]X_DEPA!#REF!</definedName>
    <definedName name="PIURA_I" localSheetId="6">[1]X_DEPA!#REF!</definedName>
    <definedName name="PIURA_I" localSheetId="7">[1]X_DEPA!#REF!</definedName>
    <definedName name="PIURA_I" localSheetId="12">[1]X_DEPA!#REF!</definedName>
    <definedName name="PIURA_I" localSheetId="13">[1]X_DEPA!#REF!</definedName>
    <definedName name="PIURA_I" localSheetId="14">[1]X_DEPA!#REF!</definedName>
    <definedName name="PIURA_I" localSheetId="15">[1]X_DEPA!#REF!</definedName>
    <definedName name="PIURA_I">[1]X_DEPA!#REF!</definedName>
  </definedNames>
  <calcPr calcId="145621"/>
</workbook>
</file>

<file path=xl/calcChain.xml><?xml version="1.0" encoding="utf-8"?>
<calcChain xmlns="http://schemas.openxmlformats.org/spreadsheetml/2006/main">
  <c r="F34" i="34" l="1"/>
  <c r="E34" i="34"/>
  <c r="D34" i="34"/>
  <c r="C34" i="34"/>
  <c r="F33" i="34"/>
  <c r="E33" i="34"/>
  <c r="D33" i="34"/>
  <c r="C33" i="34"/>
  <c r="F32" i="34"/>
  <c r="E32" i="34"/>
  <c r="D32" i="34"/>
  <c r="C32" i="34"/>
  <c r="F31" i="34"/>
  <c r="E31" i="34"/>
  <c r="D31" i="34"/>
  <c r="C31" i="34"/>
  <c r="K34" i="26"/>
  <c r="K33" i="26"/>
  <c r="K32" i="26"/>
  <c r="K31" i="26"/>
  <c r="I34" i="26"/>
  <c r="H34" i="26"/>
  <c r="G34" i="26"/>
  <c r="F34" i="26"/>
  <c r="E34" i="26"/>
  <c r="D34" i="26"/>
  <c r="I33" i="26"/>
  <c r="H33" i="26"/>
  <c r="G33" i="26"/>
  <c r="F33" i="26"/>
  <c r="E33" i="26"/>
  <c r="D33" i="26"/>
  <c r="I32" i="26"/>
  <c r="H32" i="26"/>
  <c r="G32" i="26"/>
  <c r="F32" i="26"/>
  <c r="E32" i="26"/>
  <c r="D32" i="26"/>
  <c r="I31" i="26"/>
  <c r="H31" i="26"/>
  <c r="G31" i="26"/>
  <c r="F31" i="26"/>
  <c r="E31" i="26"/>
  <c r="D31" i="26"/>
  <c r="E71" i="25"/>
  <c r="D71" i="25"/>
  <c r="C71" i="25"/>
  <c r="E70" i="25"/>
  <c r="D70" i="25"/>
  <c r="C70" i="25"/>
  <c r="E69" i="25"/>
  <c r="D69" i="25"/>
  <c r="C69" i="25"/>
  <c r="E68" i="25"/>
  <c r="D68" i="25"/>
  <c r="C68" i="25"/>
  <c r="L34" i="25"/>
  <c r="K34" i="25"/>
  <c r="J34" i="25"/>
  <c r="L33" i="25"/>
  <c r="K33" i="25"/>
  <c r="J33" i="25"/>
  <c r="L32" i="25"/>
  <c r="K32" i="25"/>
  <c r="J32" i="25"/>
  <c r="L31" i="25"/>
  <c r="K31" i="25"/>
  <c r="J31" i="25"/>
  <c r="H34" i="25"/>
  <c r="H33" i="25"/>
  <c r="H32" i="25"/>
  <c r="H31" i="25"/>
  <c r="F34" i="25"/>
  <c r="E34" i="25"/>
  <c r="D34" i="25"/>
  <c r="C34" i="25"/>
  <c r="F33" i="25"/>
  <c r="E33" i="25"/>
  <c r="D33" i="25"/>
  <c r="C33" i="25"/>
  <c r="F32" i="25"/>
  <c r="E32" i="25"/>
  <c r="D32" i="25"/>
  <c r="C32" i="25"/>
  <c r="F31" i="25"/>
  <c r="E31" i="25"/>
  <c r="D31" i="25"/>
  <c r="C31" i="25"/>
  <c r="B59" i="25" l="1"/>
  <c r="K35" i="24"/>
  <c r="K34" i="24"/>
  <c r="K33" i="24"/>
  <c r="K32" i="24"/>
  <c r="I35" i="24"/>
  <c r="H35" i="24"/>
  <c r="G35" i="24"/>
  <c r="F35" i="24"/>
  <c r="E35" i="24"/>
  <c r="D35" i="24"/>
  <c r="I34" i="24"/>
  <c r="H34" i="24"/>
  <c r="G34" i="24"/>
  <c r="F34" i="24"/>
  <c r="E34" i="24"/>
  <c r="D34" i="24"/>
  <c r="I33" i="24"/>
  <c r="H33" i="24"/>
  <c r="G33" i="24"/>
  <c r="F33" i="24"/>
  <c r="E33" i="24"/>
  <c r="D33" i="24"/>
  <c r="I32" i="24"/>
  <c r="H32" i="24"/>
  <c r="G32" i="24"/>
  <c r="F32" i="24"/>
  <c r="E32" i="24"/>
  <c r="D32" i="24"/>
  <c r="L33" i="23"/>
  <c r="L32" i="23"/>
  <c r="L31" i="23"/>
  <c r="L30" i="23"/>
  <c r="K33" i="23"/>
  <c r="K32" i="23"/>
  <c r="K31" i="23"/>
  <c r="K30" i="23"/>
  <c r="H33" i="23"/>
  <c r="H32" i="23"/>
  <c r="H31" i="23"/>
  <c r="H30" i="23"/>
  <c r="C33" i="23"/>
  <c r="C32" i="23"/>
  <c r="C31" i="23"/>
  <c r="C30" i="23"/>
  <c r="K33" i="22"/>
  <c r="K32" i="22"/>
  <c r="K31" i="22"/>
  <c r="K30" i="22"/>
  <c r="I33" i="22"/>
  <c r="H33" i="22"/>
  <c r="G33" i="22"/>
  <c r="F33" i="22"/>
  <c r="E33" i="22"/>
  <c r="D33" i="22"/>
  <c r="I32" i="22"/>
  <c r="H32" i="22"/>
  <c r="G32" i="22"/>
  <c r="F32" i="22"/>
  <c r="E32" i="22"/>
  <c r="D32" i="22"/>
  <c r="I31" i="22"/>
  <c r="H31" i="22"/>
  <c r="G31" i="22"/>
  <c r="F31" i="22"/>
  <c r="E31" i="22"/>
  <c r="D31" i="22"/>
  <c r="I30" i="22"/>
  <c r="H30" i="22"/>
  <c r="G30" i="22"/>
  <c r="F30" i="22"/>
  <c r="E30" i="22"/>
  <c r="D30" i="22"/>
  <c r="H35" i="20"/>
  <c r="G35" i="20"/>
  <c r="F35" i="20"/>
  <c r="E35" i="20"/>
  <c r="H34" i="20"/>
  <c r="G34" i="20"/>
  <c r="F34" i="20"/>
  <c r="E34" i="20"/>
  <c r="H33" i="20"/>
  <c r="G33" i="20"/>
  <c r="F33" i="20"/>
  <c r="E33" i="20"/>
  <c r="H32" i="20"/>
  <c r="G32" i="20"/>
  <c r="F32" i="20"/>
  <c r="E32" i="20"/>
  <c r="F30" i="19"/>
  <c r="E30" i="19"/>
  <c r="D32" i="19"/>
  <c r="C32" i="19"/>
  <c r="D31" i="19"/>
  <c r="C31" i="19"/>
  <c r="D30" i="19"/>
  <c r="C30" i="19"/>
  <c r="L79" i="18"/>
  <c r="K79" i="18"/>
  <c r="J79" i="18"/>
  <c r="L78" i="18"/>
  <c r="K78" i="18"/>
  <c r="J78" i="18"/>
  <c r="L77" i="18"/>
  <c r="K77" i="18"/>
  <c r="J77" i="18"/>
  <c r="L76" i="18"/>
  <c r="K76" i="18"/>
  <c r="J76" i="18"/>
  <c r="F79" i="18"/>
  <c r="E79" i="18"/>
  <c r="D79" i="18"/>
  <c r="F78" i="18"/>
  <c r="E78" i="18"/>
  <c r="D78" i="18"/>
  <c r="F77" i="18"/>
  <c r="E77" i="18"/>
  <c r="D77" i="18"/>
  <c r="F76" i="18"/>
  <c r="E76" i="18"/>
  <c r="D76" i="18"/>
  <c r="N35" i="18"/>
  <c r="M35" i="18"/>
  <c r="L35" i="18"/>
  <c r="N34" i="18"/>
  <c r="M34" i="18"/>
  <c r="L34" i="18"/>
  <c r="N33" i="18"/>
  <c r="M33" i="18"/>
  <c r="L33" i="18"/>
  <c r="N32" i="18"/>
  <c r="M32" i="18"/>
  <c r="L32" i="18"/>
  <c r="F35" i="18"/>
  <c r="E35" i="18"/>
  <c r="D35" i="18"/>
  <c r="F34" i="18"/>
  <c r="E34" i="18"/>
  <c r="D34" i="18"/>
  <c r="F33" i="18"/>
  <c r="E33" i="18"/>
  <c r="D33" i="18"/>
  <c r="F32" i="18"/>
  <c r="E32" i="18"/>
  <c r="D32" i="18"/>
  <c r="Q35" i="17"/>
  <c r="Q34" i="17"/>
  <c r="Q33" i="17"/>
  <c r="Q32" i="17"/>
  <c r="N35" i="17"/>
  <c r="M35" i="17"/>
  <c r="L35" i="17"/>
  <c r="N34" i="17"/>
  <c r="M34" i="17"/>
  <c r="L34" i="17"/>
  <c r="N33" i="17"/>
  <c r="M33" i="17"/>
  <c r="L33" i="17"/>
  <c r="N32" i="17"/>
  <c r="M32" i="17"/>
  <c r="L32" i="17"/>
  <c r="I35" i="17"/>
  <c r="H35" i="17"/>
  <c r="G35" i="17"/>
  <c r="I34" i="17"/>
  <c r="H34" i="17"/>
  <c r="G34" i="17"/>
  <c r="I33" i="17"/>
  <c r="H33" i="17"/>
  <c r="G33" i="17"/>
  <c r="I32" i="17"/>
  <c r="H32" i="17"/>
  <c r="G32" i="17"/>
  <c r="D35" i="17"/>
  <c r="D34" i="17"/>
  <c r="D33" i="17"/>
  <c r="D32" i="17"/>
  <c r="O35" i="16"/>
  <c r="N35" i="16"/>
  <c r="M35" i="16"/>
  <c r="O34" i="16"/>
  <c r="N34" i="16"/>
  <c r="M34" i="16"/>
  <c r="O33" i="16"/>
  <c r="N33" i="16"/>
  <c r="M33" i="16"/>
  <c r="O32" i="16"/>
  <c r="N32" i="16"/>
  <c r="M32" i="16"/>
  <c r="J35" i="16"/>
  <c r="I35" i="16"/>
  <c r="H35" i="16"/>
  <c r="J34" i="16"/>
  <c r="I34" i="16"/>
  <c r="H34" i="16"/>
  <c r="J33" i="16"/>
  <c r="I33" i="16"/>
  <c r="H33" i="16"/>
  <c r="J32" i="16"/>
  <c r="I32" i="16"/>
  <c r="H32" i="16"/>
  <c r="E35" i="16"/>
  <c r="D35" i="16"/>
  <c r="E34" i="16"/>
  <c r="D34" i="16"/>
  <c r="E33" i="16"/>
  <c r="D33" i="16"/>
  <c r="E32" i="16"/>
  <c r="D32" i="16"/>
  <c r="L80" i="14"/>
  <c r="L79" i="14"/>
  <c r="L78" i="14"/>
  <c r="L77" i="14"/>
  <c r="K80" i="14"/>
  <c r="K79" i="14"/>
  <c r="K78" i="14"/>
  <c r="K77" i="14"/>
  <c r="J80" i="14"/>
  <c r="J79" i="14"/>
  <c r="J78" i="14"/>
  <c r="J77" i="14"/>
  <c r="F80" i="14"/>
  <c r="F79" i="14"/>
  <c r="F78" i="14"/>
  <c r="F77" i="14"/>
  <c r="E80" i="14"/>
  <c r="E79" i="14"/>
  <c r="E78" i="14"/>
  <c r="E77" i="14"/>
  <c r="D80" i="14"/>
  <c r="D79" i="14"/>
  <c r="D78" i="14"/>
  <c r="D77" i="14"/>
  <c r="N36" i="14"/>
  <c r="N35" i="14"/>
  <c r="N34" i="14"/>
  <c r="N33" i="14"/>
  <c r="M36" i="14"/>
  <c r="M35" i="14"/>
  <c r="M34" i="14"/>
  <c r="M33" i="14"/>
  <c r="L36" i="14"/>
  <c r="L35" i="14"/>
  <c r="L34" i="14"/>
  <c r="L33" i="14"/>
  <c r="F36" i="14"/>
  <c r="F35" i="14"/>
  <c r="F34" i="14"/>
  <c r="F33" i="14"/>
  <c r="E36" i="14"/>
  <c r="E35" i="14"/>
  <c r="E34" i="14"/>
  <c r="E33" i="14"/>
  <c r="D36" i="14"/>
  <c r="D35" i="14"/>
  <c r="D34" i="14"/>
  <c r="D33" i="14"/>
  <c r="O34" i="12"/>
  <c r="N34" i="12"/>
  <c r="M34" i="12"/>
  <c r="O33" i="12"/>
  <c r="N33" i="12"/>
  <c r="M33" i="12"/>
  <c r="O32" i="12"/>
  <c r="N32" i="12"/>
  <c r="M32" i="12"/>
  <c r="O31" i="12"/>
  <c r="N31" i="12"/>
  <c r="M31" i="12"/>
  <c r="J34" i="12"/>
  <c r="I34" i="12"/>
  <c r="H34" i="12"/>
  <c r="J33" i="12"/>
  <c r="I33" i="12"/>
  <c r="H33" i="12"/>
  <c r="J32" i="12"/>
  <c r="I32" i="12"/>
  <c r="H32" i="12"/>
  <c r="J31" i="12"/>
  <c r="I31" i="12"/>
  <c r="H31" i="12"/>
  <c r="E34" i="12"/>
  <c r="D34" i="12"/>
  <c r="E33" i="12"/>
  <c r="D33" i="12"/>
  <c r="E32" i="12"/>
  <c r="D32" i="12"/>
  <c r="E31" i="12"/>
  <c r="D31" i="12"/>
  <c r="L80" i="11"/>
  <c r="K80" i="11"/>
  <c r="J80" i="11"/>
  <c r="L79" i="11"/>
  <c r="K79" i="11"/>
  <c r="J79" i="11"/>
  <c r="L78" i="11"/>
  <c r="K78" i="11"/>
  <c r="J78" i="11"/>
  <c r="L77" i="11"/>
  <c r="K77" i="11"/>
  <c r="J77" i="11"/>
  <c r="F80" i="11"/>
  <c r="E80" i="11"/>
  <c r="D80" i="11"/>
  <c r="F79" i="11"/>
  <c r="E79" i="11"/>
  <c r="D79" i="11"/>
  <c r="F78" i="11"/>
  <c r="E78" i="11"/>
  <c r="D78" i="11"/>
  <c r="F77" i="11"/>
  <c r="E77" i="11"/>
  <c r="D77" i="11"/>
  <c r="N35" i="11"/>
  <c r="M35" i="11"/>
  <c r="L35" i="11"/>
  <c r="N34" i="11"/>
  <c r="M34" i="11"/>
  <c r="L34" i="11"/>
  <c r="N33" i="11"/>
  <c r="M33" i="11"/>
  <c r="L33" i="11"/>
  <c r="N32" i="11"/>
  <c r="M32" i="11"/>
  <c r="L32" i="11"/>
  <c r="F35" i="11"/>
  <c r="E35" i="11"/>
  <c r="D35" i="11"/>
  <c r="F34" i="11"/>
  <c r="E34" i="11"/>
  <c r="D34" i="11"/>
  <c r="F33" i="11"/>
  <c r="E33" i="11"/>
  <c r="D33" i="11"/>
  <c r="F32" i="11"/>
  <c r="E32" i="11"/>
  <c r="D32" i="11"/>
  <c r="O35" i="9"/>
  <c r="N35" i="9"/>
  <c r="M35" i="9"/>
  <c r="O34" i="9"/>
  <c r="N34" i="9"/>
  <c r="M34" i="9"/>
  <c r="O33" i="9"/>
  <c r="N33" i="9"/>
  <c r="M33" i="9"/>
  <c r="O32" i="9"/>
  <c r="N32" i="9"/>
  <c r="M32" i="9"/>
  <c r="J35" i="9"/>
  <c r="I35" i="9"/>
  <c r="H35" i="9"/>
  <c r="J34" i="9"/>
  <c r="I34" i="9"/>
  <c r="H34" i="9"/>
  <c r="J33" i="9"/>
  <c r="I33" i="9"/>
  <c r="H33" i="9"/>
  <c r="J32" i="9"/>
  <c r="I32" i="9"/>
  <c r="H32" i="9"/>
  <c r="E35" i="9"/>
  <c r="D35" i="9"/>
  <c r="E34" i="9"/>
  <c r="D34" i="9"/>
  <c r="E33" i="9"/>
  <c r="D33" i="9"/>
  <c r="E32" i="9"/>
  <c r="D32" i="9"/>
  <c r="C35" i="9"/>
  <c r="C34" i="9"/>
  <c r="C33" i="9"/>
  <c r="P36" i="8"/>
  <c r="O36" i="8"/>
  <c r="N36" i="8"/>
  <c r="M36" i="8"/>
  <c r="L36" i="8"/>
  <c r="K36" i="8"/>
  <c r="P35" i="8"/>
  <c r="O35" i="8"/>
  <c r="N35" i="8"/>
  <c r="M35" i="8"/>
  <c r="L35" i="8"/>
  <c r="K35" i="8"/>
  <c r="P34" i="8"/>
  <c r="O34" i="8"/>
  <c r="N34" i="8"/>
  <c r="M34" i="8"/>
  <c r="L34" i="8"/>
  <c r="K34" i="8"/>
  <c r="P33" i="8"/>
  <c r="O33" i="8"/>
  <c r="N33" i="8"/>
  <c r="M33" i="8"/>
  <c r="L33" i="8"/>
  <c r="K33" i="8"/>
  <c r="I36" i="8"/>
  <c r="H36" i="8"/>
  <c r="G36" i="8"/>
  <c r="F36" i="8"/>
  <c r="E36" i="8"/>
  <c r="D36" i="8"/>
  <c r="I35" i="8"/>
  <c r="H35" i="8"/>
  <c r="G35" i="8"/>
  <c r="F35" i="8"/>
  <c r="E35" i="8"/>
  <c r="D35" i="8"/>
  <c r="I34" i="8"/>
  <c r="H34" i="8"/>
  <c r="G34" i="8"/>
  <c r="F34" i="8"/>
  <c r="E34" i="8"/>
  <c r="D34" i="8"/>
  <c r="I33" i="8"/>
  <c r="H33" i="8"/>
  <c r="G33" i="8"/>
  <c r="F33" i="8"/>
  <c r="E33" i="8"/>
  <c r="D33" i="8"/>
  <c r="E31" i="35" l="1"/>
  <c r="E32" i="32"/>
  <c r="F31" i="32"/>
  <c r="G30" i="32"/>
  <c r="C30" i="21"/>
  <c r="C29" i="21"/>
  <c r="C29" i="7"/>
  <c r="C80" i="7"/>
  <c r="C32" i="21"/>
  <c r="C31" i="21"/>
  <c r="R9" i="14" l="1"/>
  <c r="S9" i="14"/>
  <c r="T9" i="14"/>
  <c r="T36" i="14" s="1"/>
  <c r="U9" i="14"/>
  <c r="U36" i="14" s="1"/>
  <c r="R10" i="14"/>
  <c r="S10" i="14"/>
  <c r="T10" i="14"/>
  <c r="T37" i="14" s="1"/>
  <c r="U10" i="14"/>
  <c r="R11" i="14"/>
  <c r="S11" i="14"/>
  <c r="T11" i="14"/>
  <c r="T38" i="14" s="1"/>
  <c r="U11" i="14"/>
  <c r="R12" i="14"/>
  <c r="S12" i="14"/>
  <c r="V12" i="14" s="1"/>
  <c r="T12" i="14"/>
  <c r="T39" i="14" s="1"/>
  <c r="U12" i="14"/>
  <c r="R13" i="14"/>
  <c r="R40" i="14" s="1"/>
  <c r="S13" i="14"/>
  <c r="V13" i="14" s="1"/>
  <c r="T13" i="14"/>
  <c r="T40" i="14" s="1"/>
  <c r="U13" i="14"/>
  <c r="U40" i="14" s="1"/>
  <c r="R14" i="14"/>
  <c r="S14" i="14"/>
  <c r="V14" i="14" s="1"/>
  <c r="T14" i="14"/>
  <c r="T41" i="14" s="1"/>
  <c r="U14" i="14"/>
  <c r="T15" i="14"/>
  <c r="U15" i="14"/>
  <c r="U42" i="14" s="1"/>
  <c r="T16" i="14"/>
  <c r="U16" i="14"/>
  <c r="V16" i="14"/>
  <c r="R17" i="14"/>
  <c r="R44" i="14" s="1"/>
  <c r="S17" i="14"/>
  <c r="T17" i="14"/>
  <c r="T44" i="14" s="1"/>
  <c r="U17" i="14"/>
  <c r="U44" i="14" s="1"/>
  <c r="R18" i="14"/>
  <c r="S18" i="14"/>
  <c r="T18" i="14"/>
  <c r="T45" i="14" s="1"/>
  <c r="U18" i="14"/>
  <c r="U45" i="14" s="1"/>
  <c r="R19" i="14"/>
  <c r="R46" i="14" s="1"/>
  <c r="S19" i="14"/>
  <c r="T19" i="14"/>
  <c r="U19" i="14"/>
  <c r="U46" i="14" s="1"/>
  <c r="R20" i="14"/>
  <c r="R47" i="14" s="1"/>
  <c r="S20" i="14"/>
  <c r="T20" i="14"/>
  <c r="U20" i="14"/>
  <c r="U47" i="14" s="1"/>
  <c r="V20" i="14"/>
  <c r="R21" i="14"/>
  <c r="S21" i="14"/>
  <c r="T21" i="14"/>
  <c r="T48" i="14" s="1"/>
  <c r="U21" i="14"/>
  <c r="U48" i="14" s="1"/>
  <c r="R22" i="14"/>
  <c r="S22" i="14"/>
  <c r="T22" i="14"/>
  <c r="T49" i="14" s="1"/>
  <c r="U22" i="14"/>
  <c r="U49" i="14" s="1"/>
  <c r="R23" i="14"/>
  <c r="S23" i="14"/>
  <c r="T23" i="14"/>
  <c r="T50" i="14" s="1"/>
  <c r="U23" i="14"/>
  <c r="U50" i="14" s="1"/>
  <c r="R24" i="14"/>
  <c r="S24" i="14"/>
  <c r="T24" i="14"/>
  <c r="T51" i="14" s="1"/>
  <c r="U24" i="14"/>
  <c r="U51" i="14" s="1"/>
  <c r="R25" i="14"/>
  <c r="S25" i="14"/>
  <c r="T25" i="14"/>
  <c r="T52" i="14" s="1"/>
  <c r="U25" i="14"/>
  <c r="U52" i="14" s="1"/>
  <c r="R26" i="14"/>
  <c r="S26" i="14"/>
  <c r="T26" i="14"/>
  <c r="T53" i="14" s="1"/>
  <c r="U26" i="14"/>
  <c r="R27" i="14"/>
  <c r="S27" i="14"/>
  <c r="S54" i="14" s="1"/>
  <c r="T27" i="14"/>
  <c r="T54" i="14" s="1"/>
  <c r="U27" i="14"/>
  <c r="R28" i="14"/>
  <c r="S28" i="14"/>
  <c r="V28" i="14" s="1"/>
  <c r="T28" i="14"/>
  <c r="T55" i="14" s="1"/>
  <c r="U28" i="14"/>
  <c r="U55" i="14" s="1"/>
  <c r="R29" i="14"/>
  <c r="S29" i="14"/>
  <c r="V29" i="14" s="1"/>
  <c r="T29" i="14"/>
  <c r="T56" i="14" s="1"/>
  <c r="U29" i="14"/>
  <c r="U56" i="14" s="1"/>
  <c r="R30" i="14"/>
  <c r="R57" i="14" s="1"/>
  <c r="S30" i="14"/>
  <c r="V30" i="14" s="1"/>
  <c r="T30" i="14"/>
  <c r="T57" i="14" s="1"/>
  <c r="U30" i="14"/>
  <c r="R36" i="14"/>
  <c r="S36" i="14"/>
  <c r="R37" i="14"/>
  <c r="S37" i="14"/>
  <c r="U37" i="14"/>
  <c r="R38" i="14"/>
  <c r="U38" i="14"/>
  <c r="R39" i="14"/>
  <c r="U39" i="14"/>
  <c r="R41" i="14"/>
  <c r="S41" i="14"/>
  <c r="U41" i="14"/>
  <c r="T43" i="14"/>
  <c r="U43" i="14"/>
  <c r="S44" i="14"/>
  <c r="R45" i="14"/>
  <c r="S45" i="14"/>
  <c r="S46" i="14"/>
  <c r="T46" i="14"/>
  <c r="S47" i="14"/>
  <c r="T47" i="14"/>
  <c r="R48" i="14"/>
  <c r="S48" i="14"/>
  <c r="R49" i="14"/>
  <c r="S49" i="14"/>
  <c r="R50" i="14"/>
  <c r="S50" i="14"/>
  <c r="R51" i="14"/>
  <c r="S51" i="14"/>
  <c r="R52" i="14"/>
  <c r="S52" i="14"/>
  <c r="R53" i="14"/>
  <c r="U53" i="14"/>
  <c r="R54" i="14"/>
  <c r="U54" i="14"/>
  <c r="R55" i="14"/>
  <c r="R56" i="14"/>
  <c r="S56" i="14"/>
  <c r="U57" i="14"/>
  <c r="C30" i="31"/>
  <c r="C32" i="31"/>
  <c r="C31" i="31"/>
  <c r="C29" i="31"/>
  <c r="V24" i="14" l="1"/>
  <c r="V26" i="14"/>
  <c r="V11" i="14"/>
  <c r="S55" i="14"/>
  <c r="V19" i="14"/>
  <c r="V18" i="14"/>
  <c r="V17" i="14"/>
  <c r="V27" i="14"/>
  <c r="V9" i="14"/>
  <c r="V25" i="14"/>
  <c r="V15" i="14"/>
  <c r="V10" i="14"/>
  <c r="S57" i="14"/>
  <c r="S53" i="14"/>
  <c r="T42" i="14"/>
  <c r="S40" i="14"/>
  <c r="S39" i="14"/>
  <c r="S38" i="14"/>
  <c r="V23" i="14"/>
  <c r="V22" i="14"/>
  <c r="V21" i="14"/>
  <c r="F34" i="35"/>
  <c r="E34" i="35"/>
  <c r="D34" i="35"/>
  <c r="C34" i="35"/>
  <c r="B34" i="35"/>
  <c r="F33" i="35"/>
  <c r="E33" i="35"/>
  <c r="D33" i="35"/>
  <c r="C33" i="35"/>
  <c r="B33" i="35"/>
  <c r="F32" i="35"/>
  <c r="E32" i="35"/>
  <c r="D32" i="35"/>
  <c r="C32" i="35"/>
  <c r="B32" i="35"/>
  <c r="F31" i="35"/>
  <c r="D31" i="35"/>
  <c r="C31" i="35"/>
  <c r="B31" i="35"/>
  <c r="B34" i="34"/>
  <c r="F28" i="34"/>
  <c r="B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33" i="33"/>
  <c r="G31" i="33"/>
  <c r="E31" i="33"/>
  <c r="D31" i="33"/>
  <c r="C31" i="33"/>
  <c r="F27" i="33"/>
  <c r="F31" i="33" s="1"/>
  <c r="F26" i="33"/>
  <c r="F25" i="33"/>
  <c r="H24" i="33"/>
  <c r="F24" i="33"/>
  <c r="F23" i="33"/>
  <c r="F22" i="33"/>
  <c r="F21" i="33"/>
  <c r="H20" i="33"/>
  <c r="F20" i="33"/>
  <c r="F19" i="33"/>
  <c r="F18" i="33"/>
  <c r="H17" i="33"/>
  <c r="F17" i="33"/>
  <c r="F16" i="33"/>
  <c r="H16" i="33" s="1"/>
  <c r="H15" i="33"/>
  <c r="F15" i="33"/>
  <c r="F14" i="33"/>
  <c r="H14" i="33" s="1"/>
  <c r="H13" i="33"/>
  <c r="F13" i="33"/>
  <c r="F12" i="33"/>
  <c r="H12" i="33" s="1"/>
  <c r="H11" i="33"/>
  <c r="F11" i="33"/>
  <c r="E10" i="33"/>
  <c r="F10" i="33" s="1"/>
  <c r="H10" i="33" s="1"/>
  <c r="D10" i="33"/>
  <c r="C9" i="33"/>
  <c r="F9" i="33" s="1"/>
  <c r="H9" i="33" s="1"/>
  <c r="C8" i="33"/>
  <c r="F8" i="33" s="1"/>
  <c r="H8" i="33" s="1"/>
  <c r="G33" i="32"/>
  <c r="F33" i="32"/>
  <c r="E33" i="32"/>
  <c r="G32" i="32"/>
  <c r="F32" i="32"/>
  <c r="G31" i="32"/>
  <c r="E31" i="32"/>
  <c r="F30" i="32"/>
  <c r="E30" i="32"/>
  <c r="D28" i="32"/>
  <c r="D32" i="32" s="1"/>
  <c r="C28" i="32"/>
  <c r="C33" i="32" s="1"/>
  <c r="D27" i="32"/>
  <c r="D30" i="32" s="1"/>
  <c r="C27" i="32"/>
  <c r="D26" i="32"/>
  <c r="C26" i="32"/>
  <c r="D25" i="32"/>
  <c r="C25" i="32"/>
  <c r="D24" i="32"/>
  <c r="C24" i="32"/>
  <c r="D23" i="32"/>
  <c r="D31" i="32" s="1"/>
  <c r="C23" i="32"/>
  <c r="D22" i="32"/>
  <c r="C22" i="32"/>
  <c r="D21" i="32"/>
  <c r="C21" i="32"/>
  <c r="D20" i="32"/>
  <c r="C20" i="32"/>
  <c r="D19" i="32"/>
  <c r="C19" i="32"/>
  <c r="D18" i="32"/>
  <c r="C18" i="32"/>
  <c r="D17" i="32"/>
  <c r="C17" i="32"/>
  <c r="D16" i="32"/>
  <c r="C16" i="32"/>
  <c r="D15" i="32"/>
  <c r="C15" i="32"/>
  <c r="D14" i="32"/>
  <c r="C14" i="32"/>
  <c r="D13" i="32"/>
  <c r="C13" i="32"/>
  <c r="D12" i="32"/>
  <c r="C12" i="32"/>
  <c r="D11" i="32"/>
  <c r="C11" i="32"/>
  <c r="D10" i="32"/>
  <c r="C10" i="32"/>
  <c r="D9" i="32"/>
  <c r="C9" i="32"/>
  <c r="D8" i="32"/>
  <c r="C8" i="32"/>
  <c r="AK106" i="30"/>
  <c r="AJ106" i="30"/>
  <c r="AH106" i="30"/>
  <c r="AG106" i="30"/>
  <c r="AE106" i="30"/>
  <c r="AD106" i="30"/>
  <c r="E68" i="30"/>
  <c r="D68" i="30"/>
  <c r="C68" i="30"/>
  <c r="B68" i="30"/>
  <c r="E67" i="30"/>
  <c r="D67" i="30"/>
  <c r="C67" i="30"/>
  <c r="B67" i="30"/>
  <c r="E66" i="30"/>
  <c r="D66" i="30"/>
  <c r="C66" i="30"/>
  <c r="B66" i="30"/>
  <c r="E65" i="30"/>
  <c r="D65" i="30"/>
  <c r="B65" i="30"/>
  <c r="C62" i="30"/>
  <c r="C65" i="30" s="1"/>
  <c r="L33" i="30"/>
  <c r="K33" i="30"/>
  <c r="J33" i="30"/>
  <c r="H33" i="30"/>
  <c r="F33" i="30"/>
  <c r="E33" i="30"/>
  <c r="D33" i="30"/>
  <c r="C33" i="30"/>
  <c r="B33" i="30"/>
  <c r="L32" i="30"/>
  <c r="K32" i="30"/>
  <c r="J32" i="30"/>
  <c r="H32" i="30"/>
  <c r="F32" i="30"/>
  <c r="E32" i="30"/>
  <c r="D32" i="30"/>
  <c r="C32" i="30"/>
  <c r="B32" i="30"/>
  <c r="L31" i="30"/>
  <c r="K31" i="30"/>
  <c r="J31" i="30"/>
  <c r="H31" i="30"/>
  <c r="F31" i="30"/>
  <c r="E31" i="30"/>
  <c r="D31" i="30"/>
  <c r="C31" i="30"/>
  <c r="B31" i="30"/>
  <c r="L30" i="30"/>
  <c r="F30" i="30"/>
  <c r="K30" i="30"/>
  <c r="J30" i="30"/>
  <c r="E30" i="30"/>
  <c r="D30" i="30"/>
  <c r="H30" i="30"/>
  <c r="C30" i="30"/>
  <c r="P60" i="29"/>
  <c r="O60" i="29"/>
  <c r="P58" i="29"/>
  <c r="O58" i="29"/>
  <c r="P57" i="29"/>
  <c r="O57" i="29"/>
  <c r="P56" i="29"/>
  <c r="O56" i="29"/>
  <c r="P55" i="29"/>
  <c r="O55" i="29"/>
  <c r="P54" i="29"/>
  <c r="O54" i="29"/>
  <c r="P53" i="29"/>
  <c r="O53" i="29"/>
  <c r="P52" i="29"/>
  <c r="O52" i="29"/>
  <c r="P51" i="29"/>
  <c r="O51" i="29"/>
  <c r="P50" i="29"/>
  <c r="O50" i="29"/>
  <c r="P49" i="29"/>
  <c r="O49" i="29"/>
  <c r="P48" i="29"/>
  <c r="O48" i="29"/>
  <c r="P47" i="29"/>
  <c r="O47" i="29"/>
  <c r="P46" i="29"/>
  <c r="O46" i="29"/>
  <c r="P45" i="29"/>
  <c r="O45" i="29"/>
  <c r="P44" i="29"/>
  <c r="O44" i="29"/>
  <c r="P43" i="29"/>
  <c r="O43" i="29"/>
  <c r="P42" i="29"/>
  <c r="O42" i="29"/>
  <c r="P41" i="29"/>
  <c r="O41" i="29"/>
  <c r="P40" i="29"/>
  <c r="O40" i="29"/>
  <c r="K35" i="29"/>
  <c r="I35" i="29"/>
  <c r="H35" i="29"/>
  <c r="G35" i="29"/>
  <c r="F35" i="29"/>
  <c r="E35" i="29"/>
  <c r="D35" i="29"/>
  <c r="C35" i="29"/>
  <c r="K34" i="29"/>
  <c r="I34" i="29"/>
  <c r="H34" i="29"/>
  <c r="G34" i="29"/>
  <c r="F34" i="29"/>
  <c r="E34" i="29"/>
  <c r="D34" i="29"/>
  <c r="C34" i="29"/>
  <c r="K33" i="29"/>
  <c r="I33" i="29"/>
  <c r="H33" i="29"/>
  <c r="G33" i="29"/>
  <c r="F33" i="29"/>
  <c r="E33" i="29"/>
  <c r="D33" i="29"/>
  <c r="C33" i="29"/>
  <c r="E32" i="29"/>
  <c r="D32" i="29"/>
  <c r="C32" i="29"/>
  <c r="P30" i="29"/>
  <c r="O30" i="29"/>
  <c r="P29" i="29"/>
  <c r="O29" i="29"/>
  <c r="K29" i="29"/>
  <c r="K32" i="29" s="1"/>
  <c r="H29" i="29"/>
  <c r="H32" i="29" s="1"/>
  <c r="G29" i="29"/>
  <c r="G32" i="29" s="1"/>
  <c r="F29" i="29"/>
  <c r="F32" i="29" s="1"/>
  <c r="P28" i="29"/>
  <c r="O28" i="29"/>
  <c r="P27" i="29"/>
  <c r="O27" i="29"/>
  <c r="P26" i="29"/>
  <c r="O26" i="29"/>
  <c r="P25" i="29"/>
  <c r="O25" i="29"/>
  <c r="P24" i="29"/>
  <c r="O24" i="29"/>
  <c r="P23" i="29"/>
  <c r="O23" i="29"/>
  <c r="P22" i="29"/>
  <c r="O22" i="29"/>
  <c r="P21" i="29"/>
  <c r="O21" i="29"/>
  <c r="P20" i="29"/>
  <c r="O20" i="29"/>
  <c r="P19" i="29"/>
  <c r="O19" i="29"/>
  <c r="P18" i="29"/>
  <c r="O18" i="29"/>
  <c r="P17" i="29"/>
  <c r="O17" i="29"/>
  <c r="P16" i="29"/>
  <c r="O16" i="29"/>
  <c r="P15" i="29"/>
  <c r="O15" i="29"/>
  <c r="P14" i="29"/>
  <c r="O14" i="29"/>
  <c r="P13" i="29"/>
  <c r="O13" i="29"/>
  <c r="P12" i="29"/>
  <c r="O12" i="29"/>
  <c r="P11" i="29"/>
  <c r="O11" i="29"/>
  <c r="P10" i="29"/>
  <c r="O10" i="29"/>
  <c r="E68" i="28"/>
  <c r="D68" i="28"/>
  <c r="C68" i="28"/>
  <c r="B62" i="28"/>
  <c r="B61" i="28"/>
  <c r="B60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L34" i="28"/>
  <c r="D34" i="28"/>
  <c r="H28" i="28"/>
  <c r="C28" i="28"/>
  <c r="B28" i="28"/>
  <c r="H27" i="28"/>
  <c r="C27" i="28"/>
  <c r="H26" i="28"/>
  <c r="C26" i="28"/>
  <c r="H25" i="28"/>
  <c r="B25" i="28" s="1"/>
  <c r="C25" i="28"/>
  <c r="H24" i="28"/>
  <c r="B24" i="28" s="1"/>
  <c r="C24" i="28"/>
  <c r="H23" i="28"/>
  <c r="B23" i="28" s="1"/>
  <c r="C23" i="28"/>
  <c r="H22" i="28"/>
  <c r="B22" i="28" s="1"/>
  <c r="C22" i="28"/>
  <c r="H21" i="28"/>
  <c r="B21" i="28" s="1"/>
  <c r="C21" i="28"/>
  <c r="H20" i="28"/>
  <c r="B20" i="28" s="1"/>
  <c r="C20" i="28"/>
  <c r="H19" i="28"/>
  <c r="C19" i="28"/>
  <c r="H18" i="28"/>
  <c r="B18" i="28" s="1"/>
  <c r="C18" i="28"/>
  <c r="H17" i="28"/>
  <c r="B17" i="28" s="1"/>
  <c r="C17" i="28"/>
  <c r="H16" i="28"/>
  <c r="B16" i="28" s="1"/>
  <c r="C16" i="28"/>
  <c r="H15" i="28"/>
  <c r="B15" i="28" s="1"/>
  <c r="C15" i="28"/>
  <c r="H14" i="28"/>
  <c r="B14" i="28" s="1"/>
  <c r="C14" i="28"/>
  <c r="H13" i="28"/>
  <c r="B13" i="28" s="1"/>
  <c r="C13" i="28"/>
  <c r="H12" i="28"/>
  <c r="C12" i="28"/>
  <c r="B12" i="28"/>
  <c r="H11" i="28"/>
  <c r="C11" i="28"/>
  <c r="B11" i="28" s="1"/>
  <c r="H10" i="28"/>
  <c r="C10" i="28"/>
  <c r="H9" i="28"/>
  <c r="C9" i="28"/>
  <c r="K29" i="26"/>
  <c r="H29" i="26"/>
  <c r="G29" i="26"/>
  <c r="D29" i="26" s="1"/>
  <c r="K28" i="26"/>
  <c r="H28" i="26"/>
  <c r="G28" i="26"/>
  <c r="D28" i="26" s="1"/>
  <c r="K27" i="26"/>
  <c r="I27" i="26" s="1"/>
  <c r="P57" i="26" s="1"/>
  <c r="G27" i="26"/>
  <c r="F27" i="26" s="1"/>
  <c r="O57" i="26" s="1"/>
  <c r="K26" i="26"/>
  <c r="I26" i="26" s="1"/>
  <c r="P56" i="26" s="1"/>
  <c r="H26" i="26"/>
  <c r="G26" i="26"/>
  <c r="D26" i="26" s="1"/>
  <c r="K25" i="26"/>
  <c r="I25" i="26" s="1"/>
  <c r="P55" i="26" s="1"/>
  <c r="H25" i="26"/>
  <c r="G25" i="26"/>
  <c r="D25" i="26" s="1"/>
  <c r="O25" i="26" s="1"/>
  <c r="K24" i="26"/>
  <c r="H24" i="26"/>
  <c r="G24" i="26"/>
  <c r="D24" i="26" s="1"/>
  <c r="K23" i="26"/>
  <c r="I23" i="26" s="1"/>
  <c r="P53" i="26" s="1"/>
  <c r="H23" i="26"/>
  <c r="G23" i="26"/>
  <c r="D23" i="26" s="1"/>
  <c r="O23" i="26" s="1"/>
  <c r="K22" i="26"/>
  <c r="I22" i="26" s="1"/>
  <c r="P52" i="26" s="1"/>
  <c r="H22" i="26"/>
  <c r="G22" i="26"/>
  <c r="D22" i="26" s="1"/>
  <c r="O22" i="26" s="1"/>
  <c r="K21" i="26"/>
  <c r="I21" i="26" s="1"/>
  <c r="P51" i="26" s="1"/>
  <c r="H21" i="26"/>
  <c r="G21" i="26"/>
  <c r="K20" i="26"/>
  <c r="I20" i="26" s="1"/>
  <c r="P50" i="26" s="1"/>
  <c r="H20" i="26"/>
  <c r="G20" i="26"/>
  <c r="K19" i="26"/>
  <c r="I19" i="26" s="1"/>
  <c r="P49" i="26" s="1"/>
  <c r="H19" i="26"/>
  <c r="G19" i="26"/>
  <c r="K18" i="26"/>
  <c r="I18" i="26" s="1"/>
  <c r="P48" i="26" s="1"/>
  <c r="H18" i="26"/>
  <c r="G18" i="26"/>
  <c r="D18" i="26" s="1"/>
  <c r="O18" i="26" s="1"/>
  <c r="K17" i="26"/>
  <c r="I17" i="26" s="1"/>
  <c r="P47" i="26" s="1"/>
  <c r="H17" i="26"/>
  <c r="G17" i="26"/>
  <c r="D17" i="26" s="1"/>
  <c r="O17" i="26" s="1"/>
  <c r="K16" i="26"/>
  <c r="I16" i="26" s="1"/>
  <c r="P46" i="26" s="1"/>
  <c r="H16" i="26"/>
  <c r="G16" i="26"/>
  <c r="D16" i="26" s="1"/>
  <c r="O16" i="26" s="1"/>
  <c r="K15" i="26"/>
  <c r="I15" i="26" s="1"/>
  <c r="P45" i="26" s="1"/>
  <c r="H15" i="26"/>
  <c r="G15" i="26"/>
  <c r="D15" i="26" s="1"/>
  <c r="O15" i="26" s="1"/>
  <c r="K14" i="26"/>
  <c r="I14" i="26" s="1"/>
  <c r="P44" i="26" s="1"/>
  <c r="H14" i="26"/>
  <c r="G14" i="26"/>
  <c r="F14" i="26" s="1"/>
  <c r="O44" i="26" s="1"/>
  <c r="K13" i="26"/>
  <c r="I13" i="26" s="1"/>
  <c r="P43" i="26" s="1"/>
  <c r="H13" i="26"/>
  <c r="E13" i="26" s="1"/>
  <c r="P13" i="26" s="1"/>
  <c r="G13" i="26"/>
  <c r="K12" i="26"/>
  <c r="I12" i="26" s="1"/>
  <c r="P42" i="26" s="1"/>
  <c r="H12" i="26"/>
  <c r="G12" i="26"/>
  <c r="F12" i="26" s="1"/>
  <c r="O42" i="26" s="1"/>
  <c r="K11" i="26"/>
  <c r="I11" i="26" s="1"/>
  <c r="P41" i="26" s="1"/>
  <c r="H11" i="26"/>
  <c r="G11" i="26"/>
  <c r="D11" i="26" s="1"/>
  <c r="O11" i="26" s="1"/>
  <c r="K10" i="26"/>
  <c r="I10" i="26" s="1"/>
  <c r="P40" i="26" s="1"/>
  <c r="H10" i="26"/>
  <c r="G10" i="26"/>
  <c r="D10" i="26" s="1"/>
  <c r="O10" i="26" s="1"/>
  <c r="K9" i="26"/>
  <c r="I9" i="26" s="1"/>
  <c r="P39" i="26" s="1"/>
  <c r="H9" i="26"/>
  <c r="G9" i="26"/>
  <c r="D9" i="26" s="1"/>
  <c r="O9" i="26" s="1"/>
  <c r="E66" i="25"/>
  <c r="D66" i="25"/>
  <c r="C66" i="25"/>
  <c r="B66" i="25"/>
  <c r="B65" i="25"/>
  <c r="B64" i="25"/>
  <c r="B63" i="25"/>
  <c r="B62" i="25"/>
  <c r="B61" i="25"/>
  <c r="B60" i="25"/>
  <c r="B58" i="25"/>
  <c r="B57" i="25"/>
  <c r="B56" i="25"/>
  <c r="B55" i="25"/>
  <c r="B54" i="25"/>
  <c r="B53" i="25"/>
  <c r="B52" i="25"/>
  <c r="B51" i="25"/>
  <c r="B50" i="25"/>
  <c r="C49" i="25"/>
  <c r="B49" i="25"/>
  <c r="B48" i="25"/>
  <c r="B47" i="25"/>
  <c r="B46" i="25"/>
  <c r="L29" i="25"/>
  <c r="K29" i="25"/>
  <c r="J29" i="25"/>
  <c r="I29" i="25"/>
  <c r="H29" i="25"/>
  <c r="F29" i="25"/>
  <c r="E29" i="25"/>
  <c r="D29" i="25"/>
  <c r="C29" i="25"/>
  <c r="H28" i="25"/>
  <c r="B28" i="25" s="1"/>
  <c r="C28" i="25"/>
  <c r="H27" i="25"/>
  <c r="C27" i="25"/>
  <c r="H26" i="25"/>
  <c r="C26" i="25"/>
  <c r="H25" i="25"/>
  <c r="C25" i="25"/>
  <c r="H24" i="25"/>
  <c r="C24" i="25"/>
  <c r="H23" i="25"/>
  <c r="B23" i="25" s="1"/>
  <c r="C23" i="25"/>
  <c r="H22" i="25"/>
  <c r="B22" i="25" s="1"/>
  <c r="C22" i="25"/>
  <c r="H21" i="25"/>
  <c r="C21" i="25"/>
  <c r="H20" i="25"/>
  <c r="B20" i="25" s="1"/>
  <c r="C20" i="25"/>
  <c r="H19" i="25"/>
  <c r="C19" i="25"/>
  <c r="H18" i="25"/>
  <c r="C18" i="25"/>
  <c r="H17" i="25"/>
  <c r="C17" i="25"/>
  <c r="H16" i="25"/>
  <c r="B16" i="25" s="1"/>
  <c r="C16" i="25"/>
  <c r="H15" i="25"/>
  <c r="B15" i="25" s="1"/>
  <c r="C15" i="25"/>
  <c r="K14" i="25"/>
  <c r="H14" i="25" s="1"/>
  <c r="F14" i="25"/>
  <c r="C14" i="25"/>
  <c r="L13" i="25"/>
  <c r="H13" i="25" s="1"/>
  <c r="C13" i="25"/>
  <c r="H12" i="25"/>
  <c r="F12" i="25"/>
  <c r="C12" i="25"/>
  <c r="B12" i="25"/>
  <c r="H11" i="25"/>
  <c r="C11" i="25"/>
  <c r="H10" i="25"/>
  <c r="C10" i="25"/>
  <c r="H9" i="25"/>
  <c r="C9" i="25"/>
  <c r="B9" i="25" s="1"/>
  <c r="K30" i="24"/>
  <c r="I30" i="24"/>
  <c r="P61" i="24" s="1"/>
  <c r="H30" i="24"/>
  <c r="E30" i="24" s="1"/>
  <c r="P30" i="24" s="1"/>
  <c r="G30" i="24"/>
  <c r="D30" i="24" s="1"/>
  <c r="K29" i="24"/>
  <c r="I29" i="24" s="1"/>
  <c r="P60" i="24" s="1"/>
  <c r="H29" i="24"/>
  <c r="E29" i="24" s="1"/>
  <c r="P29" i="24" s="1"/>
  <c r="G29" i="24"/>
  <c r="D29" i="24" s="1"/>
  <c r="K28" i="24"/>
  <c r="I28" i="24" s="1"/>
  <c r="P59" i="24" s="1"/>
  <c r="H28" i="24"/>
  <c r="G28" i="24"/>
  <c r="D28" i="24" s="1"/>
  <c r="O28" i="24" s="1"/>
  <c r="K27" i="24"/>
  <c r="I27" i="24" s="1"/>
  <c r="P58" i="24" s="1"/>
  <c r="H27" i="24"/>
  <c r="G27" i="24"/>
  <c r="D27" i="24" s="1"/>
  <c r="K26" i="24"/>
  <c r="I26" i="24" s="1"/>
  <c r="P57" i="24" s="1"/>
  <c r="H26" i="24"/>
  <c r="E26" i="24" s="1"/>
  <c r="P26" i="24" s="1"/>
  <c r="G26" i="24"/>
  <c r="D26" i="24"/>
  <c r="O26" i="24" s="1"/>
  <c r="K25" i="24"/>
  <c r="I25" i="24" s="1"/>
  <c r="P56" i="24" s="1"/>
  <c r="H25" i="24"/>
  <c r="E25" i="24" s="1"/>
  <c r="P25" i="24" s="1"/>
  <c r="G25" i="24"/>
  <c r="D25" i="24" s="1"/>
  <c r="K24" i="24"/>
  <c r="I24" i="24" s="1"/>
  <c r="P55" i="24" s="1"/>
  <c r="H24" i="24"/>
  <c r="G24" i="24"/>
  <c r="K23" i="24"/>
  <c r="I23" i="24" s="1"/>
  <c r="P54" i="24" s="1"/>
  <c r="H23" i="24"/>
  <c r="G23" i="24"/>
  <c r="D23" i="24" s="1"/>
  <c r="K22" i="24"/>
  <c r="I22" i="24" s="1"/>
  <c r="P53" i="24" s="1"/>
  <c r="H22" i="24"/>
  <c r="E22" i="24" s="1"/>
  <c r="P22" i="24" s="1"/>
  <c r="G22" i="24"/>
  <c r="D22" i="24"/>
  <c r="O22" i="24" s="1"/>
  <c r="K21" i="24"/>
  <c r="I21" i="24" s="1"/>
  <c r="P52" i="24" s="1"/>
  <c r="H21" i="24"/>
  <c r="G21" i="24"/>
  <c r="D21" i="24" s="1"/>
  <c r="K20" i="24"/>
  <c r="I20" i="24" s="1"/>
  <c r="P51" i="24" s="1"/>
  <c r="H20" i="24"/>
  <c r="G20" i="24"/>
  <c r="K19" i="24"/>
  <c r="I19" i="24" s="1"/>
  <c r="P50" i="24" s="1"/>
  <c r="H19" i="24"/>
  <c r="G19" i="24"/>
  <c r="D19" i="24" s="1"/>
  <c r="K18" i="24"/>
  <c r="I18" i="24" s="1"/>
  <c r="P49" i="24" s="1"/>
  <c r="H18" i="24"/>
  <c r="G18" i="24"/>
  <c r="K17" i="24"/>
  <c r="I17" i="24" s="1"/>
  <c r="P48" i="24" s="1"/>
  <c r="H17" i="24"/>
  <c r="G17" i="24"/>
  <c r="D17" i="24" s="1"/>
  <c r="K16" i="24"/>
  <c r="I16" i="24" s="1"/>
  <c r="P47" i="24" s="1"/>
  <c r="H16" i="24"/>
  <c r="G16" i="24"/>
  <c r="D16" i="24" s="1"/>
  <c r="O16" i="24" s="1"/>
  <c r="K15" i="24"/>
  <c r="I15" i="24" s="1"/>
  <c r="P46" i="24" s="1"/>
  <c r="H15" i="24"/>
  <c r="G15" i="24"/>
  <c r="D15" i="24" s="1"/>
  <c r="K14" i="24"/>
  <c r="I14" i="24" s="1"/>
  <c r="P45" i="24" s="1"/>
  <c r="H14" i="24"/>
  <c r="G14" i="24"/>
  <c r="F14" i="24" s="1"/>
  <c r="O45" i="24" s="1"/>
  <c r="K13" i="24"/>
  <c r="I13" i="24" s="1"/>
  <c r="P44" i="24" s="1"/>
  <c r="H13" i="24"/>
  <c r="G13" i="24"/>
  <c r="D13" i="24" s="1"/>
  <c r="K12" i="24"/>
  <c r="I12" i="24" s="1"/>
  <c r="P43" i="24" s="1"/>
  <c r="H12" i="24"/>
  <c r="G12" i="24"/>
  <c r="D12" i="24" s="1"/>
  <c r="O12" i="24" s="1"/>
  <c r="K11" i="24"/>
  <c r="I11" i="24" s="1"/>
  <c r="P42" i="24" s="1"/>
  <c r="H11" i="24"/>
  <c r="G11" i="24"/>
  <c r="D11" i="24" s="1"/>
  <c r="K10" i="24"/>
  <c r="I10" i="24" s="1"/>
  <c r="P41" i="24" s="1"/>
  <c r="H10" i="24"/>
  <c r="G10" i="24"/>
  <c r="E10" i="24"/>
  <c r="P10" i="24" s="1"/>
  <c r="D10" i="24"/>
  <c r="O10" i="24" s="1"/>
  <c r="B66" i="23"/>
  <c r="B65" i="23"/>
  <c r="B64" i="23"/>
  <c r="B63" i="23"/>
  <c r="B62" i="23"/>
  <c r="B61" i="23"/>
  <c r="B60" i="23"/>
  <c r="B58" i="23"/>
  <c r="B57" i="23"/>
  <c r="B56" i="23"/>
  <c r="B55" i="23"/>
  <c r="B54" i="23"/>
  <c r="B53" i="23"/>
  <c r="B52" i="23"/>
  <c r="B51" i="23"/>
  <c r="B50" i="23"/>
  <c r="B49" i="23"/>
  <c r="B48" i="23"/>
  <c r="B47" i="23"/>
  <c r="B46" i="23"/>
  <c r="H28" i="23"/>
  <c r="C28" i="23"/>
  <c r="H27" i="23"/>
  <c r="B27" i="23" s="1"/>
  <c r="C27" i="23"/>
  <c r="H26" i="23"/>
  <c r="B26" i="23" s="1"/>
  <c r="C26" i="23"/>
  <c r="H25" i="23"/>
  <c r="C25" i="23"/>
  <c r="H24" i="23"/>
  <c r="B24" i="23" s="1"/>
  <c r="C24" i="23"/>
  <c r="H23" i="23"/>
  <c r="C23" i="23"/>
  <c r="H22" i="23"/>
  <c r="C22" i="23"/>
  <c r="B22" i="23"/>
  <c r="H21" i="23"/>
  <c r="C21" i="23"/>
  <c r="H20" i="23"/>
  <c r="C20" i="23"/>
  <c r="H19" i="23"/>
  <c r="C19" i="23"/>
  <c r="H18" i="23"/>
  <c r="C18" i="23"/>
  <c r="H17" i="23"/>
  <c r="C17" i="23"/>
  <c r="H16" i="23"/>
  <c r="C16" i="23"/>
  <c r="H15" i="23"/>
  <c r="C15" i="23"/>
  <c r="B15" i="23" s="1"/>
  <c r="H14" i="23"/>
  <c r="B14" i="23" s="1"/>
  <c r="C14" i="23"/>
  <c r="H13" i="23"/>
  <c r="F13" i="23"/>
  <c r="E13" i="23"/>
  <c r="C13" i="23"/>
  <c r="H12" i="23"/>
  <c r="F12" i="23"/>
  <c r="D12" i="23"/>
  <c r="C12" i="23" s="1"/>
  <c r="H11" i="23"/>
  <c r="C11" i="23"/>
  <c r="H10" i="23"/>
  <c r="C10" i="23"/>
  <c r="B10" i="23" s="1"/>
  <c r="H9" i="23"/>
  <c r="C9" i="23"/>
  <c r="H8" i="23"/>
  <c r="C8" i="23"/>
  <c r="K28" i="22"/>
  <c r="E28" i="22" s="1"/>
  <c r="H28" i="22"/>
  <c r="G28" i="22"/>
  <c r="F28" i="22" s="1"/>
  <c r="K27" i="22"/>
  <c r="I27" i="22" s="1"/>
  <c r="H27" i="22"/>
  <c r="G27" i="22"/>
  <c r="K26" i="22"/>
  <c r="I26" i="22" s="1"/>
  <c r="H26" i="22"/>
  <c r="G26" i="22"/>
  <c r="K25" i="22"/>
  <c r="I25" i="22" s="1"/>
  <c r="H25" i="22"/>
  <c r="G25" i="22"/>
  <c r="D25" i="22" s="1"/>
  <c r="K24" i="22"/>
  <c r="I24" i="22" s="1"/>
  <c r="H24" i="22"/>
  <c r="G24" i="22"/>
  <c r="K23" i="22"/>
  <c r="I23" i="22" s="1"/>
  <c r="H23" i="22"/>
  <c r="G23" i="22"/>
  <c r="F23" i="22" s="1"/>
  <c r="K22" i="22"/>
  <c r="I22" i="22" s="1"/>
  <c r="H22" i="22"/>
  <c r="G22" i="22"/>
  <c r="F22" i="22" s="1"/>
  <c r="E22" i="22"/>
  <c r="K21" i="22"/>
  <c r="I21" i="22" s="1"/>
  <c r="H21" i="22"/>
  <c r="E21" i="22" s="1"/>
  <c r="G21" i="22"/>
  <c r="K20" i="22"/>
  <c r="I20" i="22" s="1"/>
  <c r="H20" i="22"/>
  <c r="G20" i="22"/>
  <c r="F20" i="22" s="1"/>
  <c r="K19" i="22"/>
  <c r="I19" i="22" s="1"/>
  <c r="H19" i="22"/>
  <c r="E19" i="22" s="1"/>
  <c r="G19" i="22"/>
  <c r="D19" i="22" s="1"/>
  <c r="K18" i="22"/>
  <c r="I18" i="22" s="1"/>
  <c r="H18" i="22"/>
  <c r="G18" i="22"/>
  <c r="D18" i="22" s="1"/>
  <c r="K17" i="22"/>
  <c r="I17" i="22" s="1"/>
  <c r="H17" i="22"/>
  <c r="G17" i="22"/>
  <c r="D17" i="22" s="1"/>
  <c r="K16" i="22"/>
  <c r="I16" i="22"/>
  <c r="H16" i="22"/>
  <c r="E16" i="22" s="1"/>
  <c r="G16" i="22"/>
  <c r="D16" i="22" s="1"/>
  <c r="K15" i="22"/>
  <c r="I15" i="22" s="1"/>
  <c r="H15" i="22"/>
  <c r="E15" i="22" s="1"/>
  <c r="G15" i="22"/>
  <c r="K14" i="22"/>
  <c r="I14" i="22" s="1"/>
  <c r="H14" i="22"/>
  <c r="G14" i="22"/>
  <c r="D14" i="22"/>
  <c r="K13" i="22"/>
  <c r="I13" i="22" s="1"/>
  <c r="H13" i="22"/>
  <c r="G13" i="22"/>
  <c r="K12" i="22"/>
  <c r="I12" i="22" s="1"/>
  <c r="H12" i="22"/>
  <c r="G12" i="22"/>
  <c r="D12" i="22" s="1"/>
  <c r="K11" i="22"/>
  <c r="I11" i="22"/>
  <c r="H11" i="22"/>
  <c r="E11" i="22" s="1"/>
  <c r="G11" i="22"/>
  <c r="K10" i="22"/>
  <c r="I10" i="22" s="1"/>
  <c r="H10" i="22"/>
  <c r="F10" i="22" s="1"/>
  <c r="G10" i="22"/>
  <c r="D10" i="22" s="1"/>
  <c r="K9" i="22"/>
  <c r="I9" i="22" s="1"/>
  <c r="H9" i="22"/>
  <c r="G9" i="22"/>
  <c r="K8" i="22"/>
  <c r="I8" i="22" s="1"/>
  <c r="H8" i="22"/>
  <c r="G8" i="22"/>
  <c r="D32" i="20"/>
  <c r="T36" i="20"/>
  <c r="S36" i="20"/>
  <c r="R36" i="20"/>
  <c r="Q36" i="20"/>
  <c r="P36" i="20"/>
  <c r="N36" i="20"/>
  <c r="C30" i="20"/>
  <c r="T35" i="20"/>
  <c r="S35" i="20"/>
  <c r="R35" i="20"/>
  <c r="Q35" i="20"/>
  <c r="P35" i="20"/>
  <c r="N35" i="20"/>
  <c r="C29" i="20"/>
  <c r="T34" i="20"/>
  <c r="S34" i="20"/>
  <c r="R34" i="20"/>
  <c r="Q34" i="20"/>
  <c r="P34" i="20"/>
  <c r="N34" i="20"/>
  <c r="C28" i="20"/>
  <c r="T33" i="20"/>
  <c r="S33" i="20"/>
  <c r="R33" i="20"/>
  <c r="Q33" i="20"/>
  <c r="P33" i="20"/>
  <c r="O33" i="20" s="1"/>
  <c r="N33" i="20"/>
  <c r="C27" i="20"/>
  <c r="T32" i="20"/>
  <c r="S32" i="20"/>
  <c r="R32" i="20"/>
  <c r="Q32" i="20"/>
  <c r="P32" i="20"/>
  <c r="N32" i="20"/>
  <c r="C26" i="20"/>
  <c r="T31" i="20"/>
  <c r="S31" i="20"/>
  <c r="R31" i="20"/>
  <c r="Q31" i="20"/>
  <c r="P31" i="20"/>
  <c r="N31" i="20"/>
  <c r="C25" i="20"/>
  <c r="T30" i="20"/>
  <c r="S30" i="20"/>
  <c r="R30" i="20"/>
  <c r="Q30" i="20"/>
  <c r="P30" i="20"/>
  <c r="N30" i="20"/>
  <c r="C24" i="20"/>
  <c r="T29" i="20"/>
  <c r="S29" i="20"/>
  <c r="R29" i="20"/>
  <c r="Q29" i="20"/>
  <c r="P29" i="20"/>
  <c r="O29" i="20" s="1"/>
  <c r="N29" i="20"/>
  <c r="C23" i="20"/>
  <c r="T28" i="20"/>
  <c r="S28" i="20"/>
  <c r="R28" i="20"/>
  <c r="Q28" i="20"/>
  <c r="P28" i="20"/>
  <c r="N28" i="20"/>
  <c r="C22" i="20"/>
  <c r="T27" i="20"/>
  <c r="S27" i="20"/>
  <c r="R27" i="20"/>
  <c r="Q27" i="20"/>
  <c r="P27" i="20"/>
  <c r="N27" i="20"/>
  <c r="C21" i="20"/>
  <c r="T26" i="20"/>
  <c r="S26" i="20"/>
  <c r="R26" i="20"/>
  <c r="Q26" i="20"/>
  <c r="P26" i="20"/>
  <c r="N26" i="20"/>
  <c r="C20" i="20"/>
  <c r="T25" i="20"/>
  <c r="S25" i="20"/>
  <c r="R25" i="20"/>
  <c r="Q25" i="20"/>
  <c r="P25" i="20"/>
  <c r="O25" i="20" s="1"/>
  <c r="N25" i="20"/>
  <c r="C19" i="20"/>
  <c r="T24" i="20"/>
  <c r="S24" i="20"/>
  <c r="R24" i="20"/>
  <c r="Q24" i="20"/>
  <c r="P24" i="20"/>
  <c r="N24" i="20"/>
  <c r="C18" i="20"/>
  <c r="T23" i="20"/>
  <c r="S23" i="20"/>
  <c r="R23" i="20"/>
  <c r="Q23" i="20"/>
  <c r="P23" i="20"/>
  <c r="N23" i="20"/>
  <c r="C17" i="20"/>
  <c r="T22" i="20"/>
  <c r="S22" i="20"/>
  <c r="R22" i="20"/>
  <c r="Q22" i="20"/>
  <c r="P22" i="20"/>
  <c r="N22" i="20"/>
  <c r="C16" i="20"/>
  <c r="T21" i="20"/>
  <c r="S21" i="20"/>
  <c r="R21" i="20"/>
  <c r="Q21" i="20"/>
  <c r="P21" i="20"/>
  <c r="O21" i="20" s="1"/>
  <c r="N21" i="20"/>
  <c r="C15" i="20"/>
  <c r="T20" i="20"/>
  <c r="S20" i="20"/>
  <c r="R20" i="20"/>
  <c r="Q20" i="20"/>
  <c r="P20" i="20"/>
  <c r="N20" i="20"/>
  <c r="C14" i="20"/>
  <c r="T19" i="20"/>
  <c r="S19" i="20"/>
  <c r="R19" i="20"/>
  <c r="Q19" i="20"/>
  <c r="P19" i="20"/>
  <c r="N19" i="20"/>
  <c r="C13" i="20"/>
  <c r="T18" i="20"/>
  <c r="S18" i="20"/>
  <c r="R18" i="20"/>
  <c r="Q18" i="20"/>
  <c r="P18" i="20"/>
  <c r="N18" i="20"/>
  <c r="C12" i="20"/>
  <c r="T17" i="20"/>
  <c r="S17" i="20"/>
  <c r="R17" i="20"/>
  <c r="Q17" i="20"/>
  <c r="P17" i="20"/>
  <c r="O17" i="20" s="1"/>
  <c r="N17" i="20"/>
  <c r="C11" i="20"/>
  <c r="T16" i="20"/>
  <c r="S16" i="20"/>
  <c r="R16" i="20"/>
  <c r="Q16" i="20"/>
  <c r="P16" i="20"/>
  <c r="N16" i="20"/>
  <c r="C10" i="20"/>
  <c r="B32" i="19"/>
  <c r="B31" i="19"/>
  <c r="B30" i="19"/>
  <c r="B28" i="19"/>
  <c r="M27" i="19"/>
  <c r="L27" i="19"/>
  <c r="K27" i="19"/>
  <c r="J27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J74" i="18"/>
  <c r="D74" i="18"/>
  <c r="C74" i="18"/>
  <c r="C77" i="18" s="1"/>
  <c r="J73" i="18"/>
  <c r="D73" i="18"/>
  <c r="C73" i="18"/>
  <c r="J72" i="18"/>
  <c r="C72" i="18" s="1"/>
  <c r="D72" i="18"/>
  <c r="J71" i="18"/>
  <c r="C71" i="18" s="1"/>
  <c r="D71" i="18"/>
  <c r="J70" i="18"/>
  <c r="D70" i="18"/>
  <c r="C70" i="18"/>
  <c r="J69" i="18"/>
  <c r="D69" i="18"/>
  <c r="C69" i="18"/>
  <c r="J68" i="18"/>
  <c r="C68" i="18" s="1"/>
  <c r="D68" i="18"/>
  <c r="J67" i="18"/>
  <c r="C67" i="18" s="1"/>
  <c r="D67" i="18"/>
  <c r="J66" i="18"/>
  <c r="D66" i="18"/>
  <c r="C66" i="18"/>
  <c r="J65" i="18"/>
  <c r="D65" i="18"/>
  <c r="C65" i="18"/>
  <c r="J64" i="18"/>
  <c r="C64" i="18" s="1"/>
  <c r="D64" i="18"/>
  <c r="J63" i="18"/>
  <c r="E63" i="18"/>
  <c r="D63" i="18" s="1"/>
  <c r="J62" i="18"/>
  <c r="C62" i="18" s="1"/>
  <c r="D62" i="18"/>
  <c r="J61" i="18"/>
  <c r="D61" i="18"/>
  <c r="C61" i="18"/>
  <c r="J60" i="18"/>
  <c r="D60" i="18"/>
  <c r="C60" i="18"/>
  <c r="J57" i="18"/>
  <c r="C57" i="18" s="1"/>
  <c r="G57" i="18"/>
  <c r="D57" i="18"/>
  <c r="J56" i="18"/>
  <c r="C56" i="18" s="1"/>
  <c r="G56" i="18"/>
  <c r="D56" i="18"/>
  <c r="J55" i="18"/>
  <c r="C55" i="18" s="1"/>
  <c r="G55" i="18"/>
  <c r="D55" i="18"/>
  <c r="J54" i="18"/>
  <c r="C54" i="18" s="1"/>
  <c r="G54" i="18"/>
  <c r="D54" i="18"/>
  <c r="J53" i="18"/>
  <c r="C53" i="18" s="1"/>
  <c r="G53" i="18"/>
  <c r="D53" i="18"/>
  <c r="J52" i="18"/>
  <c r="C52" i="18" s="1"/>
  <c r="G52" i="18"/>
  <c r="D52" i="18"/>
  <c r="H32" i="18"/>
  <c r="G32" i="18"/>
  <c r="L30" i="18"/>
  <c r="D30" i="18"/>
  <c r="C30" i="18"/>
  <c r="L29" i="18"/>
  <c r="D29" i="18"/>
  <c r="C29" i="18"/>
  <c r="L28" i="18"/>
  <c r="C28" i="18" s="1"/>
  <c r="D28" i="18"/>
  <c r="L27" i="18"/>
  <c r="C27" i="18" s="1"/>
  <c r="D27" i="18"/>
  <c r="L26" i="18"/>
  <c r="D26" i="18"/>
  <c r="C26" i="18"/>
  <c r="L25" i="18"/>
  <c r="D25" i="18"/>
  <c r="C25" i="18"/>
  <c r="L24" i="18"/>
  <c r="C24" i="18" s="1"/>
  <c r="D24" i="18"/>
  <c r="L23" i="18"/>
  <c r="C23" i="18" s="1"/>
  <c r="D23" i="18"/>
  <c r="L22" i="18"/>
  <c r="D22" i="18"/>
  <c r="C22" i="18"/>
  <c r="L21" i="18"/>
  <c r="D21" i="18"/>
  <c r="C21" i="18"/>
  <c r="L20" i="18"/>
  <c r="C20" i="18" s="1"/>
  <c r="D20" i="18"/>
  <c r="M19" i="18"/>
  <c r="L19" i="18"/>
  <c r="C19" i="18" s="1"/>
  <c r="E19" i="18"/>
  <c r="D19" i="18"/>
  <c r="L18" i="18"/>
  <c r="C18" i="18" s="1"/>
  <c r="D18" i="18"/>
  <c r="L17" i="18"/>
  <c r="C17" i="18" s="1"/>
  <c r="D17" i="18"/>
  <c r="L16" i="18"/>
  <c r="D16" i="18"/>
  <c r="C16" i="18"/>
  <c r="L13" i="18"/>
  <c r="I13" i="18"/>
  <c r="D13" i="18"/>
  <c r="C13" i="18"/>
  <c r="L12" i="18"/>
  <c r="I12" i="18"/>
  <c r="D12" i="18"/>
  <c r="C12" i="18"/>
  <c r="L11" i="18"/>
  <c r="I11" i="18"/>
  <c r="D11" i="18"/>
  <c r="C11" i="18"/>
  <c r="L10" i="18"/>
  <c r="I10" i="18"/>
  <c r="D10" i="18"/>
  <c r="C10" i="18"/>
  <c r="L9" i="18"/>
  <c r="I9" i="18"/>
  <c r="D9" i="18"/>
  <c r="C9" i="18"/>
  <c r="L8" i="18"/>
  <c r="I8" i="18"/>
  <c r="D8" i="18"/>
  <c r="C8" i="18"/>
  <c r="U83" i="17"/>
  <c r="U82" i="17"/>
  <c r="U81" i="17"/>
  <c r="U80" i="17"/>
  <c r="U79" i="17"/>
  <c r="U78" i="17"/>
  <c r="U58" i="17"/>
  <c r="U57" i="17"/>
  <c r="U56" i="17"/>
  <c r="U55" i="17"/>
  <c r="U54" i="17"/>
  <c r="U53" i="17"/>
  <c r="Q30" i="17"/>
  <c r="V98" i="17" s="1"/>
  <c r="N30" i="17"/>
  <c r="L30" i="17"/>
  <c r="I30" i="17"/>
  <c r="U29" i="17"/>
  <c r="Q29" i="17"/>
  <c r="V97" i="17" s="1"/>
  <c r="N29" i="17"/>
  <c r="L29" i="17"/>
  <c r="V72" i="17" s="1"/>
  <c r="I29" i="17"/>
  <c r="U28" i="17"/>
  <c r="Q28" i="17"/>
  <c r="V96" i="17" s="1"/>
  <c r="N28" i="17"/>
  <c r="U96" i="17" s="1"/>
  <c r="L28" i="17"/>
  <c r="V71" i="17" s="1"/>
  <c r="I28" i="17"/>
  <c r="U71" i="17" s="1"/>
  <c r="Q27" i="17"/>
  <c r="V95" i="17" s="1"/>
  <c r="N27" i="17"/>
  <c r="U95" i="17" s="1"/>
  <c r="L27" i="17"/>
  <c r="V70" i="17" s="1"/>
  <c r="I27" i="17"/>
  <c r="U26" i="17"/>
  <c r="Q26" i="17"/>
  <c r="V94" i="17" s="1"/>
  <c r="N26" i="17"/>
  <c r="U94" i="17" s="1"/>
  <c r="L26" i="17"/>
  <c r="G26" i="17" s="1"/>
  <c r="V40" i="17" s="1"/>
  <c r="I26" i="17"/>
  <c r="U69" i="17" s="1"/>
  <c r="U25" i="17"/>
  <c r="Q25" i="17"/>
  <c r="V93" i="17" s="1"/>
  <c r="N25" i="17"/>
  <c r="U93" i="17" s="1"/>
  <c r="L25" i="17"/>
  <c r="V68" i="17" s="1"/>
  <c r="I25" i="17"/>
  <c r="U68" i="17" s="1"/>
  <c r="U24" i="17"/>
  <c r="Q24" i="17"/>
  <c r="V92" i="17" s="1"/>
  <c r="N24" i="17"/>
  <c r="U92" i="17" s="1"/>
  <c r="L24" i="17"/>
  <c r="I24" i="17"/>
  <c r="U23" i="17"/>
  <c r="Q23" i="17"/>
  <c r="V91" i="17" s="1"/>
  <c r="N23" i="17"/>
  <c r="U91" i="17" s="1"/>
  <c r="L23" i="17"/>
  <c r="V66" i="17" s="1"/>
  <c r="I23" i="17"/>
  <c r="D23" i="17" s="1"/>
  <c r="Q22" i="17"/>
  <c r="V90" i="17" s="1"/>
  <c r="N22" i="17"/>
  <c r="U90" i="17" s="1"/>
  <c r="L22" i="17"/>
  <c r="I22" i="17"/>
  <c r="D22" i="17" s="1"/>
  <c r="Q21" i="17"/>
  <c r="V89" i="17" s="1"/>
  <c r="N21" i="17"/>
  <c r="U89" i="17" s="1"/>
  <c r="L21" i="17"/>
  <c r="V64" i="17" s="1"/>
  <c r="I21" i="17"/>
  <c r="Q20" i="17"/>
  <c r="V88" i="17" s="1"/>
  <c r="N20" i="17"/>
  <c r="U88" i="17" s="1"/>
  <c r="L20" i="17"/>
  <c r="V63" i="17" s="1"/>
  <c r="I20" i="17"/>
  <c r="U63" i="17" s="1"/>
  <c r="Q19" i="17"/>
  <c r="V87" i="17" s="1"/>
  <c r="N19" i="17"/>
  <c r="U87" i="17" s="1"/>
  <c r="L19" i="17"/>
  <c r="V62" i="17" s="1"/>
  <c r="I19" i="17"/>
  <c r="Q18" i="17"/>
  <c r="V86" i="17" s="1"/>
  <c r="N18" i="17"/>
  <c r="L18" i="17"/>
  <c r="I18" i="17"/>
  <c r="Q17" i="17"/>
  <c r="V85" i="17" s="1"/>
  <c r="N17" i="17"/>
  <c r="U85" i="17" s="1"/>
  <c r="L17" i="17"/>
  <c r="V60" i="17" s="1"/>
  <c r="I17" i="17"/>
  <c r="H17" i="17" s="1"/>
  <c r="Q16" i="17"/>
  <c r="V84" i="17" s="1"/>
  <c r="N16" i="17"/>
  <c r="U84" i="17" s="1"/>
  <c r="L16" i="17"/>
  <c r="V59" i="17" s="1"/>
  <c r="I16" i="17"/>
  <c r="U59" i="17" s="1"/>
  <c r="Q15" i="17"/>
  <c r="P15" i="17"/>
  <c r="O15" i="17"/>
  <c r="L15" i="17"/>
  <c r="V58" i="17" s="1"/>
  <c r="K15" i="17"/>
  <c r="J15" i="17"/>
  <c r="Q14" i="17"/>
  <c r="V82" i="17" s="1"/>
  <c r="P14" i="17"/>
  <c r="O14" i="17"/>
  <c r="L14" i="17"/>
  <c r="V57" i="17" s="1"/>
  <c r="K14" i="17"/>
  <c r="J14" i="17"/>
  <c r="H14" i="17" s="1"/>
  <c r="Q13" i="17"/>
  <c r="V81" i="17" s="1"/>
  <c r="P13" i="17"/>
  <c r="O13" i="17"/>
  <c r="L13" i="17"/>
  <c r="V56" i="17" s="1"/>
  <c r="K13" i="17"/>
  <c r="F13" i="17" s="1"/>
  <c r="J13" i="17"/>
  <c r="Q12" i="17"/>
  <c r="V80" i="17" s="1"/>
  <c r="P12" i="17"/>
  <c r="O12" i="17"/>
  <c r="L12" i="17"/>
  <c r="V55" i="17" s="1"/>
  <c r="K12" i="17"/>
  <c r="J12" i="17"/>
  <c r="Q11" i="17"/>
  <c r="P11" i="17"/>
  <c r="O11" i="17"/>
  <c r="L11" i="17"/>
  <c r="V54" i="17" s="1"/>
  <c r="K11" i="17"/>
  <c r="J11" i="17"/>
  <c r="Q10" i="17"/>
  <c r="V78" i="17" s="1"/>
  <c r="P10" i="17"/>
  <c r="F10" i="17" s="1"/>
  <c r="O10" i="17"/>
  <c r="L10" i="17"/>
  <c r="V53" i="17" s="1"/>
  <c r="K10" i="17"/>
  <c r="J10" i="17"/>
  <c r="H10" i="17" s="1"/>
  <c r="G10" i="17"/>
  <c r="V23" i="17" s="1"/>
  <c r="O30" i="16"/>
  <c r="T99" i="16" s="1"/>
  <c r="N30" i="16"/>
  <c r="L30" i="16"/>
  <c r="V74" i="16" s="1"/>
  <c r="K30" i="16"/>
  <c r="U74" i="16" s="1"/>
  <c r="J30" i="16"/>
  <c r="T74" i="16" s="1"/>
  <c r="I30" i="16"/>
  <c r="G30" i="16"/>
  <c r="V46" i="16" s="1"/>
  <c r="F30" i="16"/>
  <c r="E30" i="16"/>
  <c r="T46" i="16" s="1"/>
  <c r="O29" i="16"/>
  <c r="T98" i="16" s="1"/>
  <c r="N29" i="16"/>
  <c r="L29" i="16"/>
  <c r="V73" i="16" s="1"/>
  <c r="K29" i="16"/>
  <c r="F29" i="16" s="1"/>
  <c r="U45" i="16" s="1"/>
  <c r="J29" i="16"/>
  <c r="T73" i="16" s="1"/>
  <c r="I29" i="16"/>
  <c r="S73" i="16" s="1"/>
  <c r="O28" i="16"/>
  <c r="T97" i="16" s="1"/>
  <c r="N28" i="16"/>
  <c r="L28" i="16"/>
  <c r="K28" i="16"/>
  <c r="J28" i="16"/>
  <c r="E28" i="16" s="1"/>
  <c r="I28" i="16"/>
  <c r="S72" i="16" s="1"/>
  <c r="G28" i="16"/>
  <c r="O27" i="16"/>
  <c r="T96" i="16" s="1"/>
  <c r="N27" i="16"/>
  <c r="S96" i="16" s="1"/>
  <c r="L27" i="16"/>
  <c r="K27" i="16"/>
  <c r="U71" i="16" s="1"/>
  <c r="J27" i="16"/>
  <c r="T71" i="16" s="1"/>
  <c r="I27" i="16"/>
  <c r="G27" i="16"/>
  <c r="F27" i="16"/>
  <c r="U43" i="16" s="1"/>
  <c r="O26" i="16"/>
  <c r="T95" i="16" s="1"/>
  <c r="N26" i="16"/>
  <c r="S95" i="16" s="1"/>
  <c r="L26" i="16"/>
  <c r="J26" i="16"/>
  <c r="T70" i="16" s="1"/>
  <c r="I26" i="16"/>
  <c r="S70" i="16" s="1"/>
  <c r="G26" i="16"/>
  <c r="O25" i="16"/>
  <c r="T94" i="16" s="1"/>
  <c r="N25" i="16"/>
  <c r="S94" i="16" s="1"/>
  <c r="L25" i="16"/>
  <c r="J25" i="16"/>
  <c r="T69" i="16" s="1"/>
  <c r="I25" i="16"/>
  <c r="S69" i="16" s="1"/>
  <c r="O24" i="16"/>
  <c r="T93" i="16" s="1"/>
  <c r="N24" i="16"/>
  <c r="L24" i="16"/>
  <c r="G24" i="16" s="1"/>
  <c r="J24" i="16"/>
  <c r="T68" i="16" s="1"/>
  <c r="I24" i="16"/>
  <c r="D24" i="16"/>
  <c r="O23" i="16"/>
  <c r="T92" i="16" s="1"/>
  <c r="N23" i="16"/>
  <c r="S92" i="16" s="1"/>
  <c r="L23" i="16"/>
  <c r="G23" i="16" s="1"/>
  <c r="J23" i="16"/>
  <c r="T67" i="16" s="1"/>
  <c r="I23" i="16"/>
  <c r="S67" i="16" s="1"/>
  <c r="O22" i="16"/>
  <c r="T91" i="16" s="1"/>
  <c r="N22" i="16"/>
  <c r="S91" i="16" s="1"/>
  <c r="L22" i="16"/>
  <c r="G22" i="16" s="1"/>
  <c r="J22" i="16"/>
  <c r="T66" i="16" s="1"/>
  <c r="I22" i="16"/>
  <c r="S66" i="16" s="1"/>
  <c r="E22" i="16"/>
  <c r="T38" i="16" s="1"/>
  <c r="D22" i="16"/>
  <c r="S38" i="16" s="1"/>
  <c r="O21" i="16"/>
  <c r="T90" i="16" s="1"/>
  <c r="N21" i="16"/>
  <c r="S90" i="16" s="1"/>
  <c r="L21" i="16"/>
  <c r="J21" i="16"/>
  <c r="T65" i="16" s="1"/>
  <c r="I21" i="16"/>
  <c r="S65" i="16" s="1"/>
  <c r="E21" i="16"/>
  <c r="T37" i="16" s="1"/>
  <c r="D21" i="16"/>
  <c r="S37" i="16" s="1"/>
  <c r="O20" i="16"/>
  <c r="T89" i="16" s="1"/>
  <c r="N20" i="16"/>
  <c r="L20" i="16"/>
  <c r="G20" i="16" s="1"/>
  <c r="J20" i="16"/>
  <c r="T64" i="16" s="1"/>
  <c r="I20" i="16"/>
  <c r="D20" i="16"/>
  <c r="O19" i="16"/>
  <c r="T88" i="16" s="1"/>
  <c r="N19" i="16"/>
  <c r="S88" i="16" s="1"/>
  <c r="L19" i="16"/>
  <c r="G19" i="16" s="1"/>
  <c r="J19" i="16"/>
  <c r="T63" i="16" s="1"/>
  <c r="I19" i="16"/>
  <c r="S63" i="16" s="1"/>
  <c r="O18" i="16"/>
  <c r="T87" i="16" s="1"/>
  <c r="N18" i="16"/>
  <c r="S87" i="16" s="1"/>
  <c r="L18" i="16"/>
  <c r="G18" i="16" s="1"/>
  <c r="J18" i="16"/>
  <c r="T62" i="16" s="1"/>
  <c r="I18" i="16"/>
  <c r="S62" i="16" s="1"/>
  <c r="O17" i="16"/>
  <c r="T86" i="16" s="1"/>
  <c r="N17" i="16"/>
  <c r="S86" i="16" s="1"/>
  <c r="L17" i="16"/>
  <c r="G17" i="16" s="1"/>
  <c r="J17" i="16"/>
  <c r="I17" i="16"/>
  <c r="S61" i="16" s="1"/>
  <c r="O16" i="16"/>
  <c r="T85" i="16" s="1"/>
  <c r="N16" i="16"/>
  <c r="L16" i="16"/>
  <c r="G16" i="16" s="1"/>
  <c r="J16" i="16"/>
  <c r="T60" i="16" s="1"/>
  <c r="I16" i="16"/>
  <c r="D16" i="16" s="1"/>
  <c r="S32" i="16" s="1"/>
  <c r="O15" i="16"/>
  <c r="T84" i="16" s="1"/>
  <c r="N15" i="16"/>
  <c r="S84" i="16" s="1"/>
  <c r="L15" i="16"/>
  <c r="G15" i="16" s="1"/>
  <c r="J15" i="16"/>
  <c r="T59" i="16" s="1"/>
  <c r="I15" i="16"/>
  <c r="S59" i="16" s="1"/>
  <c r="O14" i="16"/>
  <c r="T83" i="16" s="1"/>
  <c r="N14" i="16"/>
  <c r="S83" i="16" s="1"/>
  <c r="L14" i="16"/>
  <c r="J14" i="16"/>
  <c r="T58" i="16" s="1"/>
  <c r="I14" i="16"/>
  <c r="S58" i="16" s="1"/>
  <c r="G14" i="16"/>
  <c r="O13" i="16"/>
  <c r="T82" i="16" s="1"/>
  <c r="N13" i="16"/>
  <c r="L13" i="16"/>
  <c r="J13" i="16"/>
  <c r="T57" i="16" s="1"/>
  <c r="I13" i="16"/>
  <c r="S57" i="16" s="1"/>
  <c r="O12" i="16"/>
  <c r="T81" i="16" s="1"/>
  <c r="N12" i="16"/>
  <c r="L12" i="16"/>
  <c r="G12" i="16" s="1"/>
  <c r="J12" i="16"/>
  <c r="T56" i="16" s="1"/>
  <c r="I12" i="16"/>
  <c r="D12" i="16" s="1"/>
  <c r="O11" i="16"/>
  <c r="T80" i="16" s="1"/>
  <c r="N11" i="16"/>
  <c r="S80" i="16" s="1"/>
  <c r="L11" i="16"/>
  <c r="G11" i="16" s="1"/>
  <c r="J11" i="16"/>
  <c r="T55" i="16" s="1"/>
  <c r="I11" i="16"/>
  <c r="S55" i="16" s="1"/>
  <c r="O10" i="16"/>
  <c r="T79" i="16" s="1"/>
  <c r="N10" i="16"/>
  <c r="S79" i="16" s="1"/>
  <c r="L10" i="16"/>
  <c r="J10" i="16"/>
  <c r="T54" i="16" s="1"/>
  <c r="I10" i="16"/>
  <c r="E10" i="16"/>
  <c r="T26" i="16" s="1"/>
  <c r="C33" i="15"/>
  <c r="C32" i="15"/>
  <c r="C31" i="15"/>
  <c r="C30" i="15"/>
  <c r="J75" i="14"/>
  <c r="D75" i="14"/>
  <c r="J74" i="14"/>
  <c r="C74" i="14" s="1"/>
  <c r="D74" i="14"/>
  <c r="J73" i="14"/>
  <c r="D73" i="14"/>
  <c r="J72" i="14"/>
  <c r="D72" i="14"/>
  <c r="J71" i="14"/>
  <c r="D71" i="14"/>
  <c r="J70" i="14"/>
  <c r="D70" i="14"/>
  <c r="C70" i="14" s="1"/>
  <c r="J69" i="14"/>
  <c r="C69" i="14" s="1"/>
  <c r="D69" i="14"/>
  <c r="J68" i="14"/>
  <c r="D68" i="14"/>
  <c r="J67" i="14"/>
  <c r="D67" i="14"/>
  <c r="J66" i="14"/>
  <c r="D66" i="14"/>
  <c r="C66" i="14" s="1"/>
  <c r="J65" i="14"/>
  <c r="D65" i="14"/>
  <c r="J64" i="14"/>
  <c r="D64" i="14"/>
  <c r="J63" i="14"/>
  <c r="D63" i="14"/>
  <c r="J62" i="14"/>
  <c r="D62" i="14"/>
  <c r="C62" i="14" s="1"/>
  <c r="J61" i="14"/>
  <c r="D61" i="14"/>
  <c r="J58" i="14"/>
  <c r="G58" i="14"/>
  <c r="D58" i="14"/>
  <c r="J57" i="14"/>
  <c r="G57" i="14"/>
  <c r="D57" i="14"/>
  <c r="J56" i="14"/>
  <c r="G56" i="14"/>
  <c r="D56" i="14"/>
  <c r="J55" i="14"/>
  <c r="G55" i="14"/>
  <c r="D55" i="14"/>
  <c r="J54" i="14"/>
  <c r="G54" i="14"/>
  <c r="D54" i="14"/>
  <c r="J53" i="14"/>
  <c r="G53" i="14"/>
  <c r="D53" i="14"/>
  <c r="H33" i="14"/>
  <c r="G33" i="14"/>
  <c r="L31" i="14"/>
  <c r="D31" i="14"/>
  <c r="L30" i="14"/>
  <c r="D30" i="14"/>
  <c r="L29" i="14"/>
  <c r="D29" i="14"/>
  <c r="L28" i="14"/>
  <c r="D28" i="14"/>
  <c r="C28" i="14" s="1"/>
  <c r="L27" i="14"/>
  <c r="D27" i="14"/>
  <c r="C27" i="14" s="1"/>
  <c r="L26" i="14"/>
  <c r="D26" i="14"/>
  <c r="L25" i="14"/>
  <c r="D25" i="14"/>
  <c r="C25" i="14" s="1"/>
  <c r="L24" i="14"/>
  <c r="D24" i="14"/>
  <c r="C24" i="14" s="1"/>
  <c r="L23" i="14"/>
  <c r="D23" i="14"/>
  <c r="C23" i="14"/>
  <c r="L22" i="14"/>
  <c r="C22" i="14" s="1"/>
  <c r="D22" i="14"/>
  <c r="L21" i="14"/>
  <c r="D21" i="14"/>
  <c r="C21" i="14" s="1"/>
  <c r="L20" i="14"/>
  <c r="D20" i="14"/>
  <c r="L19" i="14"/>
  <c r="D19" i="14"/>
  <c r="C19" i="14"/>
  <c r="L18" i="14"/>
  <c r="D18" i="14"/>
  <c r="L17" i="14"/>
  <c r="D17" i="14"/>
  <c r="C17" i="14" s="1"/>
  <c r="L14" i="14"/>
  <c r="I14" i="14"/>
  <c r="D14" i="14"/>
  <c r="L13" i="14"/>
  <c r="I13" i="14"/>
  <c r="D13" i="14"/>
  <c r="L12" i="14"/>
  <c r="I12" i="14"/>
  <c r="D12" i="14"/>
  <c r="L11" i="14"/>
  <c r="I11" i="14"/>
  <c r="D11" i="14"/>
  <c r="L10" i="14"/>
  <c r="K10" i="14"/>
  <c r="I10" i="14" s="1"/>
  <c r="J10" i="14"/>
  <c r="F10" i="14"/>
  <c r="D10" i="14" s="1"/>
  <c r="L9" i="14"/>
  <c r="I9" i="14"/>
  <c r="D9" i="14"/>
  <c r="U77" i="13"/>
  <c r="U76" i="13"/>
  <c r="U75" i="13"/>
  <c r="U74" i="13"/>
  <c r="U73" i="13"/>
  <c r="U72" i="13"/>
  <c r="U47" i="13"/>
  <c r="U46" i="13"/>
  <c r="U45" i="13"/>
  <c r="U44" i="13"/>
  <c r="U43" i="13"/>
  <c r="U42" i="13"/>
  <c r="Q29" i="13"/>
  <c r="N29" i="13"/>
  <c r="L29" i="13"/>
  <c r="I29" i="13"/>
  <c r="Q28" i="13"/>
  <c r="V91" i="13" s="1"/>
  <c r="N28" i="13"/>
  <c r="U91" i="13" s="1"/>
  <c r="L28" i="13"/>
  <c r="G28" i="13" s="1"/>
  <c r="V26" i="13" s="1"/>
  <c r="I28" i="13"/>
  <c r="U61" i="13" s="1"/>
  <c r="D28" i="13"/>
  <c r="Q27" i="13"/>
  <c r="V90" i="13" s="1"/>
  <c r="N27" i="13"/>
  <c r="U90" i="13" s="1"/>
  <c r="L27" i="13"/>
  <c r="V60" i="13" s="1"/>
  <c r="I27" i="13"/>
  <c r="U60" i="13" s="1"/>
  <c r="Q26" i="13"/>
  <c r="V89" i="13" s="1"/>
  <c r="N26" i="13"/>
  <c r="U89" i="13" s="1"/>
  <c r="L26" i="13"/>
  <c r="V59" i="13" s="1"/>
  <c r="I26" i="13"/>
  <c r="U59" i="13" s="1"/>
  <c r="Q25" i="13"/>
  <c r="V88" i="13" s="1"/>
  <c r="N25" i="13"/>
  <c r="U88" i="13" s="1"/>
  <c r="L25" i="13"/>
  <c r="G25" i="13" s="1"/>
  <c r="V23" i="13" s="1"/>
  <c r="I25" i="13"/>
  <c r="U58" i="13" s="1"/>
  <c r="Q24" i="13"/>
  <c r="V87" i="13" s="1"/>
  <c r="N24" i="13"/>
  <c r="U87" i="13" s="1"/>
  <c r="L24" i="13"/>
  <c r="I24" i="13"/>
  <c r="U57" i="13" s="1"/>
  <c r="Q23" i="13"/>
  <c r="V86" i="13" s="1"/>
  <c r="N23" i="13"/>
  <c r="U86" i="13" s="1"/>
  <c r="L23" i="13"/>
  <c r="I23" i="13"/>
  <c r="U56" i="13" s="1"/>
  <c r="Q22" i="13"/>
  <c r="V85" i="13" s="1"/>
  <c r="N22" i="13"/>
  <c r="U85" i="13" s="1"/>
  <c r="L22" i="13"/>
  <c r="V55" i="13" s="1"/>
  <c r="I22" i="13"/>
  <c r="Q21" i="13"/>
  <c r="V84" i="13" s="1"/>
  <c r="N21" i="13"/>
  <c r="U84" i="13" s="1"/>
  <c r="L21" i="13"/>
  <c r="V54" i="13" s="1"/>
  <c r="I21" i="13"/>
  <c r="U54" i="13" s="1"/>
  <c r="Q20" i="13"/>
  <c r="V83" i="13" s="1"/>
  <c r="N20" i="13"/>
  <c r="U83" i="13" s="1"/>
  <c r="L20" i="13"/>
  <c r="V53" i="13" s="1"/>
  <c r="I20" i="13"/>
  <c r="Q19" i="13"/>
  <c r="V82" i="13" s="1"/>
  <c r="N19" i="13"/>
  <c r="U82" i="13" s="1"/>
  <c r="L19" i="13"/>
  <c r="V52" i="13" s="1"/>
  <c r="I19" i="13"/>
  <c r="Q18" i="13"/>
  <c r="V81" i="13" s="1"/>
  <c r="N18" i="13"/>
  <c r="U81" i="13" s="1"/>
  <c r="L18" i="13"/>
  <c r="V51" i="13" s="1"/>
  <c r="I18" i="13"/>
  <c r="Q17" i="13"/>
  <c r="V80" i="13" s="1"/>
  <c r="N17" i="13"/>
  <c r="U80" i="13" s="1"/>
  <c r="L17" i="13"/>
  <c r="V50" i="13" s="1"/>
  <c r="I17" i="13"/>
  <c r="U50" i="13" s="1"/>
  <c r="G17" i="13"/>
  <c r="V15" i="13" s="1"/>
  <c r="Q16" i="13"/>
  <c r="V79" i="13" s="1"/>
  <c r="N16" i="13"/>
  <c r="U79" i="13" s="1"/>
  <c r="L16" i="13"/>
  <c r="V49" i="13" s="1"/>
  <c r="I16" i="13"/>
  <c r="H16" i="13" s="1"/>
  <c r="T49" i="13" s="1"/>
  <c r="Q15" i="13"/>
  <c r="V78" i="13" s="1"/>
  <c r="N15" i="13"/>
  <c r="U78" i="13" s="1"/>
  <c r="L15" i="13"/>
  <c r="V48" i="13" s="1"/>
  <c r="I15" i="13"/>
  <c r="Q14" i="13"/>
  <c r="V77" i="13" s="1"/>
  <c r="P14" i="13"/>
  <c r="O14" i="13"/>
  <c r="L14" i="13"/>
  <c r="V47" i="13" s="1"/>
  <c r="K14" i="13"/>
  <c r="J14" i="13"/>
  <c r="Q13" i="13"/>
  <c r="V76" i="13" s="1"/>
  <c r="P13" i="13"/>
  <c r="F13" i="13" s="1"/>
  <c r="O13" i="13"/>
  <c r="L13" i="13"/>
  <c r="V46" i="13" s="1"/>
  <c r="K13" i="13"/>
  <c r="J13" i="13"/>
  <c r="G13" i="13"/>
  <c r="V11" i="13" s="1"/>
  <c r="U12" i="13"/>
  <c r="Q12" i="13"/>
  <c r="V75" i="13" s="1"/>
  <c r="P12" i="13"/>
  <c r="O12" i="13"/>
  <c r="M12" i="13" s="1"/>
  <c r="T75" i="13" s="1"/>
  <c r="L12" i="13"/>
  <c r="V45" i="13" s="1"/>
  <c r="K12" i="13"/>
  <c r="J12" i="13"/>
  <c r="F12" i="13"/>
  <c r="U11" i="13"/>
  <c r="Q11" i="13"/>
  <c r="V74" i="13" s="1"/>
  <c r="P11" i="13"/>
  <c r="O11" i="13"/>
  <c r="L11" i="13"/>
  <c r="V44" i="13" s="1"/>
  <c r="K11" i="13"/>
  <c r="J11" i="13"/>
  <c r="F11" i="13"/>
  <c r="U10" i="13"/>
  <c r="Q10" i="13"/>
  <c r="V73" i="13" s="1"/>
  <c r="P10" i="13"/>
  <c r="O10" i="13"/>
  <c r="L10" i="13"/>
  <c r="V43" i="13" s="1"/>
  <c r="K10" i="13"/>
  <c r="J10" i="13"/>
  <c r="H10" i="13" s="1"/>
  <c r="T43" i="13" s="1"/>
  <c r="U9" i="13"/>
  <c r="Q9" i="13"/>
  <c r="V72" i="13" s="1"/>
  <c r="P9" i="13"/>
  <c r="O9" i="13"/>
  <c r="L9" i="13"/>
  <c r="V42" i="13" s="1"/>
  <c r="K9" i="13"/>
  <c r="J9" i="13"/>
  <c r="U8" i="13"/>
  <c r="U7" i="13"/>
  <c r="O29" i="12"/>
  <c r="T92" i="12" s="1"/>
  <c r="N29" i="12"/>
  <c r="M29" i="12" s="1"/>
  <c r="L29" i="12"/>
  <c r="V61" i="12" s="1"/>
  <c r="K29" i="12"/>
  <c r="U61" i="12" s="1"/>
  <c r="J29" i="12"/>
  <c r="I29" i="12"/>
  <c r="G29" i="12"/>
  <c r="V27" i="12" s="1"/>
  <c r="F29" i="12"/>
  <c r="U27" i="12" s="1"/>
  <c r="E29" i="12"/>
  <c r="O28" i="12"/>
  <c r="T91" i="12" s="1"/>
  <c r="N28" i="12"/>
  <c r="S91" i="12" s="1"/>
  <c r="L28" i="12"/>
  <c r="V60" i="12" s="1"/>
  <c r="K28" i="12"/>
  <c r="U60" i="12" s="1"/>
  <c r="J28" i="12"/>
  <c r="T60" i="12" s="1"/>
  <c r="I28" i="12"/>
  <c r="G28" i="12"/>
  <c r="V26" i="12" s="1"/>
  <c r="F28" i="12"/>
  <c r="U26" i="12" s="1"/>
  <c r="O27" i="12"/>
  <c r="T90" i="12" s="1"/>
  <c r="N27" i="12"/>
  <c r="S90" i="12" s="1"/>
  <c r="L27" i="12"/>
  <c r="G27" i="12" s="1"/>
  <c r="K27" i="12"/>
  <c r="F27" i="12" s="1"/>
  <c r="U25" i="12" s="1"/>
  <c r="J27" i="12"/>
  <c r="T59" i="12" s="1"/>
  <c r="I27" i="12"/>
  <c r="S59" i="12" s="1"/>
  <c r="O26" i="12"/>
  <c r="T89" i="12" s="1"/>
  <c r="N26" i="12"/>
  <c r="L26" i="12"/>
  <c r="K26" i="12"/>
  <c r="U58" i="12" s="1"/>
  <c r="J26" i="12"/>
  <c r="T58" i="12" s="1"/>
  <c r="I26" i="12"/>
  <c r="G26" i="12"/>
  <c r="F26" i="12"/>
  <c r="U24" i="12" s="1"/>
  <c r="O25" i="12"/>
  <c r="T88" i="12" s="1"/>
  <c r="N25" i="12"/>
  <c r="L25" i="12"/>
  <c r="J25" i="12"/>
  <c r="T57" i="12" s="1"/>
  <c r="I25" i="12"/>
  <c r="H25" i="12" s="1"/>
  <c r="R57" i="12" s="1"/>
  <c r="G25" i="12"/>
  <c r="O24" i="12"/>
  <c r="N24" i="12"/>
  <c r="S87" i="12" s="1"/>
  <c r="L24" i="12"/>
  <c r="G24" i="12" s="1"/>
  <c r="J24" i="12"/>
  <c r="T56" i="12" s="1"/>
  <c r="I24" i="12"/>
  <c r="S56" i="12" s="1"/>
  <c r="D24" i="12"/>
  <c r="O23" i="12"/>
  <c r="T86" i="12" s="1"/>
  <c r="N23" i="12"/>
  <c r="S86" i="12" s="1"/>
  <c r="L23" i="12"/>
  <c r="J23" i="12"/>
  <c r="T55" i="12" s="1"/>
  <c r="I23" i="12"/>
  <c r="S55" i="12" s="1"/>
  <c r="O22" i="12"/>
  <c r="T85" i="12" s="1"/>
  <c r="N22" i="12"/>
  <c r="S85" i="12" s="1"/>
  <c r="L22" i="12"/>
  <c r="G22" i="12" s="1"/>
  <c r="J22" i="12"/>
  <c r="T54" i="12" s="1"/>
  <c r="I22" i="12"/>
  <c r="S54" i="12" s="1"/>
  <c r="O21" i="12"/>
  <c r="T84" i="12" s="1"/>
  <c r="N21" i="12"/>
  <c r="S84" i="12" s="1"/>
  <c r="L21" i="12"/>
  <c r="J21" i="12"/>
  <c r="T53" i="12" s="1"/>
  <c r="I21" i="12"/>
  <c r="S53" i="12" s="1"/>
  <c r="G21" i="12"/>
  <c r="O20" i="12"/>
  <c r="T83" i="12" s="1"/>
  <c r="N20" i="12"/>
  <c r="S83" i="12" s="1"/>
  <c r="L20" i="12"/>
  <c r="G20" i="12" s="1"/>
  <c r="J20" i="12"/>
  <c r="T52" i="12" s="1"/>
  <c r="I20" i="12"/>
  <c r="S52" i="12" s="1"/>
  <c r="O19" i="12"/>
  <c r="N19" i="12"/>
  <c r="S82" i="12" s="1"/>
  <c r="L19" i="12"/>
  <c r="G19" i="12" s="1"/>
  <c r="J19" i="12"/>
  <c r="T51" i="12" s="1"/>
  <c r="I19" i="12"/>
  <c r="S51" i="12" s="1"/>
  <c r="O18" i="12"/>
  <c r="T81" i="12" s="1"/>
  <c r="N18" i="12"/>
  <c r="S81" i="12" s="1"/>
  <c r="L18" i="12"/>
  <c r="G18" i="12" s="1"/>
  <c r="J18" i="12"/>
  <c r="T50" i="12" s="1"/>
  <c r="I18" i="12"/>
  <c r="S50" i="12" s="1"/>
  <c r="O17" i="12"/>
  <c r="T80" i="12" s="1"/>
  <c r="N17" i="12"/>
  <c r="S80" i="12" s="1"/>
  <c r="M17" i="12"/>
  <c r="R80" i="12" s="1"/>
  <c r="L17" i="12"/>
  <c r="H17" i="12" s="1"/>
  <c r="R49" i="12" s="1"/>
  <c r="J17" i="12"/>
  <c r="T49" i="12" s="1"/>
  <c r="I17" i="12"/>
  <c r="S49" i="12" s="1"/>
  <c r="E17" i="12"/>
  <c r="T15" i="12" s="1"/>
  <c r="O16" i="12"/>
  <c r="T79" i="12" s="1"/>
  <c r="N16" i="12"/>
  <c r="S79" i="12" s="1"/>
  <c r="L16" i="12"/>
  <c r="G16" i="12" s="1"/>
  <c r="J16" i="12"/>
  <c r="T48" i="12" s="1"/>
  <c r="I16" i="12"/>
  <c r="S48" i="12" s="1"/>
  <c r="O15" i="12"/>
  <c r="T78" i="12" s="1"/>
  <c r="N15" i="12"/>
  <c r="S78" i="12" s="1"/>
  <c r="L15" i="12"/>
  <c r="J15" i="12"/>
  <c r="T47" i="12" s="1"/>
  <c r="I15" i="12"/>
  <c r="S47" i="12" s="1"/>
  <c r="O14" i="12"/>
  <c r="T77" i="12" s="1"/>
  <c r="N14" i="12"/>
  <c r="M14" i="12" s="1"/>
  <c r="R77" i="12" s="1"/>
  <c r="J14" i="12"/>
  <c r="T46" i="12" s="1"/>
  <c r="I14" i="12"/>
  <c r="S46" i="12" s="1"/>
  <c r="G14" i="12"/>
  <c r="O13" i="12"/>
  <c r="T76" i="12" s="1"/>
  <c r="N13" i="12"/>
  <c r="J13" i="12"/>
  <c r="T45" i="12" s="1"/>
  <c r="I13" i="12"/>
  <c r="H13" i="12" s="1"/>
  <c r="R45" i="12" s="1"/>
  <c r="O12" i="12"/>
  <c r="T75" i="12" s="1"/>
  <c r="N12" i="12"/>
  <c r="J12" i="12"/>
  <c r="T44" i="12" s="1"/>
  <c r="I12" i="12"/>
  <c r="O11" i="12"/>
  <c r="T74" i="12" s="1"/>
  <c r="N11" i="12"/>
  <c r="J11" i="12"/>
  <c r="T43" i="12" s="1"/>
  <c r="I11" i="12"/>
  <c r="S43" i="12" s="1"/>
  <c r="O10" i="12"/>
  <c r="T73" i="12" s="1"/>
  <c r="N10" i="12"/>
  <c r="S73" i="12" s="1"/>
  <c r="J10" i="12"/>
  <c r="T42" i="12" s="1"/>
  <c r="I10" i="12"/>
  <c r="S42" i="12" s="1"/>
  <c r="O9" i="12"/>
  <c r="T72" i="12" s="1"/>
  <c r="N9" i="12"/>
  <c r="S72" i="12" s="1"/>
  <c r="J9" i="12"/>
  <c r="T41" i="12" s="1"/>
  <c r="I9" i="12"/>
  <c r="S41" i="12" s="1"/>
  <c r="J75" i="11"/>
  <c r="D75" i="11"/>
  <c r="J74" i="11"/>
  <c r="D74" i="11"/>
  <c r="J73" i="11"/>
  <c r="D73" i="11"/>
  <c r="J72" i="11"/>
  <c r="D72" i="11"/>
  <c r="C72" i="11"/>
  <c r="J71" i="11"/>
  <c r="D71" i="11"/>
  <c r="C71" i="11" s="1"/>
  <c r="J70" i="11"/>
  <c r="C70" i="11" s="1"/>
  <c r="D70" i="11"/>
  <c r="J69" i="11"/>
  <c r="D69" i="11"/>
  <c r="C69" i="11" s="1"/>
  <c r="J68" i="11"/>
  <c r="C68" i="11" s="1"/>
  <c r="D68" i="11"/>
  <c r="J67" i="11"/>
  <c r="D67" i="11"/>
  <c r="C67" i="11" s="1"/>
  <c r="J66" i="11"/>
  <c r="D66" i="11"/>
  <c r="J65" i="11"/>
  <c r="D65" i="11"/>
  <c r="J64" i="11"/>
  <c r="D64" i="11"/>
  <c r="C64" i="11" s="1"/>
  <c r="J63" i="11"/>
  <c r="D63" i="11"/>
  <c r="C63" i="11" s="1"/>
  <c r="J62" i="11"/>
  <c r="D62" i="11"/>
  <c r="J61" i="11"/>
  <c r="D61" i="11"/>
  <c r="C61" i="11" s="1"/>
  <c r="J58" i="11"/>
  <c r="G58" i="11"/>
  <c r="D58" i="11"/>
  <c r="J57" i="11"/>
  <c r="G57" i="11"/>
  <c r="D57" i="11"/>
  <c r="J56" i="11"/>
  <c r="G56" i="11"/>
  <c r="D56" i="11"/>
  <c r="C56" i="11" s="1"/>
  <c r="J55" i="11"/>
  <c r="G55" i="11"/>
  <c r="D55" i="11"/>
  <c r="C55" i="11" s="1"/>
  <c r="K54" i="11"/>
  <c r="J54" i="11"/>
  <c r="G54" i="11"/>
  <c r="D54" i="11"/>
  <c r="L53" i="11"/>
  <c r="K53" i="11"/>
  <c r="J53" i="11" s="1"/>
  <c r="G53" i="11"/>
  <c r="D53" i="11"/>
  <c r="H32" i="11"/>
  <c r="G32" i="11"/>
  <c r="L30" i="11"/>
  <c r="D30" i="11"/>
  <c r="L29" i="11"/>
  <c r="D29" i="11"/>
  <c r="C29" i="11" s="1"/>
  <c r="L28" i="11"/>
  <c r="D28" i="11"/>
  <c r="L27" i="11"/>
  <c r="C27" i="11" s="1"/>
  <c r="D27" i="11"/>
  <c r="L26" i="11"/>
  <c r="D26" i="11"/>
  <c r="C26" i="11" s="1"/>
  <c r="L25" i="11"/>
  <c r="D25" i="11"/>
  <c r="L24" i="11"/>
  <c r="D24" i="11"/>
  <c r="C24" i="11" s="1"/>
  <c r="L23" i="11"/>
  <c r="D23" i="11"/>
  <c r="L22" i="11"/>
  <c r="D22" i="11"/>
  <c r="L21" i="11"/>
  <c r="C21" i="11" s="1"/>
  <c r="D21" i="11"/>
  <c r="L20" i="11"/>
  <c r="D20" i="11"/>
  <c r="L19" i="11"/>
  <c r="D19" i="11"/>
  <c r="L18" i="11"/>
  <c r="D18" i="11"/>
  <c r="C18" i="11" s="1"/>
  <c r="L17" i="11"/>
  <c r="D17" i="11"/>
  <c r="C17" i="11" s="1"/>
  <c r="L16" i="11"/>
  <c r="D16" i="11"/>
  <c r="C16" i="11" s="1"/>
  <c r="L13" i="11"/>
  <c r="I13" i="11"/>
  <c r="D13" i="11"/>
  <c r="L12" i="11"/>
  <c r="I12" i="11"/>
  <c r="D12" i="11"/>
  <c r="L11" i="11"/>
  <c r="I11" i="11"/>
  <c r="D11" i="11"/>
  <c r="L10" i="11"/>
  <c r="I10" i="11"/>
  <c r="D10" i="11"/>
  <c r="N9" i="11"/>
  <c r="L9" i="11" s="1"/>
  <c r="M9" i="11"/>
  <c r="I9" i="11"/>
  <c r="D9" i="11"/>
  <c r="N8" i="11"/>
  <c r="M8" i="11"/>
  <c r="L8" i="11"/>
  <c r="C8" i="11" s="1"/>
  <c r="I8" i="11"/>
  <c r="D8" i="11"/>
  <c r="Q30" i="10"/>
  <c r="V87" i="10" s="1"/>
  <c r="N30" i="10"/>
  <c r="N33" i="10" s="1"/>
  <c r="L30" i="10"/>
  <c r="V60" i="10" s="1"/>
  <c r="I30" i="10"/>
  <c r="Q29" i="10"/>
  <c r="V86" i="10" s="1"/>
  <c r="N29" i="10"/>
  <c r="U86" i="10" s="1"/>
  <c r="L29" i="10"/>
  <c r="I29" i="10"/>
  <c r="Q28" i="10"/>
  <c r="V85" i="10" s="1"/>
  <c r="N28" i="10"/>
  <c r="L28" i="10"/>
  <c r="I28" i="10"/>
  <c r="Q27" i="10"/>
  <c r="V84" i="10" s="1"/>
  <c r="N27" i="10"/>
  <c r="L27" i="10"/>
  <c r="I27" i="10"/>
  <c r="Q26" i="10"/>
  <c r="V83" i="10" s="1"/>
  <c r="N26" i="10"/>
  <c r="L26" i="10"/>
  <c r="I26" i="10"/>
  <c r="Q25" i="10"/>
  <c r="V82" i="10" s="1"/>
  <c r="N25" i="10"/>
  <c r="U82" i="10" s="1"/>
  <c r="L25" i="10"/>
  <c r="I25" i="10"/>
  <c r="Q24" i="10"/>
  <c r="N24" i="10"/>
  <c r="M24" i="10" s="1"/>
  <c r="T81" i="10" s="1"/>
  <c r="L24" i="10"/>
  <c r="I24" i="10"/>
  <c r="Q23" i="10"/>
  <c r="V80" i="10" s="1"/>
  <c r="N23" i="10"/>
  <c r="U80" i="10" s="1"/>
  <c r="L23" i="10"/>
  <c r="I23" i="10"/>
  <c r="Q22" i="10"/>
  <c r="V79" i="10" s="1"/>
  <c r="N22" i="10"/>
  <c r="L22" i="10"/>
  <c r="I22" i="10"/>
  <c r="Q21" i="10"/>
  <c r="V78" i="10" s="1"/>
  <c r="N21" i="10"/>
  <c r="L21" i="10"/>
  <c r="I21" i="10"/>
  <c r="Q20" i="10"/>
  <c r="V77" i="10" s="1"/>
  <c r="N20" i="10"/>
  <c r="L20" i="10"/>
  <c r="I20" i="10"/>
  <c r="Q19" i="10"/>
  <c r="V76" i="10" s="1"/>
  <c r="N19" i="10"/>
  <c r="U76" i="10" s="1"/>
  <c r="L19" i="10"/>
  <c r="I19" i="10"/>
  <c r="Q18" i="10"/>
  <c r="V75" i="10" s="1"/>
  <c r="N18" i="10"/>
  <c r="D18" i="10" s="1"/>
  <c r="U18" i="10" s="1"/>
  <c r="L18" i="10"/>
  <c r="I18" i="10"/>
  <c r="U48" i="10" s="1"/>
  <c r="Q17" i="10"/>
  <c r="V74" i="10" s="1"/>
  <c r="N17" i="10"/>
  <c r="L17" i="10"/>
  <c r="I17" i="10"/>
  <c r="U47" i="10" s="1"/>
  <c r="H17" i="10"/>
  <c r="T47" i="10" s="1"/>
  <c r="D17" i="10"/>
  <c r="U17" i="10" s="1"/>
  <c r="Q16" i="10"/>
  <c r="V73" i="10" s="1"/>
  <c r="N16" i="10"/>
  <c r="L16" i="10"/>
  <c r="I16" i="10"/>
  <c r="U46" i="10" s="1"/>
  <c r="Q15" i="10"/>
  <c r="V72" i="10" s="1"/>
  <c r="P15" i="10"/>
  <c r="O15" i="10"/>
  <c r="L15" i="10"/>
  <c r="V45" i="10" s="1"/>
  <c r="K15" i="10"/>
  <c r="F15" i="10" s="1"/>
  <c r="J15" i="10"/>
  <c r="E15" i="10"/>
  <c r="Q14" i="10"/>
  <c r="V71" i="10" s="1"/>
  <c r="P14" i="10"/>
  <c r="O14" i="10"/>
  <c r="L14" i="10"/>
  <c r="V44" i="10" s="1"/>
  <c r="K14" i="10"/>
  <c r="F14" i="10" s="1"/>
  <c r="J14" i="10"/>
  <c r="Q13" i="10"/>
  <c r="V70" i="10" s="1"/>
  <c r="P13" i="10"/>
  <c r="F13" i="10" s="1"/>
  <c r="O13" i="10"/>
  <c r="L13" i="10"/>
  <c r="V43" i="10" s="1"/>
  <c r="K13" i="10"/>
  <c r="J13" i="10"/>
  <c r="U43" i="10" s="1"/>
  <c r="Q12" i="10"/>
  <c r="V69" i="10" s="1"/>
  <c r="P12" i="10"/>
  <c r="O12" i="10"/>
  <c r="L12" i="10"/>
  <c r="V42" i="10" s="1"/>
  <c r="K12" i="10"/>
  <c r="J12" i="10"/>
  <c r="E12" i="10"/>
  <c r="Q11" i="10"/>
  <c r="V68" i="10" s="1"/>
  <c r="P11" i="10"/>
  <c r="O11" i="10"/>
  <c r="U68" i="10" s="1"/>
  <c r="L11" i="10"/>
  <c r="V41" i="10" s="1"/>
  <c r="K11" i="10"/>
  <c r="J11" i="10"/>
  <c r="F11" i="10"/>
  <c r="Q10" i="10"/>
  <c r="V67" i="10" s="1"/>
  <c r="P10" i="10"/>
  <c r="O10" i="10"/>
  <c r="L10" i="10"/>
  <c r="V40" i="10" s="1"/>
  <c r="K10" i="10"/>
  <c r="F10" i="10" s="1"/>
  <c r="J10" i="10"/>
  <c r="O30" i="9"/>
  <c r="N30" i="9"/>
  <c r="L30" i="9"/>
  <c r="V59" i="9" s="1"/>
  <c r="K30" i="9"/>
  <c r="U59" i="9" s="1"/>
  <c r="J30" i="9"/>
  <c r="I30" i="9"/>
  <c r="G30" i="9"/>
  <c r="V28" i="9" s="1"/>
  <c r="F30" i="9"/>
  <c r="U28" i="9" s="1"/>
  <c r="O29" i="9"/>
  <c r="T87" i="9" s="1"/>
  <c r="N29" i="9"/>
  <c r="S87" i="9" s="1"/>
  <c r="L29" i="9"/>
  <c r="V58" i="9" s="1"/>
  <c r="K29" i="9"/>
  <c r="U58" i="9" s="1"/>
  <c r="J29" i="9"/>
  <c r="I29" i="9"/>
  <c r="S58" i="9" s="1"/>
  <c r="G29" i="9"/>
  <c r="V27" i="9" s="1"/>
  <c r="O28" i="9"/>
  <c r="T86" i="9" s="1"/>
  <c r="N28" i="9"/>
  <c r="S86" i="9" s="1"/>
  <c r="L28" i="9"/>
  <c r="G28" i="9" s="1"/>
  <c r="K28" i="9"/>
  <c r="U57" i="9" s="1"/>
  <c r="J28" i="9"/>
  <c r="T57" i="9" s="1"/>
  <c r="I28" i="9"/>
  <c r="F28" i="9"/>
  <c r="U26" i="9" s="1"/>
  <c r="E28" i="9"/>
  <c r="T26" i="9" s="1"/>
  <c r="O27" i="9"/>
  <c r="T85" i="9" s="1"/>
  <c r="N27" i="9"/>
  <c r="L27" i="9"/>
  <c r="K27" i="9"/>
  <c r="U56" i="9" s="1"/>
  <c r="J27" i="9"/>
  <c r="I27" i="9"/>
  <c r="S56" i="9" s="1"/>
  <c r="G27" i="9"/>
  <c r="O26" i="9"/>
  <c r="T84" i="9" s="1"/>
  <c r="N26" i="9"/>
  <c r="S84" i="9" s="1"/>
  <c r="L26" i="9"/>
  <c r="G26" i="9" s="1"/>
  <c r="J26" i="9"/>
  <c r="E26" i="9" s="1"/>
  <c r="I26" i="9"/>
  <c r="S55" i="9" s="1"/>
  <c r="O25" i="9"/>
  <c r="T83" i="9" s="1"/>
  <c r="N25" i="9"/>
  <c r="S83" i="9" s="1"/>
  <c r="L25" i="9"/>
  <c r="G25" i="9" s="1"/>
  <c r="J25" i="9"/>
  <c r="T54" i="9" s="1"/>
  <c r="I25" i="9"/>
  <c r="S54" i="9" s="1"/>
  <c r="O24" i="9"/>
  <c r="T82" i="9" s="1"/>
  <c r="N24" i="9"/>
  <c r="S82" i="9" s="1"/>
  <c r="L24" i="9"/>
  <c r="J24" i="9"/>
  <c r="T53" i="9" s="1"/>
  <c r="I24" i="9"/>
  <c r="S53" i="9" s="1"/>
  <c r="G24" i="9"/>
  <c r="O23" i="9"/>
  <c r="T81" i="9" s="1"/>
  <c r="N23" i="9"/>
  <c r="S81" i="9" s="1"/>
  <c r="L23" i="9"/>
  <c r="G23" i="9" s="1"/>
  <c r="J23" i="9"/>
  <c r="T52" i="9" s="1"/>
  <c r="I23" i="9"/>
  <c r="S52" i="9" s="1"/>
  <c r="D23" i="9"/>
  <c r="S21" i="9" s="1"/>
  <c r="O22" i="9"/>
  <c r="T80" i="9" s="1"/>
  <c r="N22" i="9"/>
  <c r="S80" i="9" s="1"/>
  <c r="L22" i="9"/>
  <c r="J22" i="9"/>
  <c r="T51" i="9" s="1"/>
  <c r="I22" i="9"/>
  <c r="S51" i="9" s="1"/>
  <c r="G22" i="9"/>
  <c r="O21" i="9"/>
  <c r="T79" i="9" s="1"/>
  <c r="N21" i="9"/>
  <c r="S79" i="9" s="1"/>
  <c r="L21" i="9"/>
  <c r="G21" i="9" s="1"/>
  <c r="J21" i="9"/>
  <c r="T50" i="9" s="1"/>
  <c r="I21" i="9"/>
  <c r="S50" i="9" s="1"/>
  <c r="O20" i="9"/>
  <c r="N20" i="9"/>
  <c r="S78" i="9" s="1"/>
  <c r="L20" i="9"/>
  <c r="J20" i="9"/>
  <c r="T49" i="9" s="1"/>
  <c r="I20" i="9"/>
  <c r="S49" i="9" s="1"/>
  <c r="G20" i="9"/>
  <c r="O19" i="9"/>
  <c r="T77" i="9" s="1"/>
  <c r="N19" i="9"/>
  <c r="S77" i="9" s="1"/>
  <c r="L19" i="9"/>
  <c r="G19" i="9" s="1"/>
  <c r="J19" i="9"/>
  <c r="T48" i="9" s="1"/>
  <c r="I19" i="9"/>
  <c r="O18" i="9"/>
  <c r="T76" i="9" s="1"/>
  <c r="N18" i="9"/>
  <c r="S76" i="9" s="1"/>
  <c r="L18" i="9"/>
  <c r="J18" i="9"/>
  <c r="I18" i="9"/>
  <c r="S47" i="9" s="1"/>
  <c r="G18" i="9"/>
  <c r="O17" i="9"/>
  <c r="T75" i="9" s="1"/>
  <c r="N17" i="9"/>
  <c r="S75" i="9" s="1"/>
  <c r="L17" i="9"/>
  <c r="J17" i="9"/>
  <c r="I17" i="9"/>
  <c r="S46" i="9" s="1"/>
  <c r="G17" i="9"/>
  <c r="O16" i="9"/>
  <c r="T74" i="9" s="1"/>
  <c r="N16" i="9"/>
  <c r="S74" i="9" s="1"/>
  <c r="L16" i="9"/>
  <c r="J16" i="9"/>
  <c r="I16" i="9"/>
  <c r="S45" i="9" s="1"/>
  <c r="O15" i="9"/>
  <c r="T73" i="9" s="1"/>
  <c r="N15" i="9"/>
  <c r="S73" i="9" s="1"/>
  <c r="L15" i="9"/>
  <c r="J15" i="9"/>
  <c r="T44" i="9" s="1"/>
  <c r="I15" i="9"/>
  <c r="H15" i="9" s="1"/>
  <c r="R44" i="9" s="1"/>
  <c r="G15" i="9"/>
  <c r="O14" i="9"/>
  <c r="T72" i="9" s="1"/>
  <c r="N14" i="9"/>
  <c r="L14" i="9"/>
  <c r="J14" i="9"/>
  <c r="T43" i="9" s="1"/>
  <c r="I14" i="9"/>
  <c r="O13" i="9"/>
  <c r="T71" i="9" s="1"/>
  <c r="N13" i="9"/>
  <c r="L13" i="9"/>
  <c r="J13" i="9"/>
  <c r="T42" i="9" s="1"/>
  <c r="I13" i="9"/>
  <c r="D13" i="9"/>
  <c r="S11" i="9" s="1"/>
  <c r="O12" i="9"/>
  <c r="T70" i="9" s="1"/>
  <c r="N12" i="9"/>
  <c r="L12" i="9"/>
  <c r="J12" i="9"/>
  <c r="T41" i="9" s="1"/>
  <c r="I12" i="9"/>
  <c r="S41" i="9" s="1"/>
  <c r="O11" i="9"/>
  <c r="T69" i="9" s="1"/>
  <c r="N11" i="9"/>
  <c r="S69" i="9" s="1"/>
  <c r="L11" i="9"/>
  <c r="J11" i="9"/>
  <c r="I11" i="9"/>
  <c r="S40" i="9" s="1"/>
  <c r="D11" i="9"/>
  <c r="S9" i="9" s="1"/>
  <c r="O10" i="9"/>
  <c r="T68" i="9" s="1"/>
  <c r="N10" i="9"/>
  <c r="J10" i="9"/>
  <c r="I10" i="9"/>
  <c r="S39" i="9" s="1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88" i="8"/>
  <c r="U88" i="8"/>
  <c r="T88" i="8"/>
  <c r="V87" i="8"/>
  <c r="U87" i="8"/>
  <c r="T87" i="8"/>
  <c r="V86" i="8"/>
  <c r="U86" i="8"/>
  <c r="T86" i="8"/>
  <c r="V85" i="8"/>
  <c r="U85" i="8"/>
  <c r="T85" i="8"/>
  <c r="V84" i="8"/>
  <c r="U84" i="8"/>
  <c r="T84" i="8"/>
  <c r="V83" i="8"/>
  <c r="U83" i="8"/>
  <c r="T83" i="8"/>
  <c r="V82" i="8"/>
  <c r="U82" i="8"/>
  <c r="T82" i="8"/>
  <c r="V81" i="8"/>
  <c r="U81" i="8"/>
  <c r="T81" i="8"/>
  <c r="V80" i="8"/>
  <c r="U80" i="8"/>
  <c r="T80" i="8"/>
  <c r="V79" i="8"/>
  <c r="U79" i="8"/>
  <c r="T79" i="8"/>
  <c r="V78" i="8"/>
  <c r="U78" i="8"/>
  <c r="T78" i="8"/>
  <c r="V77" i="8"/>
  <c r="U77" i="8"/>
  <c r="T77" i="8"/>
  <c r="V76" i="8"/>
  <c r="U76" i="8"/>
  <c r="T76" i="8"/>
  <c r="V75" i="8"/>
  <c r="U75" i="8"/>
  <c r="T75" i="8"/>
  <c r="V74" i="8"/>
  <c r="U74" i="8"/>
  <c r="T74" i="8"/>
  <c r="V73" i="8"/>
  <c r="U73" i="8"/>
  <c r="T73" i="8"/>
  <c r="V72" i="8"/>
  <c r="U72" i="8"/>
  <c r="T72" i="8"/>
  <c r="V71" i="8"/>
  <c r="U71" i="8"/>
  <c r="T71" i="8"/>
  <c r="V70" i="8"/>
  <c r="U70" i="8"/>
  <c r="T70" i="8"/>
  <c r="V69" i="8"/>
  <c r="U69" i="8"/>
  <c r="T69" i="8"/>
  <c r="V68" i="8"/>
  <c r="U68" i="8"/>
  <c r="T68" i="8"/>
  <c r="V65" i="8"/>
  <c r="U65" i="8"/>
  <c r="T65" i="8"/>
  <c r="V64" i="8"/>
  <c r="U64" i="8"/>
  <c r="T64" i="8"/>
  <c r="V63" i="8"/>
  <c r="U63" i="8"/>
  <c r="T63" i="8"/>
  <c r="V62" i="8"/>
  <c r="U62" i="8"/>
  <c r="T62" i="8"/>
  <c r="V61" i="8"/>
  <c r="U61" i="8"/>
  <c r="T61" i="8"/>
  <c r="V60" i="8"/>
  <c r="U60" i="8"/>
  <c r="T60" i="8"/>
  <c r="V59" i="8"/>
  <c r="U59" i="8"/>
  <c r="T59" i="8"/>
  <c r="V58" i="8"/>
  <c r="U58" i="8"/>
  <c r="T58" i="8"/>
  <c r="V57" i="8"/>
  <c r="U57" i="8"/>
  <c r="T57" i="8"/>
  <c r="V56" i="8"/>
  <c r="U56" i="8"/>
  <c r="T56" i="8"/>
  <c r="V55" i="8"/>
  <c r="U55" i="8"/>
  <c r="T55" i="8"/>
  <c r="V54" i="8"/>
  <c r="U54" i="8"/>
  <c r="T54" i="8"/>
  <c r="V53" i="8"/>
  <c r="U53" i="8"/>
  <c r="T53" i="8"/>
  <c r="V52" i="8"/>
  <c r="U52" i="8"/>
  <c r="T52" i="8"/>
  <c r="V51" i="8"/>
  <c r="U51" i="8"/>
  <c r="T51" i="8"/>
  <c r="V50" i="8"/>
  <c r="U50" i="8"/>
  <c r="T50" i="8"/>
  <c r="V49" i="8"/>
  <c r="U49" i="8"/>
  <c r="T49" i="8"/>
  <c r="V48" i="8"/>
  <c r="U48" i="8"/>
  <c r="T48" i="8"/>
  <c r="V47" i="8"/>
  <c r="U47" i="8"/>
  <c r="T47" i="8"/>
  <c r="V46" i="8"/>
  <c r="U46" i="8"/>
  <c r="T46" i="8"/>
  <c r="V45" i="8"/>
  <c r="U45" i="8"/>
  <c r="T45" i="8"/>
  <c r="L31" i="8"/>
  <c r="H31" i="8"/>
  <c r="G31" i="8"/>
  <c r="F31" i="8"/>
  <c r="E31" i="8"/>
  <c r="L30" i="8"/>
  <c r="S87" i="8" s="1"/>
  <c r="H30" i="8"/>
  <c r="G30" i="8"/>
  <c r="U111" i="8" s="1"/>
  <c r="F30" i="8"/>
  <c r="T111" i="8" s="1"/>
  <c r="E30" i="8"/>
  <c r="S111" i="8" s="1"/>
  <c r="L29" i="8"/>
  <c r="U29" i="8" s="1"/>
  <c r="H29" i="8"/>
  <c r="S63" i="8" s="1"/>
  <c r="G29" i="8"/>
  <c r="U110" i="8" s="1"/>
  <c r="F29" i="8"/>
  <c r="T110" i="8" s="1"/>
  <c r="E29" i="8"/>
  <c r="L28" i="8"/>
  <c r="S85" i="8" s="1"/>
  <c r="H28" i="8"/>
  <c r="G28" i="8"/>
  <c r="U109" i="8" s="1"/>
  <c r="F28" i="8"/>
  <c r="T109" i="8" s="1"/>
  <c r="E28" i="8"/>
  <c r="S109" i="8" s="1"/>
  <c r="L27" i="8"/>
  <c r="U27" i="8" s="1"/>
  <c r="H27" i="8"/>
  <c r="S61" i="8" s="1"/>
  <c r="G27" i="8"/>
  <c r="U108" i="8" s="1"/>
  <c r="F27" i="8"/>
  <c r="T108" i="8" s="1"/>
  <c r="E27" i="8"/>
  <c r="L26" i="8"/>
  <c r="S83" i="8" s="1"/>
  <c r="H26" i="8"/>
  <c r="G26" i="8"/>
  <c r="U107" i="8" s="1"/>
  <c r="F26" i="8"/>
  <c r="T107" i="8" s="1"/>
  <c r="E26" i="8"/>
  <c r="S107" i="8" s="1"/>
  <c r="L25" i="8"/>
  <c r="U25" i="8" s="1"/>
  <c r="H25" i="8"/>
  <c r="S59" i="8" s="1"/>
  <c r="G25" i="8"/>
  <c r="U106" i="8" s="1"/>
  <c r="F25" i="8"/>
  <c r="T106" i="8" s="1"/>
  <c r="E25" i="8"/>
  <c r="L24" i="8"/>
  <c r="S81" i="8" s="1"/>
  <c r="H24" i="8"/>
  <c r="G24" i="8"/>
  <c r="U105" i="8" s="1"/>
  <c r="F24" i="8"/>
  <c r="T105" i="8" s="1"/>
  <c r="E24" i="8"/>
  <c r="S105" i="8" s="1"/>
  <c r="L23" i="8"/>
  <c r="U23" i="8" s="1"/>
  <c r="H23" i="8"/>
  <c r="S57" i="8" s="1"/>
  <c r="G23" i="8"/>
  <c r="U104" i="8" s="1"/>
  <c r="F23" i="8"/>
  <c r="T104" i="8" s="1"/>
  <c r="E23" i="8"/>
  <c r="U22" i="8"/>
  <c r="L22" i="8"/>
  <c r="S79" i="8" s="1"/>
  <c r="H22" i="8"/>
  <c r="G22" i="8"/>
  <c r="U103" i="8" s="1"/>
  <c r="F22" i="8"/>
  <c r="T103" i="8" s="1"/>
  <c r="E22" i="8"/>
  <c r="S103" i="8" s="1"/>
  <c r="L21" i="8"/>
  <c r="U21" i="8" s="1"/>
  <c r="H21" i="8"/>
  <c r="S55" i="8" s="1"/>
  <c r="G21" i="8"/>
  <c r="U102" i="8" s="1"/>
  <c r="F21" i="8"/>
  <c r="T102" i="8" s="1"/>
  <c r="E21" i="8"/>
  <c r="L20" i="8"/>
  <c r="S77" i="8" s="1"/>
  <c r="H20" i="8"/>
  <c r="G20" i="8"/>
  <c r="U101" i="8" s="1"/>
  <c r="F20" i="8"/>
  <c r="T101" i="8" s="1"/>
  <c r="E20" i="8"/>
  <c r="S101" i="8" s="1"/>
  <c r="L19" i="8"/>
  <c r="U19" i="8" s="1"/>
  <c r="H19" i="8"/>
  <c r="S53" i="8" s="1"/>
  <c r="G19" i="8"/>
  <c r="U100" i="8" s="1"/>
  <c r="F19" i="8"/>
  <c r="T100" i="8" s="1"/>
  <c r="E19" i="8"/>
  <c r="L18" i="8"/>
  <c r="S75" i="8" s="1"/>
  <c r="H18" i="8"/>
  <c r="G18" i="8"/>
  <c r="U99" i="8" s="1"/>
  <c r="F18" i="8"/>
  <c r="T99" i="8" s="1"/>
  <c r="E18" i="8"/>
  <c r="S99" i="8" s="1"/>
  <c r="L17" i="8"/>
  <c r="U17" i="8" s="1"/>
  <c r="H17" i="8"/>
  <c r="S51" i="8" s="1"/>
  <c r="G17" i="8"/>
  <c r="U98" i="8" s="1"/>
  <c r="F17" i="8"/>
  <c r="T98" i="8" s="1"/>
  <c r="E17" i="8"/>
  <c r="U16" i="8"/>
  <c r="L16" i="8"/>
  <c r="S73" i="8" s="1"/>
  <c r="H16" i="8"/>
  <c r="G16" i="8"/>
  <c r="U97" i="8" s="1"/>
  <c r="F16" i="8"/>
  <c r="T97" i="8" s="1"/>
  <c r="E16" i="8"/>
  <c r="S97" i="8" s="1"/>
  <c r="L15" i="8"/>
  <c r="H15" i="8"/>
  <c r="S49" i="8" s="1"/>
  <c r="G15" i="8"/>
  <c r="U96" i="8" s="1"/>
  <c r="F15" i="8"/>
  <c r="T96" i="8" s="1"/>
  <c r="E15" i="8"/>
  <c r="L14" i="8"/>
  <c r="S71" i="8" s="1"/>
  <c r="H14" i="8"/>
  <c r="S48" i="8" s="1"/>
  <c r="G14" i="8"/>
  <c r="U95" i="8" s="1"/>
  <c r="F14" i="8"/>
  <c r="T95" i="8" s="1"/>
  <c r="E14" i="8"/>
  <c r="S95" i="8" s="1"/>
  <c r="L13" i="8"/>
  <c r="H13" i="8"/>
  <c r="S47" i="8" s="1"/>
  <c r="G13" i="8"/>
  <c r="U94" i="8" s="1"/>
  <c r="F13" i="8"/>
  <c r="T94" i="8" s="1"/>
  <c r="E13" i="8"/>
  <c r="L12" i="8"/>
  <c r="S69" i="8" s="1"/>
  <c r="H12" i="8"/>
  <c r="S46" i="8" s="1"/>
  <c r="G12" i="8"/>
  <c r="U93" i="8" s="1"/>
  <c r="F12" i="8"/>
  <c r="T93" i="8" s="1"/>
  <c r="E12" i="8"/>
  <c r="S93" i="8" s="1"/>
  <c r="L11" i="8"/>
  <c r="H11" i="8"/>
  <c r="S45" i="8" s="1"/>
  <c r="G11" i="8"/>
  <c r="U92" i="8" s="1"/>
  <c r="F11" i="8"/>
  <c r="T92" i="8" s="1"/>
  <c r="E11" i="8"/>
  <c r="L78" i="7"/>
  <c r="C78" i="7" s="1"/>
  <c r="L77" i="7"/>
  <c r="C77" i="7" s="1"/>
  <c r="L76" i="7"/>
  <c r="C76" i="7" s="1"/>
  <c r="L75" i="7"/>
  <c r="C75" i="7" s="1"/>
  <c r="L74" i="7"/>
  <c r="C74" i="7" s="1"/>
  <c r="L73" i="7"/>
  <c r="C73" i="7" s="1"/>
  <c r="L72" i="7"/>
  <c r="C72" i="7" s="1"/>
  <c r="L71" i="7"/>
  <c r="C71" i="7" s="1"/>
  <c r="L70" i="7"/>
  <c r="C70" i="7" s="1"/>
  <c r="L69" i="7"/>
  <c r="C69" i="7" s="1"/>
  <c r="L68" i="7"/>
  <c r="C68" i="7" s="1"/>
  <c r="L67" i="7"/>
  <c r="C67" i="7" s="1"/>
  <c r="L66" i="7"/>
  <c r="C66" i="7" s="1"/>
  <c r="L65" i="7"/>
  <c r="C65" i="7" s="1"/>
  <c r="L64" i="7"/>
  <c r="C64" i="7" s="1"/>
  <c r="L63" i="7"/>
  <c r="C63" i="7" s="1"/>
  <c r="L62" i="7"/>
  <c r="C62" i="7" s="1"/>
  <c r="L61" i="7"/>
  <c r="C61" i="7" s="1"/>
  <c r="L60" i="7"/>
  <c r="C60" i="7" s="1"/>
  <c r="L59" i="7"/>
  <c r="C59" i="7" s="1"/>
  <c r="L58" i="7"/>
  <c r="C58" i="7" s="1"/>
  <c r="L25" i="7"/>
  <c r="C25" i="7" s="1"/>
  <c r="L24" i="7"/>
  <c r="C24" i="7" s="1"/>
  <c r="L23" i="7"/>
  <c r="C23" i="7" s="1"/>
  <c r="L22" i="7"/>
  <c r="C22" i="7" s="1"/>
  <c r="L21" i="7"/>
  <c r="C21" i="7" s="1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AA81" i="6"/>
  <c r="Z81" i="6"/>
  <c r="Y81" i="6"/>
  <c r="X81" i="6"/>
  <c r="AA80" i="6"/>
  <c r="Z80" i="6"/>
  <c r="Y80" i="6"/>
  <c r="X80" i="6"/>
  <c r="AA79" i="6"/>
  <c r="Z79" i="6"/>
  <c r="Y79" i="6"/>
  <c r="X79" i="6"/>
  <c r="AA75" i="6"/>
  <c r="Z75" i="6"/>
  <c r="Y75" i="6"/>
  <c r="X75" i="6"/>
  <c r="AA73" i="6"/>
  <c r="Z73" i="6"/>
  <c r="Y73" i="6"/>
  <c r="X73" i="6"/>
  <c r="BU71" i="6"/>
  <c r="BV71" i="6" s="1"/>
  <c r="BS71" i="6"/>
  <c r="BR71" i="6"/>
  <c r="BO71" i="6"/>
  <c r="BP71" i="6" s="1"/>
  <c r="BM71" i="6"/>
  <c r="BL71" i="6"/>
  <c r="BI71" i="6"/>
  <c r="BJ71" i="6" s="1"/>
  <c r="BG71" i="6"/>
  <c r="BF71" i="6"/>
  <c r="BC71" i="6"/>
  <c r="BD71" i="6" s="1"/>
  <c r="BA71" i="6"/>
  <c r="AY71" i="6"/>
  <c r="AW71" i="6"/>
  <c r="AU71" i="6"/>
  <c r="AS71" i="6"/>
  <c r="AQ71" i="6"/>
  <c r="BU70" i="6"/>
  <c r="BV70" i="6" s="1"/>
  <c r="BS70" i="6"/>
  <c r="BR70" i="6"/>
  <c r="BO70" i="6"/>
  <c r="BP70" i="6" s="1"/>
  <c r="BM70" i="6"/>
  <c r="BL70" i="6"/>
  <c r="BI70" i="6"/>
  <c r="BJ70" i="6" s="1"/>
  <c r="BG70" i="6"/>
  <c r="BF70" i="6"/>
  <c r="BC70" i="6"/>
  <c r="BD70" i="6" s="1"/>
  <c r="BA70" i="6"/>
  <c r="AY70" i="6"/>
  <c r="AW70" i="6"/>
  <c r="AU70" i="6"/>
  <c r="AS70" i="6"/>
  <c r="AQ70" i="6"/>
  <c r="AO70" i="6"/>
  <c r="AM70" i="6"/>
  <c r="AK70" i="6"/>
  <c r="AI70" i="6"/>
  <c r="AG70" i="6"/>
  <c r="AE70" i="6"/>
  <c r="AO69" i="6"/>
  <c r="AM69" i="6"/>
  <c r="AK69" i="6"/>
  <c r="AI69" i="6"/>
  <c r="AG69" i="6"/>
  <c r="AE69" i="6"/>
  <c r="AO68" i="6"/>
  <c r="AM68" i="6"/>
  <c r="AK68" i="6"/>
  <c r="AI68" i="6"/>
  <c r="AG68" i="6"/>
  <c r="AE68" i="6"/>
  <c r="E68" i="6"/>
  <c r="BS66" i="6"/>
  <c r="BR66" i="6"/>
  <c r="BO66" i="6"/>
  <c r="BP66" i="6" s="1"/>
  <c r="BM66" i="6"/>
  <c r="BL66" i="6"/>
  <c r="BI66" i="6"/>
  <c r="BJ66" i="6" s="1"/>
  <c r="BG66" i="6"/>
  <c r="BF66" i="6"/>
  <c r="BC66" i="6"/>
  <c r="BD66" i="6" s="1"/>
  <c r="BA66" i="6"/>
  <c r="AY66" i="6"/>
  <c r="AW66" i="6"/>
  <c r="AU66" i="6"/>
  <c r="AS66" i="6"/>
  <c r="AQ66" i="6"/>
  <c r="AO66" i="6"/>
  <c r="AM66" i="6"/>
  <c r="AK66" i="6"/>
  <c r="AI66" i="6"/>
  <c r="AG66" i="6"/>
  <c r="AE66" i="6"/>
  <c r="BV65" i="6"/>
  <c r="BU65" i="6"/>
  <c r="BR65" i="6"/>
  <c r="BS65" i="6" s="1"/>
  <c r="BP65" i="6"/>
  <c r="BO65" i="6"/>
  <c r="BL65" i="6"/>
  <c r="BM65" i="6" s="1"/>
  <c r="BJ65" i="6"/>
  <c r="BI65" i="6"/>
  <c r="BF65" i="6"/>
  <c r="BG65" i="6" s="1"/>
  <c r="BD65" i="6"/>
  <c r="BC65" i="6"/>
  <c r="BA65" i="6"/>
  <c r="AY65" i="6"/>
  <c r="AW65" i="6"/>
  <c r="AU65" i="6"/>
  <c r="AS65" i="6"/>
  <c r="AQ65" i="6"/>
  <c r="AO65" i="6"/>
  <c r="AM65" i="6"/>
  <c r="AK65" i="6"/>
  <c r="AI65" i="6"/>
  <c r="AG65" i="6"/>
  <c r="AE65" i="6"/>
  <c r="BU63" i="6"/>
  <c r="BV63" i="6" s="1"/>
  <c r="BS63" i="6"/>
  <c r="BR63" i="6"/>
  <c r="BO63" i="6"/>
  <c r="BP63" i="6" s="1"/>
  <c r="BM63" i="6"/>
  <c r="BL63" i="6"/>
  <c r="BI63" i="6"/>
  <c r="BJ63" i="6" s="1"/>
  <c r="BG63" i="6"/>
  <c r="BF63" i="6"/>
  <c r="BC63" i="6"/>
  <c r="BD63" i="6" s="1"/>
  <c r="BA63" i="6"/>
  <c r="AY63" i="6"/>
  <c r="AW63" i="6"/>
  <c r="AU63" i="6"/>
  <c r="AS63" i="6"/>
  <c r="AQ63" i="6"/>
  <c r="AO63" i="6"/>
  <c r="AM63" i="6"/>
  <c r="AK63" i="6"/>
  <c r="AI63" i="6"/>
  <c r="AG63" i="6"/>
  <c r="AE63" i="6"/>
  <c r="BV62" i="6"/>
  <c r="BU62" i="6"/>
  <c r="BR62" i="6"/>
  <c r="BS62" i="6" s="1"/>
  <c r="BP62" i="6"/>
  <c r="BO62" i="6"/>
  <c r="BL62" i="6"/>
  <c r="BM62" i="6" s="1"/>
  <c r="BJ62" i="6"/>
  <c r="BI62" i="6"/>
  <c r="BF62" i="6"/>
  <c r="BG62" i="6" s="1"/>
  <c r="BD62" i="6"/>
  <c r="BC62" i="6"/>
  <c r="BA62" i="6"/>
  <c r="AY62" i="6"/>
  <c r="AW62" i="6"/>
  <c r="AU62" i="6"/>
  <c r="AS62" i="6"/>
  <c r="AQ62" i="6"/>
  <c r="AO62" i="6"/>
  <c r="AM62" i="6"/>
  <c r="AK62" i="6"/>
  <c r="AI62" i="6"/>
  <c r="AG62" i="6"/>
  <c r="AE62" i="6"/>
  <c r="BT59" i="6"/>
  <c r="BU66" i="6" s="1"/>
  <c r="BV66" i="6" s="1"/>
  <c r="AA59" i="6"/>
  <c r="Z59" i="6"/>
  <c r="Y59" i="6"/>
  <c r="X59" i="6"/>
  <c r="AA57" i="6"/>
  <c r="Z57" i="6"/>
  <c r="Y57" i="6"/>
  <c r="X57" i="6"/>
  <c r="BU55" i="6"/>
  <c r="BV55" i="6" s="1"/>
  <c r="BS55" i="6"/>
  <c r="BR55" i="6"/>
  <c r="BO55" i="6"/>
  <c r="BP55" i="6" s="1"/>
  <c r="BM55" i="6"/>
  <c r="BL55" i="6"/>
  <c r="BI55" i="6"/>
  <c r="BJ55" i="6" s="1"/>
  <c r="BG55" i="6"/>
  <c r="BF55" i="6"/>
  <c r="BC55" i="6"/>
  <c r="BD55" i="6" s="1"/>
  <c r="BA55" i="6"/>
  <c r="AY55" i="6"/>
  <c r="AW55" i="6"/>
  <c r="AU55" i="6"/>
  <c r="AS55" i="6"/>
  <c r="AQ55" i="6"/>
  <c r="AO55" i="6"/>
  <c r="AM55" i="6"/>
  <c r="AK55" i="6"/>
  <c r="AI55" i="6"/>
  <c r="AG55" i="6"/>
  <c r="AE55" i="6"/>
  <c r="BV54" i="6"/>
  <c r="BU54" i="6"/>
  <c r="BR54" i="6"/>
  <c r="BS54" i="6" s="1"/>
  <c r="BP54" i="6"/>
  <c r="BO54" i="6"/>
  <c r="BL54" i="6"/>
  <c r="BM54" i="6" s="1"/>
  <c r="BJ54" i="6"/>
  <c r="BI54" i="6"/>
  <c r="BF54" i="6"/>
  <c r="BG54" i="6" s="1"/>
  <c r="BD54" i="6"/>
  <c r="BC54" i="6"/>
  <c r="BA54" i="6"/>
  <c r="AY54" i="6"/>
  <c r="AW54" i="6"/>
  <c r="AU54" i="6"/>
  <c r="AS54" i="6"/>
  <c r="AQ54" i="6"/>
  <c r="AO54" i="6"/>
  <c r="AM54" i="6"/>
  <c r="AK54" i="6"/>
  <c r="AI54" i="6"/>
  <c r="AG54" i="6"/>
  <c r="AE54" i="6"/>
  <c r="BU52" i="6"/>
  <c r="BV52" i="6" s="1"/>
  <c r="BS52" i="6"/>
  <c r="BR52" i="6"/>
  <c r="BO52" i="6"/>
  <c r="BP52" i="6" s="1"/>
  <c r="BM52" i="6"/>
  <c r="BL52" i="6"/>
  <c r="BI52" i="6"/>
  <c r="BJ52" i="6" s="1"/>
  <c r="BG52" i="6"/>
  <c r="BF52" i="6"/>
  <c r="BC52" i="6"/>
  <c r="BD52" i="6" s="1"/>
  <c r="BA52" i="6"/>
  <c r="AY52" i="6"/>
  <c r="AW52" i="6"/>
  <c r="AU52" i="6"/>
  <c r="AS52" i="6"/>
  <c r="AQ52" i="6"/>
  <c r="BU51" i="6"/>
  <c r="BV51" i="6" s="1"/>
  <c r="BS51" i="6"/>
  <c r="BR51" i="6"/>
  <c r="BO51" i="6"/>
  <c r="BP51" i="6" s="1"/>
  <c r="BM51" i="6"/>
  <c r="BL51" i="6"/>
  <c r="BI51" i="6"/>
  <c r="BJ51" i="6" s="1"/>
  <c r="BG51" i="6"/>
  <c r="BF51" i="6"/>
  <c r="BC51" i="6"/>
  <c r="BD51" i="6" s="1"/>
  <c r="BA51" i="6"/>
  <c r="AY51" i="6"/>
  <c r="AW51" i="6"/>
  <c r="AU51" i="6"/>
  <c r="AS51" i="6"/>
  <c r="AQ51" i="6"/>
  <c r="AO51" i="6"/>
  <c r="AM51" i="6"/>
  <c r="AK51" i="6"/>
  <c r="AI51" i="6"/>
  <c r="AG51" i="6"/>
  <c r="AE51" i="6"/>
  <c r="AO50" i="6"/>
  <c r="AM50" i="6"/>
  <c r="AK50" i="6"/>
  <c r="AI50" i="6"/>
  <c r="AG50" i="6"/>
  <c r="AE50" i="6"/>
  <c r="F50" i="6"/>
  <c r="E50" i="6"/>
  <c r="D50" i="6"/>
  <c r="AO49" i="6"/>
  <c r="AM49" i="6"/>
  <c r="AK49" i="6"/>
  <c r="AI49" i="6"/>
  <c r="AG49" i="6"/>
  <c r="AE49" i="6"/>
  <c r="BV46" i="6"/>
  <c r="BU46" i="6"/>
  <c r="BR46" i="6"/>
  <c r="BS46" i="6" s="1"/>
  <c r="BV45" i="6"/>
  <c r="BU45" i="6"/>
  <c r="BR45" i="6"/>
  <c r="BS45" i="6" s="1"/>
  <c r="BP45" i="6"/>
  <c r="BO45" i="6"/>
  <c r="BL45" i="6"/>
  <c r="BM45" i="6" s="1"/>
  <c r="BJ45" i="6"/>
  <c r="BI45" i="6"/>
  <c r="BF45" i="6"/>
  <c r="BG45" i="6" s="1"/>
  <c r="BD45" i="6"/>
  <c r="BC45" i="6"/>
  <c r="BA45" i="6"/>
  <c r="AY45" i="6"/>
  <c r="AW45" i="6"/>
  <c r="AU45" i="6"/>
  <c r="AS45" i="6"/>
  <c r="AQ45" i="6"/>
  <c r="AO45" i="6"/>
  <c r="AM45" i="6"/>
  <c r="AK45" i="6"/>
  <c r="AI45" i="6"/>
  <c r="AG45" i="6"/>
  <c r="AE45" i="6"/>
  <c r="BU44" i="6"/>
  <c r="BV44" i="6" s="1"/>
  <c r="BS44" i="6"/>
  <c r="BR44" i="6"/>
  <c r="BO44" i="6"/>
  <c r="BP44" i="6" s="1"/>
  <c r="BM44" i="6"/>
  <c r="BL44" i="6"/>
  <c r="BI44" i="6"/>
  <c r="BJ44" i="6" s="1"/>
  <c r="BG44" i="6"/>
  <c r="BF44" i="6"/>
  <c r="BC44" i="6"/>
  <c r="BD44" i="6" s="1"/>
  <c r="BA44" i="6"/>
  <c r="AY44" i="6"/>
  <c r="AW44" i="6"/>
  <c r="AU44" i="6"/>
  <c r="AS44" i="6"/>
  <c r="AQ44" i="6"/>
  <c r="AO44" i="6"/>
  <c r="AM44" i="6"/>
  <c r="AK44" i="6"/>
  <c r="AI44" i="6"/>
  <c r="AG44" i="6"/>
  <c r="AE44" i="6"/>
  <c r="AA41" i="6"/>
  <c r="Z41" i="6"/>
  <c r="Y41" i="6"/>
  <c r="X41" i="6"/>
  <c r="AA39" i="6"/>
  <c r="Z39" i="6"/>
  <c r="Y39" i="6"/>
  <c r="X39" i="6"/>
  <c r="BV37" i="6"/>
  <c r="BU37" i="6"/>
  <c r="BR37" i="6"/>
  <c r="BS37" i="6" s="1"/>
  <c r="BP37" i="6"/>
  <c r="BO37" i="6"/>
  <c r="BL37" i="6"/>
  <c r="BM37" i="6" s="1"/>
  <c r="BJ37" i="6"/>
  <c r="BI37" i="6"/>
  <c r="BF37" i="6"/>
  <c r="BG37" i="6" s="1"/>
  <c r="BD37" i="6"/>
  <c r="BC37" i="6"/>
  <c r="BA37" i="6"/>
  <c r="AY37" i="6"/>
  <c r="AW37" i="6"/>
  <c r="AU37" i="6"/>
  <c r="AS37" i="6"/>
  <c r="AQ37" i="6"/>
  <c r="AO37" i="6"/>
  <c r="AM37" i="6"/>
  <c r="AK37" i="6"/>
  <c r="AI37" i="6"/>
  <c r="AG37" i="6"/>
  <c r="AE37" i="6"/>
  <c r="BV36" i="6"/>
  <c r="BU36" i="6"/>
  <c r="BS36" i="6"/>
  <c r="BR36" i="6"/>
  <c r="BP36" i="6"/>
  <c r="BO36" i="6"/>
  <c r="BM36" i="6"/>
  <c r="BL36" i="6"/>
  <c r="BJ36" i="6"/>
  <c r="BI36" i="6"/>
  <c r="BG36" i="6"/>
  <c r="BF36" i="6"/>
  <c r="BD36" i="6"/>
  <c r="BC36" i="6"/>
  <c r="BA36" i="6"/>
  <c r="AY36" i="6"/>
  <c r="AW36" i="6"/>
  <c r="AU36" i="6"/>
  <c r="AS36" i="6"/>
  <c r="AQ36" i="6"/>
  <c r="AO36" i="6"/>
  <c r="AM36" i="6"/>
  <c r="AK36" i="6"/>
  <c r="AI36" i="6"/>
  <c r="AG36" i="6"/>
  <c r="AE36" i="6"/>
  <c r="BV34" i="6"/>
  <c r="BU34" i="6"/>
  <c r="BS34" i="6"/>
  <c r="BR34" i="6"/>
  <c r="BP34" i="6"/>
  <c r="BO34" i="6"/>
  <c r="BM34" i="6"/>
  <c r="BL34" i="6"/>
  <c r="BJ34" i="6"/>
  <c r="BI34" i="6"/>
  <c r="BG34" i="6"/>
  <c r="BF34" i="6"/>
  <c r="BD34" i="6"/>
  <c r="BC34" i="6"/>
  <c r="BA34" i="6"/>
  <c r="AY34" i="6"/>
  <c r="AW34" i="6"/>
  <c r="AU34" i="6"/>
  <c r="AS34" i="6"/>
  <c r="AQ34" i="6"/>
  <c r="AO34" i="6"/>
  <c r="AM34" i="6"/>
  <c r="AK34" i="6"/>
  <c r="AI34" i="6"/>
  <c r="AG34" i="6"/>
  <c r="AE34" i="6"/>
  <c r="BV33" i="6"/>
  <c r="BU33" i="6"/>
  <c r="BS33" i="6"/>
  <c r="BR33" i="6"/>
  <c r="BP33" i="6"/>
  <c r="BO33" i="6"/>
  <c r="BM33" i="6"/>
  <c r="BL33" i="6"/>
  <c r="BJ33" i="6"/>
  <c r="BI33" i="6"/>
  <c r="BG33" i="6"/>
  <c r="BF33" i="6"/>
  <c r="BD33" i="6"/>
  <c r="BC33" i="6"/>
  <c r="BA33" i="6"/>
  <c r="AY33" i="6"/>
  <c r="AW33" i="6"/>
  <c r="AU33" i="6"/>
  <c r="AS33" i="6"/>
  <c r="AQ33" i="6"/>
  <c r="AO32" i="6"/>
  <c r="AM32" i="6"/>
  <c r="AK32" i="6"/>
  <c r="AI32" i="6"/>
  <c r="AG32" i="6"/>
  <c r="AE32" i="6"/>
  <c r="AO31" i="6"/>
  <c r="AM31" i="6"/>
  <c r="AK31" i="6"/>
  <c r="AI31" i="6"/>
  <c r="AG31" i="6"/>
  <c r="AE31" i="6"/>
  <c r="BV28" i="6"/>
  <c r="BU28" i="6"/>
  <c r="BS28" i="6"/>
  <c r="BR28" i="6"/>
  <c r="BV27" i="6"/>
  <c r="BU27" i="6"/>
  <c r="BS27" i="6"/>
  <c r="BR27" i="6"/>
  <c r="BP27" i="6"/>
  <c r="BO27" i="6"/>
  <c r="BM27" i="6"/>
  <c r="BL27" i="6"/>
  <c r="BJ27" i="6"/>
  <c r="BI27" i="6"/>
  <c r="BG27" i="6"/>
  <c r="BF27" i="6"/>
  <c r="BD27" i="6"/>
  <c r="BC27" i="6"/>
  <c r="BA27" i="6"/>
  <c r="AY27" i="6"/>
  <c r="AW27" i="6"/>
  <c r="AU27" i="6"/>
  <c r="AS27" i="6"/>
  <c r="AQ27" i="6"/>
  <c r="AO27" i="6"/>
  <c r="AM27" i="6"/>
  <c r="AK27" i="6"/>
  <c r="AI27" i="6"/>
  <c r="AG27" i="6"/>
  <c r="AE27" i="6"/>
  <c r="BV26" i="6"/>
  <c r="BU26" i="6"/>
  <c r="BS26" i="6"/>
  <c r="BR26" i="6"/>
  <c r="BP26" i="6"/>
  <c r="BO26" i="6"/>
  <c r="BM26" i="6"/>
  <c r="BL26" i="6"/>
  <c r="BJ26" i="6"/>
  <c r="BI26" i="6"/>
  <c r="BG26" i="6"/>
  <c r="BF26" i="6"/>
  <c r="BD26" i="6"/>
  <c r="BC26" i="6"/>
  <c r="BA26" i="6"/>
  <c r="AY26" i="6"/>
  <c r="AW26" i="6"/>
  <c r="AU26" i="6"/>
  <c r="AS26" i="6"/>
  <c r="AQ26" i="6"/>
  <c r="AO26" i="6"/>
  <c r="AM26" i="6"/>
  <c r="AK26" i="6"/>
  <c r="AI26" i="6"/>
  <c r="AG26" i="6"/>
  <c r="AE26" i="6"/>
  <c r="AA23" i="6"/>
  <c r="Z23" i="6"/>
  <c r="Y23" i="6"/>
  <c r="X23" i="6"/>
  <c r="BV21" i="6"/>
  <c r="BU21" i="6"/>
  <c r="BS21" i="6"/>
  <c r="BR21" i="6"/>
  <c r="BP21" i="6"/>
  <c r="BO21" i="6"/>
  <c r="BM21" i="6"/>
  <c r="BL21" i="6"/>
  <c r="BJ21" i="6"/>
  <c r="BI21" i="6"/>
  <c r="BG21" i="6"/>
  <c r="BF21" i="6"/>
  <c r="BD21" i="6"/>
  <c r="BC21" i="6"/>
  <c r="BA21" i="6"/>
  <c r="AY21" i="6"/>
  <c r="AW21" i="6"/>
  <c r="AU21" i="6"/>
  <c r="AS21" i="6"/>
  <c r="AQ21" i="6"/>
  <c r="AO21" i="6"/>
  <c r="AM21" i="6"/>
  <c r="AK21" i="6"/>
  <c r="AI21" i="6"/>
  <c r="AG21" i="6"/>
  <c r="AE21" i="6"/>
  <c r="BV20" i="6"/>
  <c r="BU20" i="6"/>
  <c r="BS20" i="6"/>
  <c r="BR20" i="6"/>
  <c r="BP20" i="6"/>
  <c r="BO20" i="6"/>
  <c r="BM20" i="6"/>
  <c r="BL20" i="6"/>
  <c r="BJ20" i="6"/>
  <c r="BI20" i="6"/>
  <c r="BG20" i="6"/>
  <c r="BF20" i="6"/>
  <c r="BD20" i="6"/>
  <c r="BC20" i="6"/>
  <c r="BA20" i="6"/>
  <c r="AY20" i="6"/>
  <c r="AW20" i="6"/>
  <c r="AU20" i="6"/>
  <c r="AS20" i="6"/>
  <c r="AQ20" i="6"/>
  <c r="AO20" i="6"/>
  <c r="AM20" i="6"/>
  <c r="AK20" i="6"/>
  <c r="AI20" i="6"/>
  <c r="AG20" i="6"/>
  <c r="AE20" i="6"/>
  <c r="BV18" i="6"/>
  <c r="BU18" i="6"/>
  <c r="BS18" i="6"/>
  <c r="BR18" i="6"/>
  <c r="BP18" i="6"/>
  <c r="BO18" i="6"/>
  <c r="BM18" i="6"/>
  <c r="BL18" i="6"/>
  <c r="BJ18" i="6"/>
  <c r="BI18" i="6"/>
  <c r="BG18" i="6"/>
  <c r="BF18" i="6"/>
  <c r="BD18" i="6"/>
  <c r="BC18" i="6"/>
  <c r="BA18" i="6"/>
  <c r="AY18" i="6"/>
  <c r="AW18" i="6"/>
  <c r="AU18" i="6"/>
  <c r="AS18" i="6"/>
  <c r="AQ18" i="6"/>
  <c r="AO18" i="6"/>
  <c r="AM18" i="6"/>
  <c r="AK18" i="6"/>
  <c r="AI18" i="6"/>
  <c r="AG18" i="6"/>
  <c r="AE18" i="6"/>
  <c r="BV17" i="6"/>
  <c r="BU17" i="6"/>
  <c r="BS17" i="6"/>
  <c r="BR17" i="6"/>
  <c r="BP17" i="6"/>
  <c r="BO17" i="6"/>
  <c r="BM17" i="6"/>
  <c r="BL17" i="6"/>
  <c r="BJ17" i="6"/>
  <c r="BI17" i="6"/>
  <c r="BG17" i="6"/>
  <c r="BF17" i="6"/>
  <c r="BD17" i="6"/>
  <c r="BC17" i="6"/>
  <c r="BA17" i="6"/>
  <c r="AY17" i="6"/>
  <c r="AW17" i="6"/>
  <c r="AU17" i="6"/>
  <c r="AS17" i="6"/>
  <c r="AQ17" i="6"/>
  <c r="AO16" i="6"/>
  <c r="AM16" i="6"/>
  <c r="AK16" i="6"/>
  <c r="AI16" i="6"/>
  <c r="AG16" i="6"/>
  <c r="AE16" i="6"/>
  <c r="AO15" i="6"/>
  <c r="AM15" i="6"/>
  <c r="AK15" i="6"/>
  <c r="AI15" i="6"/>
  <c r="AG15" i="6"/>
  <c r="AE15" i="6"/>
  <c r="BV12" i="6"/>
  <c r="BU12" i="6"/>
  <c r="BS12" i="6"/>
  <c r="BR12" i="6"/>
  <c r="BV11" i="6"/>
  <c r="BU11" i="6"/>
  <c r="BS11" i="6"/>
  <c r="BR11" i="6"/>
  <c r="BP11" i="6"/>
  <c r="BO11" i="6"/>
  <c r="BM11" i="6"/>
  <c r="BL11" i="6"/>
  <c r="BJ11" i="6"/>
  <c r="BI11" i="6"/>
  <c r="BG11" i="6"/>
  <c r="BF11" i="6"/>
  <c r="BD11" i="6"/>
  <c r="BC11" i="6"/>
  <c r="BA11" i="6"/>
  <c r="AY11" i="6"/>
  <c r="AW11" i="6"/>
  <c r="AU11" i="6"/>
  <c r="AS11" i="6"/>
  <c r="AQ11" i="6"/>
  <c r="AO11" i="6"/>
  <c r="AM11" i="6"/>
  <c r="AK11" i="6"/>
  <c r="AI11" i="6"/>
  <c r="AG11" i="6"/>
  <c r="AE11" i="6"/>
  <c r="BV10" i="6"/>
  <c r="BU10" i="6"/>
  <c r="BS10" i="6"/>
  <c r="BR10" i="6"/>
  <c r="BP10" i="6"/>
  <c r="BO10" i="6"/>
  <c r="BM10" i="6"/>
  <c r="BL10" i="6"/>
  <c r="BJ10" i="6"/>
  <c r="BI10" i="6"/>
  <c r="BG10" i="6"/>
  <c r="BF10" i="6"/>
  <c r="BD10" i="6"/>
  <c r="BC10" i="6"/>
  <c r="BA10" i="6"/>
  <c r="AY10" i="6"/>
  <c r="AW10" i="6"/>
  <c r="AU10" i="6"/>
  <c r="AS10" i="6"/>
  <c r="AQ10" i="6"/>
  <c r="AO10" i="6"/>
  <c r="AM10" i="6"/>
  <c r="AK10" i="6"/>
  <c r="AI10" i="6"/>
  <c r="AG10" i="6"/>
  <c r="AE10" i="6"/>
  <c r="AA7" i="6"/>
  <c r="Z7" i="6"/>
  <c r="Y7" i="6"/>
  <c r="X7" i="6"/>
  <c r="M28" i="13" l="1"/>
  <c r="T91" i="13" s="1"/>
  <c r="L32" i="13"/>
  <c r="L31" i="13"/>
  <c r="L34" i="13"/>
  <c r="L33" i="13"/>
  <c r="N34" i="13"/>
  <c r="N32" i="13"/>
  <c r="N31" i="13"/>
  <c r="N33" i="13"/>
  <c r="E13" i="13"/>
  <c r="V92" i="13"/>
  <c r="Q33" i="13"/>
  <c r="Q32" i="13"/>
  <c r="Q31" i="13"/>
  <c r="Q34" i="13"/>
  <c r="G22" i="13"/>
  <c r="V20" i="13" s="1"/>
  <c r="I32" i="13"/>
  <c r="I31" i="13"/>
  <c r="I34" i="13"/>
  <c r="I33" i="13"/>
  <c r="B10" i="28"/>
  <c r="B26" i="28"/>
  <c r="B9" i="28"/>
  <c r="B19" i="28"/>
  <c r="B27" i="28"/>
  <c r="B24" i="25"/>
  <c r="B71" i="25"/>
  <c r="B17" i="25"/>
  <c r="B25" i="25"/>
  <c r="B11" i="25"/>
  <c r="B19" i="25"/>
  <c r="B21" i="25"/>
  <c r="B26" i="25"/>
  <c r="B14" i="25"/>
  <c r="B10" i="25"/>
  <c r="B13" i="25"/>
  <c r="B18" i="25"/>
  <c r="B27" i="25"/>
  <c r="B11" i="23"/>
  <c r="B13" i="23"/>
  <c r="B19" i="23"/>
  <c r="B21" i="23"/>
  <c r="B23" i="23"/>
  <c r="B8" i="23"/>
  <c r="B16" i="23"/>
  <c r="B18" i="23"/>
  <c r="B70" i="23"/>
  <c r="B69" i="23"/>
  <c r="B9" i="23"/>
  <c r="B12" i="23"/>
  <c r="B17" i="23"/>
  <c r="B20" i="23"/>
  <c r="B25" i="23"/>
  <c r="B71" i="23"/>
  <c r="O20" i="20"/>
  <c r="O36" i="20"/>
  <c r="O18" i="20"/>
  <c r="O22" i="20"/>
  <c r="O26" i="20"/>
  <c r="O30" i="20"/>
  <c r="O34" i="20"/>
  <c r="O16" i="20"/>
  <c r="O24" i="20"/>
  <c r="O28" i="20"/>
  <c r="O32" i="20"/>
  <c r="O19" i="20"/>
  <c r="O23" i="20"/>
  <c r="O27" i="20"/>
  <c r="O31" i="20"/>
  <c r="O35" i="20"/>
  <c r="C26" i="14"/>
  <c r="C68" i="14"/>
  <c r="C73" i="14"/>
  <c r="C13" i="14"/>
  <c r="C14" i="14"/>
  <c r="C30" i="14"/>
  <c r="C72" i="14"/>
  <c r="C12" i="14"/>
  <c r="C18" i="14"/>
  <c r="C20" i="14"/>
  <c r="C29" i="14"/>
  <c r="C31" i="14"/>
  <c r="C56" i="14"/>
  <c r="C63" i="14"/>
  <c r="C9" i="14"/>
  <c r="C53" i="14"/>
  <c r="C57" i="14"/>
  <c r="C64" i="14"/>
  <c r="C71" i="14"/>
  <c r="C34" i="14"/>
  <c r="C10" i="14"/>
  <c r="C11" i="14"/>
  <c r="C55" i="14"/>
  <c r="C61" i="14"/>
  <c r="C54" i="14"/>
  <c r="C58" i="14"/>
  <c r="C65" i="14"/>
  <c r="C67" i="14"/>
  <c r="C11" i="11"/>
  <c r="C20" i="11"/>
  <c r="C28" i="11"/>
  <c r="C62" i="11"/>
  <c r="C19" i="11"/>
  <c r="C25" i="11"/>
  <c r="C12" i="11"/>
  <c r="C22" i="11"/>
  <c r="C10" i="11"/>
  <c r="C54" i="11"/>
  <c r="C58" i="11"/>
  <c r="C66" i="11"/>
  <c r="C74" i="11"/>
  <c r="C13" i="11"/>
  <c r="C23" i="11"/>
  <c r="C53" i="11"/>
  <c r="C57" i="11"/>
  <c r="C65" i="11"/>
  <c r="C73" i="11"/>
  <c r="C75" i="11"/>
  <c r="C78" i="11" s="1"/>
  <c r="D26" i="8"/>
  <c r="U14" i="8"/>
  <c r="U30" i="8"/>
  <c r="T11" i="8"/>
  <c r="D24" i="8"/>
  <c r="T25" i="8"/>
  <c r="T27" i="8"/>
  <c r="D18" i="8"/>
  <c r="U24" i="8"/>
  <c r="D14" i="8"/>
  <c r="S14" i="8" s="1"/>
  <c r="T21" i="8"/>
  <c r="T23" i="8"/>
  <c r="D27" i="8"/>
  <c r="S27" i="8" s="1"/>
  <c r="T29" i="8"/>
  <c r="T31" i="8"/>
  <c r="T19" i="8"/>
  <c r="D19" i="8"/>
  <c r="S19" i="8" s="1"/>
  <c r="T17" i="8"/>
  <c r="T15" i="8"/>
  <c r="T13" i="8"/>
  <c r="E12" i="9"/>
  <c r="T10" i="9" s="1"/>
  <c r="M12" i="9"/>
  <c r="R70" i="9" s="1"/>
  <c r="D18" i="9"/>
  <c r="S16" i="9" s="1"/>
  <c r="G13" i="10"/>
  <c r="U70" i="10"/>
  <c r="E25" i="16"/>
  <c r="G11" i="17"/>
  <c r="V24" i="17" s="1"/>
  <c r="E20" i="22"/>
  <c r="E26" i="22"/>
  <c r="E20" i="24"/>
  <c r="P20" i="24" s="1"/>
  <c r="F24" i="24"/>
  <c r="O55" i="24" s="1"/>
  <c r="F21" i="26"/>
  <c r="O51" i="26" s="1"/>
  <c r="F22" i="26"/>
  <c r="O52" i="26" s="1"/>
  <c r="E11" i="13"/>
  <c r="I29" i="26"/>
  <c r="T88" i="9"/>
  <c r="H14" i="12"/>
  <c r="R46" i="12" s="1"/>
  <c r="E19" i="12"/>
  <c r="T17" i="12" s="1"/>
  <c r="E27" i="12"/>
  <c r="T25" i="12" s="1"/>
  <c r="H9" i="13"/>
  <c r="T42" i="13" s="1"/>
  <c r="G18" i="13"/>
  <c r="V16" i="13" s="1"/>
  <c r="G23" i="13"/>
  <c r="V21" i="13" s="1"/>
  <c r="G24" i="13"/>
  <c r="V22" i="13" s="1"/>
  <c r="E18" i="16"/>
  <c r="T34" i="16" s="1"/>
  <c r="D26" i="16"/>
  <c r="S42" i="16" s="1"/>
  <c r="F17" i="22"/>
  <c r="F18" i="22"/>
  <c r="F27" i="22"/>
  <c r="E15" i="24"/>
  <c r="P15" i="24" s="1"/>
  <c r="E18" i="24"/>
  <c r="P18" i="24" s="1"/>
  <c r="E23" i="24"/>
  <c r="P23" i="24" s="1"/>
  <c r="D16" i="9"/>
  <c r="S14" i="9" s="1"/>
  <c r="E10" i="10"/>
  <c r="U71" i="10"/>
  <c r="D21" i="10"/>
  <c r="U21" i="10" s="1"/>
  <c r="D27" i="10"/>
  <c r="U27" i="10" s="1"/>
  <c r="D29" i="10"/>
  <c r="U29" i="10" s="1"/>
  <c r="M19" i="12"/>
  <c r="R82" i="12" s="1"/>
  <c r="H27" i="12"/>
  <c r="R59" i="12" s="1"/>
  <c r="F9" i="13"/>
  <c r="H14" i="13"/>
  <c r="T47" i="13" s="1"/>
  <c r="H20" i="13"/>
  <c r="T53" i="13" s="1"/>
  <c r="G21" i="13"/>
  <c r="V19" i="13" s="1"/>
  <c r="E14" i="16"/>
  <c r="T30" i="16" s="1"/>
  <c r="M18" i="16"/>
  <c r="D25" i="16"/>
  <c r="S41" i="16" s="1"/>
  <c r="H25" i="16"/>
  <c r="E26" i="16"/>
  <c r="T42" i="16" s="1"/>
  <c r="E11" i="17"/>
  <c r="M16" i="17"/>
  <c r="E14" i="22"/>
  <c r="C35" i="20"/>
  <c r="C33" i="20"/>
  <c r="S71" i="9"/>
  <c r="M13" i="9"/>
  <c r="R71" i="9" s="1"/>
  <c r="D20" i="9"/>
  <c r="S18" i="9" s="1"/>
  <c r="S42" i="9"/>
  <c r="H13" i="9"/>
  <c r="R42" i="9" s="1"/>
  <c r="M14" i="9"/>
  <c r="R72" i="9" s="1"/>
  <c r="T47" i="9"/>
  <c r="E18" i="9"/>
  <c r="T16" i="9" s="1"/>
  <c r="C13" i="13"/>
  <c r="T11" i="13" s="1"/>
  <c r="T45" i="9"/>
  <c r="E16" i="9"/>
  <c r="T14" i="9" s="1"/>
  <c r="T46" i="9"/>
  <c r="E17" i="9"/>
  <c r="T15" i="9" s="1"/>
  <c r="S48" i="9"/>
  <c r="D19" i="9"/>
  <c r="S17" i="9" s="1"/>
  <c r="E21" i="9"/>
  <c r="T19" i="9" s="1"/>
  <c r="E22" i="9"/>
  <c r="T20" i="9" s="1"/>
  <c r="E24" i="9"/>
  <c r="H10" i="10"/>
  <c r="T40" i="10" s="1"/>
  <c r="E14" i="10"/>
  <c r="U14" i="10" s="1"/>
  <c r="D24" i="10"/>
  <c r="U24" i="10" s="1"/>
  <c r="D25" i="10"/>
  <c r="U25" i="10" s="1"/>
  <c r="D26" i="10"/>
  <c r="H12" i="12"/>
  <c r="R44" i="12" s="1"/>
  <c r="H19" i="12"/>
  <c r="R51" i="12" s="1"/>
  <c r="M21" i="12"/>
  <c r="R84" i="12" s="1"/>
  <c r="G9" i="13"/>
  <c r="V7" i="13" s="1"/>
  <c r="M9" i="13"/>
  <c r="T72" i="13" s="1"/>
  <c r="G10" i="13"/>
  <c r="V8" i="13" s="1"/>
  <c r="G14" i="13"/>
  <c r="V12" i="13" s="1"/>
  <c r="H15" i="13"/>
  <c r="T48" i="13" s="1"/>
  <c r="G16" i="13"/>
  <c r="V14" i="13" s="1"/>
  <c r="H19" i="13"/>
  <c r="T52" i="13" s="1"/>
  <c r="G20" i="13"/>
  <c r="V18" i="13" s="1"/>
  <c r="D11" i="16"/>
  <c r="S27" i="16" s="1"/>
  <c r="D15" i="16"/>
  <c r="S31" i="16" s="1"/>
  <c r="H18" i="16"/>
  <c r="D19" i="16"/>
  <c r="S35" i="16" s="1"/>
  <c r="C22" i="16"/>
  <c r="H22" i="16"/>
  <c r="M22" i="16"/>
  <c r="E23" i="16"/>
  <c r="T39" i="16" s="1"/>
  <c r="H26" i="16"/>
  <c r="M26" i="16"/>
  <c r="E29" i="16"/>
  <c r="T45" i="16" s="1"/>
  <c r="F15" i="22"/>
  <c r="C19" i="22"/>
  <c r="F20" i="24"/>
  <c r="O51" i="24" s="1"/>
  <c r="F22" i="24"/>
  <c r="O53" i="24" s="1"/>
  <c r="F26" i="24"/>
  <c r="O57" i="24" s="1"/>
  <c r="E28" i="24"/>
  <c r="P28" i="24" s="1"/>
  <c r="D14" i="26"/>
  <c r="O14" i="26" s="1"/>
  <c r="E27" i="26"/>
  <c r="P27" i="26" s="1"/>
  <c r="E13" i="16"/>
  <c r="T29" i="16" s="1"/>
  <c r="M14" i="16"/>
  <c r="D17" i="16"/>
  <c r="S33" i="16" s="1"/>
  <c r="F12" i="22"/>
  <c r="E17" i="22"/>
  <c r="C17" i="22" s="1"/>
  <c r="F21" i="22"/>
  <c r="D22" i="22"/>
  <c r="E23" i="22"/>
  <c r="E14" i="24"/>
  <c r="P14" i="24" s="1"/>
  <c r="F13" i="26"/>
  <c r="O43" i="26" s="1"/>
  <c r="E19" i="26"/>
  <c r="P19" i="26" s="1"/>
  <c r="G10" i="10"/>
  <c r="V10" i="10" s="1"/>
  <c r="G11" i="10"/>
  <c r="V11" i="10" s="1"/>
  <c r="G14" i="10"/>
  <c r="V14" i="10" s="1"/>
  <c r="H15" i="12"/>
  <c r="R47" i="12" s="1"/>
  <c r="G17" i="12"/>
  <c r="E23" i="12"/>
  <c r="T21" i="12" s="1"/>
  <c r="H23" i="12"/>
  <c r="R55" i="12" s="1"/>
  <c r="E9" i="13"/>
  <c r="F10" i="13"/>
  <c r="G12" i="13"/>
  <c r="V10" i="13" s="1"/>
  <c r="M13" i="13"/>
  <c r="T76" i="13" s="1"/>
  <c r="F14" i="13"/>
  <c r="G16" i="17"/>
  <c r="V30" i="17" s="1"/>
  <c r="M21" i="17"/>
  <c r="G22" i="17"/>
  <c r="V36" i="17" s="1"/>
  <c r="D29" i="17"/>
  <c r="E11" i="9"/>
  <c r="T9" i="9" s="1"/>
  <c r="E20" i="9"/>
  <c r="D22" i="9"/>
  <c r="D24" i="9"/>
  <c r="S22" i="9" s="1"/>
  <c r="E25" i="9"/>
  <c r="T23" i="9" s="1"/>
  <c r="H29" i="9"/>
  <c r="R58" i="9" s="1"/>
  <c r="M10" i="10"/>
  <c r="T67" i="10" s="1"/>
  <c r="U41" i="10"/>
  <c r="H12" i="10"/>
  <c r="T42" i="10" s="1"/>
  <c r="U44" i="10"/>
  <c r="D19" i="10"/>
  <c r="U19" i="10" s="1"/>
  <c r="D20" i="10"/>
  <c r="U20" i="10" s="1"/>
  <c r="M28" i="10"/>
  <c r="T85" i="10" s="1"/>
  <c r="N35" i="10"/>
  <c r="E10" i="12"/>
  <c r="T8" i="12" s="1"/>
  <c r="E15" i="12"/>
  <c r="T13" i="12" s="1"/>
  <c r="M15" i="12"/>
  <c r="R78" i="12" s="1"/>
  <c r="E21" i="12"/>
  <c r="T19" i="12" s="1"/>
  <c r="H21" i="12"/>
  <c r="R53" i="12" s="1"/>
  <c r="G23" i="12"/>
  <c r="M23" i="12"/>
  <c r="R86" i="12" s="1"/>
  <c r="E12" i="13"/>
  <c r="C12" i="13" s="1"/>
  <c r="T10" i="13" s="1"/>
  <c r="H13" i="13"/>
  <c r="T46" i="13" s="1"/>
  <c r="G15" i="13"/>
  <c r="V13" i="13" s="1"/>
  <c r="H18" i="13"/>
  <c r="T51" i="13" s="1"/>
  <c r="G19" i="13"/>
  <c r="V17" i="13" s="1"/>
  <c r="H22" i="13"/>
  <c r="T55" i="13" s="1"/>
  <c r="D10" i="16"/>
  <c r="E12" i="16"/>
  <c r="T28" i="16" s="1"/>
  <c r="D14" i="16"/>
  <c r="S30" i="16" s="1"/>
  <c r="E16" i="16"/>
  <c r="T32" i="16" s="1"/>
  <c r="H17" i="16"/>
  <c r="D18" i="16"/>
  <c r="S34" i="16" s="1"/>
  <c r="E20" i="16"/>
  <c r="T36" i="16" s="1"/>
  <c r="D23" i="16"/>
  <c r="S39" i="16" s="1"/>
  <c r="E24" i="16"/>
  <c r="T40" i="16" s="1"/>
  <c r="D28" i="16"/>
  <c r="S44" i="16" s="1"/>
  <c r="D29" i="16"/>
  <c r="S45" i="16" s="1"/>
  <c r="F12" i="17"/>
  <c r="F13" i="22"/>
  <c r="D20" i="22"/>
  <c r="D21" i="22"/>
  <c r="C21" i="22" s="1"/>
  <c r="D23" i="22"/>
  <c r="F24" i="22"/>
  <c r="F25" i="22"/>
  <c r="F26" i="22"/>
  <c r="E27" i="22"/>
  <c r="E12" i="24"/>
  <c r="P12" i="24" s="1"/>
  <c r="E13" i="24"/>
  <c r="P13" i="24" s="1"/>
  <c r="E16" i="24"/>
  <c r="P16" i="24" s="1"/>
  <c r="E24" i="24"/>
  <c r="P24" i="24" s="1"/>
  <c r="F28" i="24"/>
  <c r="O59" i="24" s="1"/>
  <c r="F16" i="26"/>
  <c r="O46" i="26" s="1"/>
  <c r="E29" i="26"/>
  <c r="P29" i="26" s="1"/>
  <c r="E11" i="26"/>
  <c r="P11" i="26" s="1"/>
  <c r="F15" i="26"/>
  <c r="O45" i="26" s="1"/>
  <c r="E17" i="26"/>
  <c r="P17" i="26" s="1"/>
  <c r="F20" i="26"/>
  <c r="O50" i="26" s="1"/>
  <c r="E21" i="26"/>
  <c r="P21" i="26" s="1"/>
  <c r="F23" i="26"/>
  <c r="O53" i="26" s="1"/>
  <c r="F24" i="26"/>
  <c r="O54" i="26" s="1"/>
  <c r="E25" i="26"/>
  <c r="P25" i="26" s="1"/>
  <c r="M10" i="9"/>
  <c r="R68" i="9" s="1"/>
  <c r="H14" i="9"/>
  <c r="R43" i="9" s="1"/>
  <c r="E15" i="9"/>
  <c r="T13" i="9" s="1"/>
  <c r="D17" i="9"/>
  <c r="D21" i="9"/>
  <c r="D25" i="9"/>
  <c r="D26" i="9"/>
  <c r="S24" i="9" s="1"/>
  <c r="H26" i="9"/>
  <c r="R55" i="9" s="1"/>
  <c r="U10" i="10"/>
  <c r="U40" i="10"/>
  <c r="U67" i="10"/>
  <c r="E11" i="10"/>
  <c r="U11" i="10" s="1"/>
  <c r="G12" i="10"/>
  <c r="V12" i="10" s="1"/>
  <c r="E13" i="10"/>
  <c r="U13" i="10" s="1"/>
  <c r="G15" i="10"/>
  <c r="V15" i="10" s="1"/>
  <c r="U72" i="10"/>
  <c r="H16" i="10"/>
  <c r="T46" i="10" s="1"/>
  <c r="M20" i="10"/>
  <c r="T77" i="10" s="1"/>
  <c r="M26" i="10"/>
  <c r="T83" i="10" s="1"/>
  <c r="E9" i="12"/>
  <c r="T7" i="12" s="1"/>
  <c r="E14" i="12"/>
  <c r="T12" i="12" s="1"/>
  <c r="E16" i="12"/>
  <c r="T14" i="12" s="1"/>
  <c r="D17" i="12"/>
  <c r="S15" i="12" s="1"/>
  <c r="E18" i="12"/>
  <c r="T16" i="12" s="1"/>
  <c r="D19" i="12"/>
  <c r="S17" i="12" s="1"/>
  <c r="E20" i="12"/>
  <c r="T18" i="12" s="1"/>
  <c r="D21" i="12"/>
  <c r="S19" i="12" s="1"/>
  <c r="E22" i="12"/>
  <c r="T20" i="12" s="1"/>
  <c r="D23" i="12"/>
  <c r="S21" i="12" s="1"/>
  <c r="E25" i="12"/>
  <c r="T23" i="12" s="1"/>
  <c r="D27" i="12"/>
  <c r="S25" i="12" s="1"/>
  <c r="H11" i="13"/>
  <c r="T44" i="13" s="1"/>
  <c r="M11" i="13"/>
  <c r="T74" i="13" s="1"/>
  <c r="H23" i="13"/>
  <c r="T56" i="13" s="1"/>
  <c r="H24" i="13"/>
  <c r="T57" i="13" s="1"/>
  <c r="H25" i="13"/>
  <c r="T58" i="13" s="1"/>
  <c r="D26" i="13"/>
  <c r="M26" i="13"/>
  <c r="T89" i="13" s="1"/>
  <c r="G27" i="13"/>
  <c r="V25" i="13" s="1"/>
  <c r="D13" i="16"/>
  <c r="S29" i="16" s="1"/>
  <c r="H13" i="16"/>
  <c r="G13" i="16"/>
  <c r="C13" i="16" s="1"/>
  <c r="D10" i="9"/>
  <c r="C16" i="9"/>
  <c r="R14" i="9" s="1"/>
  <c r="H18" i="9"/>
  <c r="R47" i="9" s="1"/>
  <c r="M18" i="9"/>
  <c r="R76" i="9" s="1"/>
  <c r="H22" i="9"/>
  <c r="R51" i="9" s="1"/>
  <c r="M22" i="9"/>
  <c r="R80" i="9" s="1"/>
  <c r="C26" i="9"/>
  <c r="R24" i="9" s="1"/>
  <c r="M12" i="10"/>
  <c r="T69" i="10" s="1"/>
  <c r="H14" i="10"/>
  <c r="T44" i="10" s="1"/>
  <c r="M14" i="10"/>
  <c r="T71" i="10" s="1"/>
  <c r="U45" i="10"/>
  <c r="M22" i="10"/>
  <c r="T79" i="10" s="1"/>
  <c r="M27" i="10"/>
  <c r="T84" i="10" s="1"/>
  <c r="H9" i="12"/>
  <c r="R41" i="12" s="1"/>
  <c r="M25" i="12"/>
  <c r="R88" i="12" s="1"/>
  <c r="H26" i="12"/>
  <c r="R58" i="12" s="1"/>
  <c r="D26" i="12"/>
  <c r="H28" i="12"/>
  <c r="R60" i="12" s="1"/>
  <c r="M10" i="13"/>
  <c r="T73" i="13" s="1"/>
  <c r="M14" i="13"/>
  <c r="T77" i="13" s="1"/>
  <c r="D15" i="13"/>
  <c r="U13" i="13" s="1"/>
  <c r="M15" i="13"/>
  <c r="T78" i="13" s="1"/>
  <c r="D16" i="13"/>
  <c r="M16" i="13"/>
  <c r="T79" i="13" s="1"/>
  <c r="D17" i="13"/>
  <c r="M17" i="13"/>
  <c r="T80" i="13" s="1"/>
  <c r="D18" i="13"/>
  <c r="M18" i="13"/>
  <c r="T81" i="13" s="1"/>
  <c r="D19" i="13"/>
  <c r="M19" i="13"/>
  <c r="T82" i="13" s="1"/>
  <c r="D20" i="13"/>
  <c r="M20" i="13"/>
  <c r="T83" i="13" s="1"/>
  <c r="D21" i="13"/>
  <c r="M21" i="13"/>
  <c r="T84" i="13" s="1"/>
  <c r="D22" i="13"/>
  <c r="M22" i="13"/>
  <c r="T85" i="13" s="1"/>
  <c r="D23" i="13"/>
  <c r="M23" i="13"/>
  <c r="T86" i="13" s="1"/>
  <c r="D24" i="13"/>
  <c r="M24" i="13"/>
  <c r="T87" i="13" s="1"/>
  <c r="D25" i="13"/>
  <c r="M25" i="13"/>
  <c r="T88" i="13" s="1"/>
  <c r="G26" i="13"/>
  <c r="V24" i="13" s="1"/>
  <c r="U62" i="13"/>
  <c r="D29" i="13"/>
  <c r="S82" i="16"/>
  <c r="M13" i="16"/>
  <c r="E17" i="16"/>
  <c r="T33" i="16" s="1"/>
  <c r="D27" i="9"/>
  <c r="U15" i="10"/>
  <c r="C21" i="12"/>
  <c r="R19" i="12" s="1"/>
  <c r="C28" i="13"/>
  <c r="T26" i="13" s="1"/>
  <c r="U26" i="13"/>
  <c r="E10" i="9"/>
  <c r="T8" i="9" s="1"/>
  <c r="E14" i="9"/>
  <c r="T12" i="9" s="1"/>
  <c r="D15" i="9"/>
  <c r="H16" i="9"/>
  <c r="R45" i="9" s="1"/>
  <c r="M16" i="9"/>
  <c r="R74" i="9" s="1"/>
  <c r="E19" i="9"/>
  <c r="T17" i="9" s="1"/>
  <c r="H20" i="9"/>
  <c r="R49" i="9" s="1"/>
  <c r="M20" i="9"/>
  <c r="R78" i="9" s="1"/>
  <c r="E23" i="9"/>
  <c r="T21" i="9" s="1"/>
  <c r="H24" i="9"/>
  <c r="R53" i="9" s="1"/>
  <c r="M24" i="9"/>
  <c r="R82" i="9" s="1"/>
  <c r="T24" i="9"/>
  <c r="H27" i="9"/>
  <c r="R56" i="9" s="1"/>
  <c r="H28" i="9"/>
  <c r="R57" i="9" s="1"/>
  <c r="M28" i="9"/>
  <c r="R86" i="9" s="1"/>
  <c r="D29" i="9"/>
  <c r="S27" i="9" s="1"/>
  <c r="F12" i="10"/>
  <c r="C12" i="10" s="1"/>
  <c r="T12" i="10" s="1"/>
  <c r="D22" i="10"/>
  <c r="D23" i="10"/>
  <c r="U23" i="10" s="1"/>
  <c r="D28" i="10"/>
  <c r="U28" i="10" s="1"/>
  <c r="H10" i="12"/>
  <c r="R42" i="12" s="1"/>
  <c r="D16" i="12"/>
  <c r="D18" i="12"/>
  <c r="D20" i="12"/>
  <c r="C20" i="12" s="1"/>
  <c r="R18" i="12" s="1"/>
  <c r="D22" i="12"/>
  <c r="E24" i="12"/>
  <c r="T22" i="12" s="1"/>
  <c r="D25" i="12"/>
  <c r="M27" i="12"/>
  <c r="R90" i="12" s="1"/>
  <c r="E10" i="13"/>
  <c r="C10" i="13" s="1"/>
  <c r="T8" i="13" s="1"/>
  <c r="G11" i="13"/>
  <c r="V9" i="13" s="1"/>
  <c r="H12" i="13"/>
  <c r="T45" i="13" s="1"/>
  <c r="E14" i="13"/>
  <c r="D27" i="13"/>
  <c r="M27" i="13"/>
  <c r="T90" i="13" s="1"/>
  <c r="U92" i="13"/>
  <c r="H10" i="16"/>
  <c r="M10" i="16"/>
  <c r="E11" i="16"/>
  <c r="T27" i="16" s="1"/>
  <c r="H12" i="16"/>
  <c r="C14" i="16"/>
  <c r="H14" i="16"/>
  <c r="E15" i="16"/>
  <c r="T31" i="16" s="1"/>
  <c r="E19" i="16"/>
  <c r="T35" i="16" s="1"/>
  <c r="H16" i="16"/>
  <c r="H20" i="16"/>
  <c r="H24" i="16"/>
  <c r="M29" i="16"/>
  <c r="G13" i="17"/>
  <c r="V26" i="17" s="1"/>
  <c r="E13" i="17"/>
  <c r="C13" i="17" s="1"/>
  <c r="E14" i="17"/>
  <c r="H15" i="17"/>
  <c r="F15" i="17"/>
  <c r="M17" i="17"/>
  <c r="G18" i="17"/>
  <c r="V32" i="17" s="1"/>
  <c r="D19" i="17"/>
  <c r="G20" i="17"/>
  <c r="V34" i="17" s="1"/>
  <c r="M20" i="17"/>
  <c r="H21" i="17"/>
  <c r="G24" i="17"/>
  <c r="V38" i="17" s="1"/>
  <c r="D25" i="17"/>
  <c r="U39" i="17" s="1"/>
  <c r="H26" i="17"/>
  <c r="D27" i="17"/>
  <c r="G28" i="17"/>
  <c r="V42" i="17" s="1"/>
  <c r="M28" i="17"/>
  <c r="V67" i="17"/>
  <c r="F8" i="22"/>
  <c r="F9" i="22"/>
  <c r="F11" i="22"/>
  <c r="F14" i="22"/>
  <c r="D15" i="22"/>
  <c r="C15" i="22" s="1"/>
  <c r="F16" i="22"/>
  <c r="C22" i="22"/>
  <c r="E25" i="22"/>
  <c r="C25" i="22" s="1"/>
  <c r="F12" i="24"/>
  <c r="O43" i="24" s="1"/>
  <c r="D14" i="24"/>
  <c r="O14" i="24" s="1"/>
  <c r="F16" i="24"/>
  <c r="O47" i="24" s="1"/>
  <c r="D20" i="24"/>
  <c r="O20" i="24" s="1"/>
  <c r="F9" i="26"/>
  <c r="O39" i="26" s="1"/>
  <c r="F10" i="26"/>
  <c r="O40" i="26" s="1"/>
  <c r="D12" i="26"/>
  <c r="O12" i="26" s="1"/>
  <c r="E15" i="26"/>
  <c r="P15" i="26" s="1"/>
  <c r="F17" i="26"/>
  <c r="O47" i="26" s="1"/>
  <c r="F18" i="26"/>
  <c r="O48" i="26" s="1"/>
  <c r="D19" i="26"/>
  <c r="O19" i="26" s="1"/>
  <c r="D20" i="26"/>
  <c r="O20" i="26" s="1"/>
  <c r="E23" i="26"/>
  <c r="P23" i="26" s="1"/>
  <c r="F25" i="26"/>
  <c r="O55" i="26" s="1"/>
  <c r="F26" i="26"/>
  <c r="O56" i="26" s="1"/>
  <c r="D27" i="26"/>
  <c r="C27" i="26" s="1"/>
  <c r="I29" i="29"/>
  <c r="P59" i="29" s="1"/>
  <c r="C24" i="16"/>
  <c r="H28" i="16"/>
  <c r="M30" i="16"/>
  <c r="E10" i="17"/>
  <c r="H11" i="17"/>
  <c r="F11" i="17"/>
  <c r="H12" i="17"/>
  <c r="F14" i="17"/>
  <c r="G15" i="17"/>
  <c r="V29" i="17" s="1"/>
  <c r="D17" i="17"/>
  <c r="U31" i="17" s="1"/>
  <c r="M18" i="17"/>
  <c r="H20" i="17"/>
  <c r="H23" i="17"/>
  <c r="H28" i="17"/>
  <c r="H29" i="17"/>
  <c r="V69" i="17"/>
  <c r="E8" i="22"/>
  <c r="E9" i="22"/>
  <c r="D13" i="22"/>
  <c r="D24" i="22"/>
  <c r="C24" i="22" s="1"/>
  <c r="F18" i="24"/>
  <c r="O49" i="24" s="1"/>
  <c r="E9" i="26"/>
  <c r="P9" i="26" s="1"/>
  <c r="F11" i="26"/>
  <c r="O41" i="26" s="1"/>
  <c r="D13" i="26"/>
  <c r="O13" i="26" s="1"/>
  <c r="D21" i="26"/>
  <c r="O21" i="26" s="1"/>
  <c r="H21" i="16"/>
  <c r="C14" i="22"/>
  <c r="C16" i="22"/>
  <c r="C20" i="22"/>
  <c r="H27" i="13"/>
  <c r="T60" i="13" s="1"/>
  <c r="H28" i="13"/>
  <c r="T61" i="13" s="1"/>
  <c r="M12" i="16"/>
  <c r="M16" i="16"/>
  <c r="M17" i="16"/>
  <c r="M20" i="16"/>
  <c r="G21" i="16"/>
  <c r="C21" i="16" s="1"/>
  <c r="M21" i="16"/>
  <c r="M24" i="16"/>
  <c r="G25" i="16"/>
  <c r="C25" i="16" s="1"/>
  <c r="M25" i="16"/>
  <c r="H27" i="16"/>
  <c r="M28" i="16"/>
  <c r="H29" i="16"/>
  <c r="E12" i="17"/>
  <c r="G14" i="17"/>
  <c r="V28" i="17" s="1"/>
  <c r="E15" i="17"/>
  <c r="C15" i="17" s="1"/>
  <c r="H16" i="17"/>
  <c r="D18" i="17"/>
  <c r="H19" i="17"/>
  <c r="D21" i="17"/>
  <c r="U35" i="17" s="1"/>
  <c r="D24" i="17"/>
  <c r="M25" i="17"/>
  <c r="M26" i="17"/>
  <c r="H27" i="17"/>
  <c r="V65" i="17"/>
  <c r="V73" i="17"/>
  <c r="D8" i="22"/>
  <c r="D9" i="22"/>
  <c r="D11" i="22"/>
  <c r="C11" i="22" s="1"/>
  <c r="E13" i="22"/>
  <c r="C13" i="22" s="1"/>
  <c r="E18" i="22"/>
  <c r="F19" i="22"/>
  <c r="E24" i="22"/>
  <c r="D26" i="22"/>
  <c r="C26" i="22" s="1"/>
  <c r="F10" i="24"/>
  <c r="O41" i="24" s="1"/>
  <c r="D18" i="24"/>
  <c r="O18" i="24" s="1"/>
  <c r="D24" i="24"/>
  <c r="O24" i="24" s="1"/>
  <c r="F30" i="24"/>
  <c r="O61" i="24" s="1"/>
  <c r="O59" i="29"/>
  <c r="B31" i="34"/>
  <c r="B32" i="34"/>
  <c r="B33" i="34"/>
  <c r="H21" i="33"/>
  <c r="H25" i="33"/>
  <c r="F30" i="33"/>
  <c r="H19" i="33"/>
  <c r="H23" i="33"/>
  <c r="H27" i="33"/>
  <c r="F32" i="33"/>
  <c r="H18" i="33"/>
  <c r="H22" i="33"/>
  <c r="H26" i="33"/>
  <c r="C30" i="32"/>
  <c r="D33" i="32"/>
  <c r="C31" i="32"/>
  <c r="C32" i="32"/>
  <c r="B30" i="30"/>
  <c r="C34" i="28"/>
  <c r="C32" i="28"/>
  <c r="C33" i="28"/>
  <c r="C31" i="28"/>
  <c r="K33" i="28"/>
  <c r="K31" i="28"/>
  <c r="K34" i="28"/>
  <c r="K32" i="28"/>
  <c r="F34" i="28"/>
  <c r="F32" i="28"/>
  <c r="F33" i="28"/>
  <c r="F31" i="28"/>
  <c r="L31" i="28"/>
  <c r="L33" i="28"/>
  <c r="D65" i="28"/>
  <c r="D66" i="28"/>
  <c r="D67" i="28"/>
  <c r="L32" i="28"/>
  <c r="E65" i="28"/>
  <c r="E66" i="28"/>
  <c r="E67" i="28"/>
  <c r="D31" i="28"/>
  <c r="D33" i="28"/>
  <c r="B65" i="28"/>
  <c r="B66" i="28"/>
  <c r="B67" i="28"/>
  <c r="B68" i="28"/>
  <c r="D32" i="28"/>
  <c r="C65" i="28"/>
  <c r="C66" i="28"/>
  <c r="C67" i="28"/>
  <c r="O24" i="26"/>
  <c r="O26" i="26"/>
  <c r="O28" i="26"/>
  <c r="F19" i="26"/>
  <c r="O49" i="26" s="1"/>
  <c r="E28" i="26"/>
  <c r="P28" i="26" s="1"/>
  <c r="I28" i="26"/>
  <c r="P58" i="26" s="1"/>
  <c r="C29" i="26"/>
  <c r="O29" i="26"/>
  <c r="C9" i="26"/>
  <c r="E10" i="26"/>
  <c r="P10" i="26" s="1"/>
  <c r="E12" i="26"/>
  <c r="P12" i="26" s="1"/>
  <c r="E14" i="26"/>
  <c r="P14" i="26" s="1"/>
  <c r="E16" i="26"/>
  <c r="P16" i="26" s="1"/>
  <c r="C17" i="26"/>
  <c r="E18" i="26"/>
  <c r="P18" i="26" s="1"/>
  <c r="E20" i="26"/>
  <c r="P20" i="26" s="1"/>
  <c r="C21" i="26"/>
  <c r="E22" i="26"/>
  <c r="P22" i="26" s="1"/>
  <c r="E24" i="26"/>
  <c r="P24" i="26" s="1"/>
  <c r="I24" i="26"/>
  <c r="P54" i="26" s="1"/>
  <c r="C25" i="26"/>
  <c r="E26" i="26"/>
  <c r="P26" i="26" s="1"/>
  <c r="F28" i="26"/>
  <c r="O58" i="26" s="1"/>
  <c r="F29" i="26"/>
  <c r="B68" i="25"/>
  <c r="B69" i="25"/>
  <c r="B70" i="25"/>
  <c r="B29" i="25"/>
  <c r="O21" i="24"/>
  <c r="O25" i="24"/>
  <c r="C25" i="24"/>
  <c r="O29" i="24"/>
  <c r="C29" i="24"/>
  <c r="O11" i="24"/>
  <c r="O15" i="24"/>
  <c r="O27" i="24"/>
  <c r="O17" i="24"/>
  <c r="O23" i="24"/>
  <c r="O13" i="24"/>
  <c r="C13" i="24"/>
  <c r="O19" i="24"/>
  <c r="C10" i="24"/>
  <c r="E11" i="24"/>
  <c r="P11" i="24" s="1"/>
  <c r="C12" i="24"/>
  <c r="C16" i="24"/>
  <c r="E17" i="24"/>
  <c r="P17" i="24" s="1"/>
  <c r="E19" i="24"/>
  <c r="P19" i="24" s="1"/>
  <c r="C20" i="24"/>
  <c r="E21" i="24"/>
  <c r="P21" i="24" s="1"/>
  <c r="C22" i="24"/>
  <c r="C26" i="24"/>
  <c r="E27" i="24"/>
  <c r="P27" i="24" s="1"/>
  <c r="C28" i="24"/>
  <c r="C30" i="24"/>
  <c r="O30" i="24"/>
  <c r="F11" i="24"/>
  <c r="O42" i="24" s="1"/>
  <c r="F13" i="24"/>
  <c r="O44" i="24" s="1"/>
  <c r="F15" i="24"/>
  <c r="O46" i="24" s="1"/>
  <c r="F17" i="24"/>
  <c r="O48" i="24" s="1"/>
  <c r="F19" i="24"/>
  <c r="O50" i="24" s="1"/>
  <c r="F21" i="24"/>
  <c r="O52" i="24" s="1"/>
  <c r="F23" i="24"/>
  <c r="O54" i="24" s="1"/>
  <c r="F25" i="24"/>
  <c r="O56" i="24" s="1"/>
  <c r="F27" i="24"/>
  <c r="O58" i="24" s="1"/>
  <c r="F29" i="24"/>
  <c r="O60" i="24" s="1"/>
  <c r="B28" i="23"/>
  <c r="B68" i="23"/>
  <c r="D27" i="22"/>
  <c r="C27" i="22" s="1"/>
  <c r="D28" i="22"/>
  <c r="E10" i="22"/>
  <c r="C10" i="22" s="1"/>
  <c r="E12" i="22"/>
  <c r="C12" i="22" s="1"/>
  <c r="I28" i="22"/>
  <c r="C34" i="20"/>
  <c r="C32" i="20"/>
  <c r="C35" i="18"/>
  <c r="C63" i="18"/>
  <c r="C32" i="18"/>
  <c r="C34" i="18"/>
  <c r="C76" i="18"/>
  <c r="C33" i="18"/>
  <c r="C79" i="18"/>
  <c r="C78" i="18"/>
  <c r="C10" i="17"/>
  <c r="U36" i="17"/>
  <c r="C22" i="17"/>
  <c r="U37" i="17"/>
  <c r="U43" i="17"/>
  <c r="U32" i="17"/>
  <c r="C18" i="17"/>
  <c r="U38" i="17"/>
  <c r="C24" i="17"/>
  <c r="C11" i="17"/>
  <c r="U33" i="17"/>
  <c r="U41" i="17"/>
  <c r="D16" i="17"/>
  <c r="H18" i="17"/>
  <c r="G19" i="17"/>
  <c r="V33" i="17" s="1"/>
  <c r="M19" i="17"/>
  <c r="D20" i="17"/>
  <c r="H22" i="17"/>
  <c r="G23" i="17"/>
  <c r="V37" i="17" s="1"/>
  <c r="M23" i="17"/>
  <c r="H24" i="17"/>
  <c r="D26" i="17"/>
  <c r="G27" i="17"/>
  <c r="V41" i="17" s="1"/>
  <c r="M27" i="17"/>
  <c r="D28" i="17"/>
  <c r="G29" i="17"/>
  <c r="V43" i="17" s="1"/>
  <c r="M29" i="17"/>
  <c r="H30" i="17"/>
  <c r="U61" i="17"/>
  <c r="U65" i="17"/>
  <c r="U67" i="17"/>
  <c r="U73" i="17"/>
  <c r="U97" i="17"/>
  <c r="V61" i="17"/>
  <c r="V79" i="17"/>
  <c r="V83" i="17"/>
  <c r="G12" i="17"/>
  <c r="V25" i="17" s="1"/>
  <c r="H13" i="17"/>
  <c r="G17" i="17"/>
  <c r="V31" i="17" s="1"/>
  <c r="G21" i="17"/>
  <c r="V35" i="17" s="1"/>
  <c r="G25" i="17"/>
  <c r="V39" i="17" s="1"/>
  <c r="D30" i="17"/>
  <c r="U60" i="17"/>
  <c r="U62" i="17"/>
  <c r="U64" i="17"/>
  <c r="U66" i="17"/>
  <c r="U70" i="17"/>
  <c r="U72" i="17"/>
  <c r="U86" i="17"/>
  <c r="U98" i="17"/>
  <c r="M22" i="17"/>
  <c r="M24" i="17"/>
  <c r="H25" i="17"/>
  <c r="G30" i="17"/>
  <c r="M30" i="17"/>
  <c r="T44" i="16"/>
  <c r="C10" i="16"/>
  <c r="S26" i="16"/>
  <c r="F32" i="16"/>
  <c r="C11" i="16"/>
  <c r="H11" i="16"/>
  <c r="M11" i="16"/>
  <c r="C15" i="16"/>
  <c r="H15" i="16"/>
  <c r="M15" i="16"/>
  <c r="C19" i="16"/>
  <c r="H19" i="16"/>
  <c r="M19" i="16"/>
  <c r="C23" i="16"/>
  <c r="H23" i="16"/>
  <c r="M23" i="16"/>
  <c r="E27" i="16"/>
  <c r="T43" i="16" s="1"/>
  <c r="M27" i="16"/>
  <c r="F28" i="16"/>
  <c r="U44" i="16" s="1"/>
  <c r="G29" i="16"/>
  <c r="V45" i="16" s="1"/>
  <c r="D30" i="16"/>
  <c r="H30" i="16"/>
  <c r="U46" i="16"/>
  <c r="S71" i="16"/>
  <c r="T72" i="16"/>
  <c r="U73" i="16"/>
  <c r="S98" i="16"/>
  <c r="T41" i="16"/>
  <c r="T61" i="16"/>
  <c r="U72" i="16"/>
  <c r="S28" i="16"/>
  <c r="S36" i="16"/>
  <c r="S40" i="16"/>
  <c r="S54" i="16"/>
  <c r="S56" i="16"/>
  <c r="S60" i="16"/>
  <c r="S64" i="16"/>
  <c r="S68" i="16"/>
  <c r="S74" i="16"/>
  <c r="S81" i="16"/>
  <c r="S85" i="16"/>
  <c r="S89" i="16"/>
  <c r="S93" i="16"/>
  <c r="S97" i="16"/>
  <c r="S99" i="16"/>
  <c r="C16" i="16"/>
  <c r="D27" i="16"/>
  <c r="C36" i="14"/>
  <c r="C33" i="14"/>
  <c r="C35" i="14"/>
  <c r="C75" i="14"/>
  <c r="C15" i="13"/>
  <c r="T13" i="13" s="1"/>
  <c r="H29" i="13"/>
  <c r="U49" i="13"/>
  <c r="U53" i="13"/>
  <c r="V58" i="13"/>
  <c r="V62" i="13"/>
  <c r="U48" i="13"/>
  <c r="U52" i="13"/>
  <c r="V57" i="13"/>
  <c r="V61" i="13"/>
  <c r="U51" i="13"/>
  <c r="U55" i="13"/>
  <c r="V56" i="13"/>
  <c r="H17" i="13"/>
  <c r="T50" i="13" s="1"/>
  <c r="H21" i="13"/>
  <c r="T54" i="13" s="1"/>
  <c r="H26" i="13"/>
  <c r="T59" i="13" s="1"/>
  <c r="G29" i="13"/>
  <c r="M29" i="13"/>
  <c r="D9" i="12"/>
  <c r="D10" i="12"/>
  <c r="H11" i="12"/>
  <c r="R43" i="12" s="1"/>
  <c r="D12" i="12"/>
  <c r="S44" i="12"/>
  <c r="S24" i="12"/>
  <c r="M9" i="12"/>
  <c r="R72" i="12" s="1"/>
  <c r="M10" i="12"/>
  <c r="R73" i="12" s="1"/>
  <c r="S76" i="12"/>
  <c r="M13" i="12"/>
  <c r="R76" i="12" s="1"/>
  <c r="S75" i="12"/>
  <c r="M12" i="12"/>
  <c r="R75" i="12" s="1"/>
  <c r="D11" i="12"/>
  <c r="S74" i="12"/>
  <c r="M11" i="12"/>
  <c r="R74" i="12" s="1"/>
  <c r="D13" i="12"/>
  <c r="S45" i="12"/>
  <c r="D14" i="12"/>
  <c r="S77" i="12"/>
  <c r="E11" i="12"/>
  <c r="T9" i="12" s="1"/>
  <c r="E12" i="12"/>
  <c r="T10" i="12" s="1"/>
  <c r="E13" i="12"/>
  <c r="T11" i="12" s="1"/>
  <c r="D15" i="12"/>
  <c r="H16" i="12"/>
  <c r="R48" i="12" s="1"/>
  <c r="M16" i="12"/>
  <c r="R79" i="12" s="1"/>
  <c r="S16" i="12"/>
  <c r="H18" i="12"/>
  <c r="R50" i="12" s="1"/>
  <c r="M18" i="12"/>
  <c r="R81" i="12" s="1"/>
  <c r="S18" i="12"/>
  <c r="H20" i="12"/>
  <c r="R52" i="12" s="1"/>
  <c r="M20" i="12"/>
  <c r="R83" i="12" s="1"/>
  <c r="S20" i="12"/>
  <c r="H22" i="12"/>
  <c r="R54" i="12" s="1"/>
  <c r="M22" i="12"/>
  <c r="R85" i="12" s="1"/>
  <c r="S22" i="12"/>
  <c r="H24" i="12"/>
  <c r="R56" i="12" s="1"/>
  <c r="M24" i="12"/>
  <c r="R87" i="12" s="1"/>
  <c r="E26" i="12"/>
  <c r="T24" i="12" s="1"/>
  <c r="M26" i="12"/>
  <c r="R89" i="12" s="1"/>
  <c r="E28" i="12"/>
  <c r="T26" i="12" s="1"/>
  <c r="M28" i="12"/>
  <c r="R91" i="12" s="1"/>
  <c r="D29" i="12"/>
  <c r="H29" i="12"/>
  <c r="S58" i="12"/>
  <c r="S60" i="12"/>
  <c r="T87" i="12"/>
  <c r="S57" i="12"/>
  <c r="S61" i="12"/>
  <c r="T82" i="12"/>
  <c r="S89" i="12"/>
  <c r="R92" i="12"/>
  <c r="U59" i="12"/>
  <c r="T61" i="12"/>
  <c r="S88" i="12"/>
  <c r="S92" i="12"/>
  <c r="T27" i="12"/>
  <c r="D28" i="12"/>
  <c r="C9" i="11"/>
  <c r="C80" i="11"/>
  <c r="C79" i="11"/>
  <c r="C30" i="11"/>
  <c r="C32" i="11" s="1"/>
  <c r="U26" i="10"/>
  <c r="U22" i="10"/>
  <c r="C11" i="10"/>
  <c r="T11" i="10" s="1"/>
  <c r="H11" i="10"/>
  <c r="T41" i="10" s="1"/>
  <c r="M11" i="10"/>
  <c r="T68" i="10" s="1"/>
  <c r="U42" i="10"/>
  <c r="U69" i="10"/>
  <c r="V13" i="10"/>
  <c r="C15" i="10"/>
  <c r="T15" i="10" s="1"/>
  <c r="H15" i="10"/>
  <c r="T45" i="10" s="1"/>
  <c r="M15" i="10"/>
  <c r="T72" i="10" s="1"/>
  <c r="D16" i="10"/>
  <c r="U73" i="10"/>
  <c r="M16" i="10"/>
  <c r="T73" i="10" s="1"/>
  <c r="G17" i="10"/>
  <c r="V17" i="10" s="1"/>
  <c r="V47" i="10"/>
  <c r="U49" i="10"/>
  <c r="H19" i="10"/>
  <c r="T49" i="10" s="1"/>
  <c r="G20" i="10"/>
  <c r="V50" i="10"/>
  <c r="M21" i="10"/>
  <c r="T78" i="10" s="1"/>
  <c r="U53" i="10"/>
  <c r="H23" i="10"/>
  <c r="T53" i="10" s="1"/>
  <c r="G24" i="10"/>
  <c r="V54" i="10"/>
  <c r="U57" i="10"/>
  <c r="H27" i="10"/>
  <c r="T57" i="10" s="1"/>
  <c r="G28" i="10"/>
  <c r="V58" i="10"/>
  <c r="M17" i="10"/>
  <c r="T74" i="10" s="1"/>
  <c r="U74" i="10"/>
  <c r="V48" i="10"/>
  <c r="G18" i="10"/>
  <c r="G19" i="10"/>
  <c r="V49" i="10"/>
  <c r="U52" i="10"/>
  <c r="H22" i="10"/>
  <c r="T52" i="10" s="1"/>
  <c r="G23" i="10"/>
  <c r="V53" i="10"/>
  <c r="U56" i="10"/>
  <c r="H26" i="10"/>
  <c r="T56" i="10" s="1"/>
  <c r="G27" i="10"/>
  <c r="V57" i="10"/>
  <c r="H13" i="10"/>
  <c r="T43" i="10" s="1"/>
  <c r="M13" i="10"/>
  <c r="T70" i="10" s="1"/>
  <c r="M18" i="10"/>
  <c r="U75" i="10"/>
  <c r="U51" i="10"/>
  <c r="H21" i="10"/>
  <c r="T51" i="10" s="1"/>
  <c r="V52" i="10"/>
  <c r="G22" i="10"/>
  <c r="V22" i="10" s="1"/>
  <c r="U55" i="10"/>
  <c r="H25" i="10"/>
  <c r="T55" i="10" s="1"/>
  <c r="V56" i="10"/>
  <c r="G26" i="10"/>
  <c r="V26" i="10" s="1"/>
  <c r="U59" i="10"/>
  <c r="H29" i="10"/>
  <c r="T59" i="10" s="1"/>
  <c r="G16" i="10"/>
  <c r="V16" i="10" s="1"/>
  <c r="V46" i="10"/>
  <c r="H18" i="10"/>
  <c r="T48" i="10" s="1"/>
  <c r="U50" i="10"/>
  <c r="H20" i="10"/>
  <c r="T50" i="10" s="1"/>
  <c r="G21" i="10"/>
  <c r="V21" i="10" s="1"/>
  <c r="V51" i="10"/>
  <c r="U54" i="10"/>
  <c r="H24" i="10"/>
  <c r="T54" i="10" s="1"/>
  <c r="G25" i="10"/>
  <c r="V25" i="10" s="1"/>
  <c r="V55" i="10"/>
  <c r="U58" i="10"/>
  <c r="H28" i="10"/>
  <c r="T58" i="10" s="1"/>
  <c r="G29" i="10"/>
  <c r="V29" i="10" s="1"/>
  <c r="I34" i="10"/>
  <c r="U60" i="10"/>
  <c r="I33" i="10"/>
  <c r="D30" i="10"/>
  <c r="I32" i="10"/>
  <c r="I35" i="10"/>
  <c r="H30" i="10"/>
  <c r="N32" i="10"/>
  <c r="L34" i="10"/>
  <c r="Q35" i="10"/>
  <c r="V59" i="10"/>
  <c r="U79" i="10"/>
  <c r="U85" i="10"/>
  <c r="Q32" i="10"/>
  <c r="L35" i="10"/>
  <c r="U78" i="10"/>
  <c r="U84" i="10"/>
  <c r="L32" i="10"/>
  <c r="Q33" i="10"/>
  <c r="N34" i="10"/>
  <c r="U77" i="10"/>
  <c r="U83" i="10"/>
  <c r="U87" i="10"/>
  <c r="M19" i="10"/>
  <c r="T76" i="10" s="1"/>
  <c r="M23" i="10"/>
  <c r="T80" i="10" s="1"/>
  <c r="M25" i="10"/>
  <c r="T82" i="10" s="1"/>
  <c r="M29" i="10"/>
  <c r="T86" i="10" s="1"/>
  <c r="G30" i="10"/>
  <c r="M30" i="10"/>
  <c r="L33" i="10"/>
  <c r="Q34" i="10"/>
  <c r="S25" i="9"/>
  <c r="S8" i="9"/>
  <c r="H10" i="9"/>
  <c r="R39" i="9" s="1"/>
  <c r="H11" i="9"/>
  <c r="R40" i="9" s="1"/>
  <c r="M11" i="9"/>
  <c r="R69" i="9" s="1"/>
  <c r="H17" i="9"/>
  <c r="R46" i="9" s="1"/>
  <c r="M17" i="9"/>
  <c r="R75" i="9" s="1"/>
  <c r="H19" i="9"/>
  <c r="R48" i="9" s="1"/>
  <c r="M19" i="9"/>
  <c r="R77" i="9" s="1"/>
  <c r="H21" i="9"/>
  <c r="R50" i="9" s="1"/>
  <c r="M21" i="9"/>
  <c r="R79" i="9" s="1"/>
  <c r="H23" i="9"/>
  <c r="R52" i="9" s="1"/>
  <c r="M23" i="9"/>
  <c r="R81" i="9" s="1"/>
  <c r="H25" i="9"/>
  <c r="R54" i="9" s="1"/>
  <c r="M25" i="9"/>
  <c r="R83" i="9" s="1"/>
  <c r="E27" i="9"/>
  <c r="T25" i="9" s="1"/>
  <c r="M27" i="9"/>
  <c r="R85" i="9" s="1"/>
  <c r="E29" i="9"/>
  <c r="M29" i="9"/>
  <c r="R87" i="9" s="1"/>
  <c r="D30" i="9"/>
  <c r="H30" i="9"/>
  <c r="S44" i="9"/>
  <c r="S57" i="9"/>
  <c r="S70" i="9"/>
  <c r="C11" i="9"/>
  <c r="R9" i="9" s="1"/>
  <c r="H12" i="9"/>
  <c r="R41" i="9" s="1"/>
  <c r="E13" i="9"/>
  <c r="T11" i="9" s="1"/>
  <c r="D14" i="9"/>
  <c r="M15" i="9"/>
  <c r="R73" i="9" s="1"/>
  <c r="F27" i="9"/>
  <c r="U25" i="9" s="1"/>
  <c r="D28" i="9"/>
  <c r="F29" i="9"/>
  <c r="U27" i="9" s="1"/>
  <c r="E30" i="9"/>
  <c r="M30" i="9"/>
  <c r="T40" i="9"/>
  <c r="S43" i="9"/>
  <c r="T56" i="9"/>
  <c r="T58" i="9"/>
  <c r="S59" i="9"/>
  <c r="T78" i="9"/>
  <c r="S85" i="9"/>
  <c r="T39" i="9"/>
  <c r="T55" i="9"/>
  <c r="T59" i="9"/>
  <c r="S68" i="9"/>
  <c r="S72" i="9"/>
  <c r="S88" i="9"/>
  <c r="D12" i="9"/>
  <c r="M26" i="9"/>
  <c r="R84" i="9" s="1"/>
  <c r="U12" i="8"/>
  <c r="T14" i="8"/>
  <c r="U18" i="8"/>
  <c r="D22" i="8"/>
  <c r="S56" i="8"/>
  <c r="T22" i="8"/>
  <c r="D23" i="8"/>
  <c r="U26" i="8"/>
  <c r="D30" i="8"/>
  <c r="S64" i="8"/>
  <c r="T30" i="8"/>
  <c r="D11" i="8"/>
  <c r="S92" i="8"/>
  <c r="U11" i="8"/>
  <c r="S68" i="8"/>
  <c r="D12" i="8"/>
  <c r="C14" i="8"/>
  <c r="C19" i="8"/>
  <c r="D20" i="8"/>
  <c r="S54" i="8"/>
  <c r="T20" i="8"/>
  <c r="D21" i="8"/>
  <c r="C27" i="8"/>
  <c r="D28" i="8"/>
  <c r="S62" i="8"/>
  <c r="T28" i="8"/>
  <c r="D29" i="8"/>
  <c r="T112" i="8"/>
  <c r="D13" i="8"/>
  <c r="S94" i="8"/>
  <c r="U13" i="8"/>
  <c r="S70" i="8"/>
  <c r="S18" i="8"/>
  <c r="C18" i="8"/>
  <c r="S52" i="8"/>
  <c r="T18" i="8"/>
  <c r="S26" i="8"/>
  <c r="C26" i="8"/>
  <c r="S60" i="8"/>
  <c r="T26" i="8"/>
  <c r="U112" i="8"/>
  <c r="T12" i="8"/>
  <c r="D15" i="8"/>
  <c r="S96" i="8"/>
  <c r="U15" i="8"/>
  <c r="S72" i="8"/>
  <c r="D16" i="8"/>
  <c r="S50" i="8"/>
  <c r="T16" i="8"/>
  <c r="D17" i="8"/>
  <c r="U20" i="8"/>
  <c r="S24" i="8"/>
  <c r="C24" i="8"/>
  <c r="S58" i="8"/>
  <c r="T24" i="8"/>
  <c r="D25" i="8"/>
  <c r="U28" i="8"/>
  <c r="S65" i="8"/>
  <c r="S74" i="8"/>
  <c r="S76" i="8"/>
  <c r="S78" i="8"/>
  <c r="S80" i="8"/>
  <c r="S82" i="8"/>
  <c r="S84" i="8"/>
  <c r="S86" i="8"/>
  <c r="S88" i="8"/>
  <c r="S98" i="8"/>
  <c r="S100" i="8"/>
  <c r="S102" i="8"/>
  <c r="S104" i="8"/>
  <c r="S106" i="8"/>
  <c r="S108" i="8"/>
  <c r="S110" i="8"/>
  <c r="S112" i="8"/>
  <c r="D31" i="8"/>
  <c r="U31" i="8"/>
  <c r="C28" i="7"/>
  <c r="C27" i="7"/>
  <c r="C30" i="7"/>
  <c r="C83" i="7"/>
  <c r="C82" i="7"/>
  <c r="C81" i="7"/>
  <c r="D32" i="13" l="1"/>
  <c r="D31" i="13"/>
  <c r="D34" i="13"/>
  <c r="D33" i="13"/>
  <c r="M32" i="13"/>
  <c r="M31" i="13"/>
  <c r="M34" i="13"/>
  <c r="M33" i="13"/>
  <c r="H34" i="13"/>
  <c r="H32" i="13"/>
  <c r="H31" i="13"/>
  <c r="H33" i="13"/>
  <c r="C29" i="13"/>
  <c r="C31" i="13" s="1"/>
  <c r="G32" i="13"/>
  <c r="G31" i="13"/>
  <c r="G34" i="13"/>
  <c r="G33" i="13"/>
  <c r="C23" i="26"/>
  <c r="C23" i="24"/>
  <c r="C14" i="24"/>
  <c r="C15" i="24"/>
  <c r="C18" i="24"/>
  <c r="C9" i="22"/>
  <c r="C23" i="22"/>
  <c r="C18" i="22"/>
  <c r="C14" i="13"/>
  <c r="T12" i="13" s="1"/>
  <c r="C9" i="13"/>
  <c r="T7" i="13" s="1"/>
  <c r="C27" i="12"/>
  <c r="R25" i="12" s="1"/>
  <c r="C22" i="12"/>
  <c r="R20" i="12" s="1"/>
  <c r="C18" i="12"/>
  <c r="R16" i="12" s="1"/>
  <c r="C77" i="11"/>
  <c r="C13" i="10"/>
  <c r="T13" i="10" s="1"/>
  <c r="C14" i="10"/>
  <c r="T14" i="10" s="1"/>
  <c r="C26" i="12"/>
  <c r="R24" i="12" s="1"/>
  <c r="C24" i="24"/>
  <c r="C13" i="26"/>
  <c r="C17" i="12"/>
  <c r="R15" i="12" s="1"/>
  <c r="P59" i="26"/>
  <c r="C18" i="9"/>
  <c r="R16" i="9" s="1"/>
  <c r="C14" i="26"/>
  <c r="C23" i="12"/>
  <c r="R21" i="12" s="1"/>
  <c r="C10" i="10"/>
  <c r="T10" i="10" s="1"/>
  <c r="C26" i="16"/>
  <c r="C20" i="9"/>
  <c r="R18" i="9" s="1"/>
  <c r="T18" i="9"/>
  <c r="C12" i="16"/>
  <c r="C22" i="26"/>
  <c r="I32" i="29"/>
  <c r="C19" i="12"/>
  <c r="R17" i="12" s="1"/>
  <c r="C24" i="9"/>
  <c r="R22" i="9" s="1"/>
  <c r="T22" i="9"/>
  <c r="C12" i="26"/>
  <c r="C22" i="9"/>
  <c r="R20" i="9" s="1"/>
  <c r="S20" i="9"/>
  <c r="C20" i="16"/>
  <c r="C18" i="16"/>
  <c r="C16" i="26"/>
  <c r="C19" i="26"/>
  <c r="C33" i="26" s="1"/>
  <c r="C15" i="26"/>
  <c r="C11" i="26"/>
  <c r="O27" i="26"/>
  <c r="C19" i="17"/>
  <c r="C18" i="26"/>
  <c r="C10" i="26"/>
  <c r="C8" i="22"/>
  <c r="C14" i="17"/>
  <c r="C27" i="13"/>
  <c r="T25" i="13" s="1"/>
  <c r="U25" i="13"/>
  <c r="C25" i="12"/>
  <c r="R23" i="12" s="1"/>
  <c r="S23" i="12"/>
  <c r="C15" i="9"/>
  <c r="R13" i="9" s="1"/>
  <c r="S13" i="9"/>
  <c r="U12" i="10"/>
  <c r="C19" i="9"/>
  <c r="R17" i="9" s="1"/>
  <c r="C10" i="9"/>
  <c r="R8" i="9" s="1"/>
  <c r="C17" i="9"/>
  <c r="R15" i="9" s="1"/>
  <c r="S15" i="9"/>
  <c r="C16" i="12"/>
  <c r="R14" i="12" s="1"/>
  <c r="S14" i="12"/>
  <c r="C24" i="12"/>
  <c r="R22" i="12" s="1"/>
  <c r="U27" i="13"/>
  <c r="C25" i="13"/>
  <c r="T23" i="13" s="1"/>
  <c r="U23" i="13"/>
  <c r="C23" i="13"/>
  <c r="T21" i="13" s="1"/>
  <c r="U21" i="13"/>
  <c r="C21" i="13"/>
  <c r="T19" i="13" s="1"/>
  <c r="U19" i="13"/>
  <c r="C19" i="13"/>
  <c r="T17" i="13" s="1"/>
  <c r="U17" i="13"/>
  <c r="C17" i="13"/>
  <c r="T15" i="13" s="1"/>
  <c r="U15" i="13"/>
  <c r="C17" i="16"/>
  <c r="C25" i="9"/>
  <c r="R23" i="9" s="1"/>
  <c r="S23" i="9"/>
  <c r="C20" i="26"/>
  <c r="C23" i="9"/>
  <c r="R21" i="9" s="1"/>
  <c r="C24" i="13"/>
  <c r="T22" i="13" s="1"/>
  <c r="U22" i="13"/>
  <c r="C22" i="13"/>
  <c r="T20" i="13" s="1"/>
  <c r="U20" i="13"/>
  <c r="C20" i="13"/>
  <c r="T18" i="13" s="1"/>
  <c r="U18" i="13"/>
  <c r="C18" i="13"/>
  <c r="T16" i="13" s="1"/>
  <c r="U16" i="13"/>
  <c r="C16" i="13"/>
  <c r="T14" i="13" s="1"/>
  <c r="U14" i="13"/>
  <c r="C11" i="13"/>
  <c r="T9" i="13" s="1"/>
  <c r="C26" i="13"/>
  <c r="T24" i="13" s="1"/>
  <c r="U24" i="13"/>
  <c r="C21" i="9"/>
  <c r="R19" i="9" s="1"/>
  <c r="S19" i="9"/>
  <c r="E30" i="33"/>
  <c r="E32" i="33"/>
  <c r="E33" i="33"/>
  <c r="C32" i="33"/>
  <c r="C33" i="33"/>
  <c r="C30" i="33"/>
  <c r="D33" i="33"/>
  <c r="D30" i="33"/>
  <c r="D32" i="33"/>
  <c r="H31" i="33"/>
  <c r="B34" i="28"/>
  <c r="B32" i="28"/>
  <c r="B33" i="28"/>
  <c r="B31" i="28"/>
  <c r="J34" i="28"/>
  <c r="J32" i="28"/>
  <c r="J33" i="28"/>
  <c r="J31" i="28"/>
  <c r="E33" i="28"/>
  <c r="E31" i="28"/>
  <c r="E34" i="28"/>
  <c r="E32" i="28"/>
  <c r="H34" i="28"/>
  <c r="H32" i="28"/>
  <c r="H33" i="28"/>
  <c r="H31" i="28"/>
  <c r="O59" i="26"/>
  <c r="C26" i="26"/>
  <c r="C28" i="26"/>
  <c r="C31" i="26" s="1"/>
  <c r="C24" i="26"/>
  <c r="C32" i="26" s="1"/>
  <c r="B31" i="25"/>
  <c r="B34" i="25"/>
  <c r="B33" i="25"/>
  <c r="B32" i="25"/>
  <c r="C27" i="24"/>
  <c r="C11" i="24"/>
  <c r="C17" i="24"/>
  <c r="C21" i="24"/>
  <c r="C35" i="24"/>
  <c r="C34" i="24"/>
  <c r="C33" i="24"/>
  <c r="C32" i="24"/>
  <c r="C19" i="24"/>
  <c r="B30" i="23"/>
  <c r="B33" i="23"/>
  <c r="B32" i="23"/>
  <c r="B31" i="23"/>
  <c r="C28" i="22"/>
  <c r="V44" i="17"/>
  <c r="U44" i="17"/>
  <c r="C30" i="17"/>
  <c r="C21" i="17"/>
  <c r="C27" i="17"/>
  <c r="C12" i="17"/>
  <c r="C23" i="17"/>
  <c r="C20" i="17"/>
  <c r="U34" i="17"/>
  <c r="C17" i="17"/>
  <c r="C26" i="17"/>
  <c r="U40" i="17"/>
  <c r="C16" i="17"/>
  <c r="U30" i="17"/>
  <c r="C29" i="17"/>
  <c r="C28" i="17"/>
  <c r="U42" i="17"/>
  <c r="C25" i="17"/>
  <c r="C30" i="16"/>
  <c r="S46" i="16"/>
  <c r="G32" i="16"/>
  <c r="C27" i="16"/>
  <c r="S43" i="16"/>
  <c r="C29" i="16"/>
  <c r="C28" i="16"/>
  <c r="C78" i="14"/>
  <c r="C79" i="14"/>
  <c r="C80" i="14"/>
  <c r="C77" i="14"/>
  <c r="C32" i="13"/>
  <c r="T27" i="13"/>
  <c r="T92" i="13"/>
  <c r="V27" i="13"/>
  <c r="T62" i="13"/>
  <c r="C28" i="12"/>
  <c r="R26" i="12" s="1"/>
  <c r="S26" i="12"/>
  <c r="S12" i="12"/>
  <c r="C14" i="12"/>
  <c r="R12" i="12" s="1"/>
  <c r="S10" i="12"/>
  <c r="C12" i="12"/>
  <c r="R10" i="12" s="1"/>
  <c r="C11" i="12"/>
  <c r="R9" i="12" s="1"/>
  <c r="S9" i="12"/>
  <c r="R61" i="12"/>
  <c r="S11" i="12"/>
  <c r="C13" i="12"/>
  <c r="R11" i="12" s="1"/>
  <c r="C10" i="12"/>
  <c r="R8" i="12" s="1"/>
  <c r="S8" i="12"/>
  <c r="C29" i="12"/>
  <c r="S27" i="12"/>
  <c r="C15" i="12"/>
  <c r="R13" i="12" s="1"/>
  <c r="S13" i="12"/>
  <c r="C9" i="12"/>
  <c r="R7" i="12" s="1"/>
  <c r="S7" i="12"/>
  <c r="C33" i="11"/>
  <c r="C34" i="11"/>
  <c r="C35" i="11"/>
  <c r="G32" i="10"/>
  <c r="G35" i="10"/>
  <c r="G34" i="10"/>
  <c r="G33" i="10"/>
  <c r="V30" i="10"/>
  <c r="H35" i="10"/>
  <c r="H34" i="10"/>
  <c r="T60" i="10"/>
  <c r="H33" i="10"/>
  <c r="H32" i="10"/>
  <c r="V27" i="10"/>
  <c r="C27" i="10"/>
  <c r="T27" i="10" s="1"/>
  <c r="V23" i="10"/>
  <c r="C23" i="10"/>
  <c r="T23" i="10" s="1"/>
  <c r="V19" i="10"/>
  <c r="C19" i="10"/>
  <c r="T19" i="10" s="1"/>
  <c r="V24" i="10"/>
  <c r="C24" i="10"/>
  <c r="T24" i="10" s="1"/>
  <c r="C21" i="10"/>
  <c r="T21" i="10" s="1"/>
  <c r="C22" i="10"/>
  <c r="T22" i="10" s="1"/>
  <c r="V18" i="10"/>
  <c r="C18" i="10"/>
  <c r="T18" i="10" s="1"/>
  <c r="C29" i="10"/>
  <c r="T29" i="10" s="1"/>
  <c r="M32" i="10"/>
  <c r="M35" i="10"/>
  <c r="T87" i="10"/>
  <c r="M34" i="10"/>
  <c r="M33" i="10"/>
  <c r="C25" i="10"/>
  <c r="T25" i="10" s="1"/>
  <c r="V20" i="10"/>
  <c r="C20" i="10"/>
  <c r="T20" i="10" s="1"/>
  <c r="U16" i="10"/>
  <c r="C16" i="10"/>
  <c r="T16" i="10" s="1"/>
  <c r="C26" i="10"/>
  <c r="T26" i="10" s="1"/>
  <c r="D33" i="10"/>
  <c r="U30" i="10"/>
  <c r="D32" i="10"/>
  <c r="D35" i="10"/>
  <c r="D34" i="10"/>
  <c r="C30" i="10"/>
  <c r="V28" i="10"/>
  <c r="C28" i="10"/>
  <c r="T28" i="10" s="1"/>
  <c r="C17" i="10"/>
  <c r="T17" i="10" s="1"/>
  <c r="S10" i="9"/>
  <c r="C12" i="9"/>
  <c r="R10" i="9" s="1"/>
  <c r="R88" i="9"/>
  <c r="C29" i="9"/>
  <c r="T27" i="9"/>
  <c r="T28" i="9"/>
  <c r="R59" i="9"/>
  <c r="S12" i="9"/>
  <c r="C14" i="9"/>
  <c r="R12" i="9" s="1"/>
  <c r="C30" i="9"/>
  <c r="S28" i="9"/>
  <c r="C27" i="9"/>
  <c r="R25" i="9" s="1"/>
  <c r="S26" i="9"/>
  <c r="C28" i="9"/>
  <c r="R26" i="9" s="1"/>
  <c r="C13" i="9"/>
  <c r="R11" i="9" s="1"/>
  <c r="S16" i="8"/>
  <c r="C16" i="8"/>
  <c r="S28" i="8"/>
  <c r="C28" i="8"/>
  <c r="S12" i="8"/>
  <c r="C12" i="8"/>
  <c r="S13" i="8"/>
  <c r="C13" i="8"/>
  <c r="S29" i="8"/>
  <c r="C29" i="8"/>
  <c r="S20" i="8"/>
  <c r="C20" i="8"/>
  <c r="S30" i="8"/>
  <c r="C30" i="8"/>
  <c r="C25" i="8"/>
  <c r="S25" i="8"/>
  <c r="S21" i="8"/>
  <c r="C21" i="8"/>
  <c r="S22" i="8"/>
  <c r="C22" i="8"/>
  <c r="C31" i="8"/>
  <c r="S31" i="8"/>
  <c r="C15" i="8"/>
  <c r="S15" i="8"/>
  <c r="C23" i="8"/>
  <c r="S23" i="8"/>
  <c r="C17" i="8"/>
  <c r="S17" i="8"/>
  <c r="S11" i="8"/>
  <c r="C11" i="8"/>
  <c r="C33" i="13" l="1"/>
  <c r="C34" i="26"/>
  <c r="C34" i="13"/>
  <c r="C31" i="12"/>
  <c r="G32" i="33"/>
  <c r="G33" i="33"/>
  <c r="G30" i="33"/>
  <c r="B31" i="33"/>
  <c r="B32" i="33"/>
  <c r="B33" i="33"/>
  <c r="B30" i="33"/>
  <c r="C33" i="22"/>
  <c r="C32" i="22"/>
  <c r="C31" i="22"/>
  <c r="C30" i="22"/>
  <c r="C35" i="17"/>
  <c r="C32" i="17"/>
  <c r="C33" i="17"/>
  <c r="C34" i="17"/>
  <c r="C35" i="16"/>
  <c r="C33" i="16"/>
  <c r="C34" i="16"/>
  <c r="C32" i="16"/>
  <c r="C34" i="12"/>
  <c r="C33" i="12"/>
  <c r="C32" i="12"/>
  <c r="R27" i="12"/>
  <c r="C34" i="10"/>
  <c r="C33" i="10"/>
  <c r="T30" i="10"/>
  <c r="C32" i="10"/>
  <c r="C35" i="10"/>
  <c r="R27" i="9"/>
  <c r="R28" i="9"/>
  <c r="C32" i="9"/>
  <c r="C36" i="8"/>
  <c r="C33" i="8"/>
  <c r="C35" i="8"/>
  <c r="C34" i="8"/>
  <c r="H33" i="33" l="1"/>
  <c r="H30" i="33"/>
  <c r="H32" i="33"/>
</calcChain>
</file>

<file path=xl/comments1.xml><?xml version="1.0" encoding="utf-8"?>
<comments xmlns="http://schemas.openxmlformats.org/spreadsheetml/2006/main">
  <authors>
    <author>lvilchez</author>
    <author>usuario</author>
  </authors>
  <commentList>
    <comment ref="D50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Ajustado para arreglar decimales</t>
        </r>
      </text>
    </comment>
    <comment ref="F50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Ajustado para arreglar decimales</t>
        </r>
      </text>
    </comment>
    <comment ref="AG50" authorId="1">
      <text>
        <r>
          <rPr>
            <b/>
            <sz val="8"/>
            <color indexed="81"/>
            <rFont val="Tahoma"/>
            <family val="2"/>
          </rPr>
          <t>usuario:</t>
        </r>
        <r>
          <rPr>
            <sz val="8"/>
            <color indexed="81"/>
            <rFont val="Tahoma"/>
            <family val="2"/>
          </rPr>
          <t xml:space="preserve">
Cambiar en el cuadro de la izquierda el valor del porcentaje de 15% a 14 %, para lograr la suma del 100%</t>
        </r>
      </text>
    </comment>
    <comment ref="AK50" authorId="1">
      <text>
        <r>
          <rPr>
            <b/>
            <sz val="8"/>
            <color indexed="81"/>
            <rFont val="Tahoma"/>
            <family val="2"/>
          </rPr>
          <t>usuario:</t>
        </r>
        <r>
          <rPr>
            <sz val="8"/>
            <color indexed="81"/>
            <rFont val="Tahoma"/>
            <family val="2"/>
          </rPr>
          <t xml:space="preserve">
Cambiar en el cuadro de la izquierda el valor del porcentaje de 15% a 14 %, para lograr la suma del 100%</t>
        </r>
      </text>
    </comment>
    <comment ref="E68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Ajustado para arreglar decimales</t>
        </r>
      </text>
    </comment>
    <comment ref="AI68" authorId="1">
      <text>
        <r>
          <rPr>
            <b/>
            <sz val="8"/>
            <color indexed="81"/>
            <rFont val="Tahoma"/>
            <family val="2"/>
          </rPr>
          <t>usuario:</t>
        </r>
        <r>
          <rPr>
            <sz val="8"/>
            <color indexed="81"/>
            <rFont val="Tahoma"/>
            <family val="2"/>
          </rPr>
          <t xml:space="preserve">
Cambiar en el cuadro de la izquierda el valor del  porcentaje  de 81% a 80%, para que en la sumatoria se logre el 100%,.</t>
        </r>
      </text>
    </comment>
  </commentList>
</comments>
</file>

<file path=xl/comments2.xml><?xml version="1.0" encoding="utf-8"?>
<comments xmlns="http://schemas.openxmlformats.org/spreadsheetml/2006/main">
  <authors>
    <author>lvilchez</author>
  </authors>
  <commentList>
    <comment ref="M8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Adición ajustada según el capitulo de EVOLUCIONES de los anuarios desde el año 2000.</t>
        </r>
      </text>
    </comment>
    <comment ref="N8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Adición ajustada según el capitulo de EVOLUCIONES de los anuarios desde el año 2000.</t>
        </r>
      </text>
    </comment>
    <comment ref="K53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Adición ajustada según el capitulo de EVOLUCIONES de los anuarios desde el año 2000.</t>
        </r>
      </text>
    </comment>
    <comment ref="L53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Adición ajustada según el capitulo de EVOLUCIONES de los anuarios desde el año 2000.</t>
        </r>
      </text>
    </comment>
  </commentList>
</comments>
</file>

<file path=xl/comments3.xml><?xml version="1.0" encoding="utf-8"?>
<comments xmlns="http://schemas.openxmlformats.org/spreadsheetml/2006/main">
  <authors>
    <author>lvilchez</author>
  </authors>
  <commentList>
    <comment ref="D12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Ajustado según los datos de evoluciones y resultados de las anuarios anteiores (-1)</t>
        </r>
      </text>
    </comment>
    <comment ref="F12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Ajustado según los datos de evoluciones y resultados de las anuarios anteiores (+1)</t>
        </r>
      </text>
    </comment>
    <comment ref="E13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Ajustado según los datos de evoluciones y resultados de las anuarios anteiores (-1)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lvilchez:</t>
        </r>
        <r>
          <rPr>
            <sz val="8"/>
            <color indexed="81"/>
            <rFont val="Tahoma"/>
            <family val="2"/>
          </rPr>
          <t xml:space="preserve">
Ajustado según los datos de evoluciones y resultados de las anuarios anteiores (+1)</t>
        </r>
      </text>
    </comment>
  </commentList>
</comments>
</file>

<file path=xl/sharedStrings.xml><?xml version="1.0" encoding="utf-8"?>
<sst xmlns="http://schemas.openxmlformats.org/spreadsheetml/2006/main" count="1123" uniqueCount="327">
  <si>
    <t>Dirección General de Electricidad
Dirección de Estudios y Promoción Eléctrica</t>
  </si>
  <si>
    <t>INDICE</t>
  </si>
  <si>
    <t>1.</t>
  </si>
  <si>
    <t>INDICADORES</t>
  </si>
  <si>
    <t>1.1</t>
  </si>
  <si>
    <t>Indicadores Tecnicos - Económicos - Energéticos</t>
  </si>
  <si>
    <t xml:space="preserve">1.2  </t>
  </si>
  <si>
    <t>Consumo de energía eléctrica percápita (kW.h / habitante)</t>
  </si>
  <si>
    <t>1.3</t>
  </si>
  <si>
    <t>Produción de Energía Eléctrica Percápita (kW.h / habitante)</t>
  </si>
  <si>
    <t xml:space="preserve">1.4  </t>
  </si>
  <si>
    <t>Inversiones ejecutadas por actividad y empresas estatales y privadas (millones US $)</t>
  </si>
  <si>
    <t xml:space="preserve">2. </t>
  </si>
  <si>
    <t xml:space="preserve"> POTENCIA INSTALADA (MW)</t>
  </si>
  <si>
    <t xml:space="preserve">2.1  </t>
  </si>
  <si>
    <t xml:space="preserve">Total Nacional - Por tipo de origen y servicio </t>
  </si>
  <si>
    <t xml:space="preserve">2.2  </t>
  </si>
  <si>
    <t>Total Nacional - Por tipo de sistema y servicio</t>
  </si>
  <si>
    <t xml:space="preserve">2.3   </t>
  </si>
  <si>
    <t>Mercado Eléctrico  - Por tipo de sistema y origen</t>
  </si>
  <si>
    <t xml:space="preserve">2.4   </t>
  </si>
  <si>
    <t>Uso Propio  - Por tipo de sistema y origen</t>
  </si>
  <si>
    <t xml:space="preserve">2.5   </t>
  </si>
  <si>
    <t>Total Nacional - Potencia Instalada  RER</t>
  </si>
  <si>
    <t>3.</t>
  </si>
  <si>
    <t xml:space="preserve"> POTENCIA EFECTIVA (MW)</t>
  </si>
  <si>
    <t xml:space="preserve">3.1.   </t>
  </si>
  <si>
    <t xml:space="preserve">3.2.   </t>
  </si>
  <si>
    <t xml:space="preserve">3.3.   </t>
  </si>
  <si>
    <t xml:space="preserve">3.4.   </t>
  </si>
  <si>
    <t xml:space="preserve">4. </t>
  </si>
  <si>
    <t>MÁXIMA DEMANDA DEL SISTEMA ELÉCTRICO INTERCONECTADO NACIONAL (MW)</t>
  </si>
  <si>
    <t xml:space="preserve">5.  </t>
  </si>
  <si>
    <t>PRODUCCIÓN DE ENERGÍA ELÉCTRICA (GW.h)</t>
  </si>
  <si>
    <t xml:space="preserve">5.1. </t>
  </si>
  <si>
    <t xml:space="preserve">5.2. </t>
  </si>
  <si>
    <t xml:space="preserve">5.3   </t>
  </si>
  <si>
    <t>Mercado Eléctrico - Por tipo de sistema y origen</t>
  </si>
  <si>
    <t xml:space="preserve">5.4   </t>
  </si>
  <si>
    <t>Uso Propio - Por tipo de sistema y origen</t>
  </si>
  <si>
    <t xml:space="preserve">5.5   </t>
  </si>
  <si>
    <t>Total Nacional - Producción  RER</t>
  </si>
  <si>
    <t xml:space="preserve">6.  </t>
  </si>
  <si>
    <t xml:space="preserve"> LONGITUD TOTAL DE LÍNEAS DE TRANSMISIÓN A NIVEL NACIONAL (km)</t>
  </si>
  <si>
    <t xml:space="preserve">6.1.  </t>
  </si>
  <si>
    <t>Total Nacional - por nivel de tensión</t>
  </si>
  <si>
    <t xml:space="preserve">6.2  </t>
  </si>
  <si>
    <t>Pérdidas en el sistema garantizado y principal de transmisión (%)</t>
  </si>
  <si>
    <t xml:space="preserve">7.  </t>
  </si>
  <si>
    <t xml:space="preserve"> NÚMERO DE CLIENTES FINALES</t>
  </si>
  <si>
    <t xml:space="preserve">7.1.  </t>
  </si>
  <si>
    <t>Total Nacional - Por tipo de mercado y actividad de la empresa</t>
  </si>
  <si>
    <t xml:space="preserve">7.2  </t>
  </si>
  <si>
    <t>Empresas Distribuidoras  - Por tipo de mercado y nivel de tensión</t>
  </si>
  <si>
    <t xml:space="preserve">7.3  </t>
  </si>
  <si>
    <t>Empresas Generadoras - Por tipo de mercado y nivel de tensión</t>
  </si>
  <si>
    <t xml:space="preserve">8.  </t>
  </si>
  <si>
    <t>VENTA DE ENERGÍA ELÉCTRICA  (GW.h)</t>
  </si>
  <si>
    <t xml:space="preserve">8.1 </t>
  </si>
  <si>
    <t xml:space="preserve">Total Nacional - Por tipo de mercado y empresa </t>
  </si>
  <si>
    <t>Empresas Generadoras  - Por tipo de mercado y nivel de tensión</t>
  </si>
  <si>
    <t xml:space="preserve">9.  </t>
  </si>
  <si>
    <t>FACTURACIÓN POR VENTA DE ENERGÍA ELÉCTRICA A CLIENTES FINALES (miles US $)</t>
  </si>
  <si>
    <t xml:space="preserve">9.1. </t>
  </si>
  <si>
    <t>Total Nacional - Por tipo de mercado y empresa</t>
  </si>
  <si>
    <t xml:space="preserve">9.2  </t>
  </si>
  <si>
    <t xml:space="preserve">9.3  </t>
  </si>
  <si>
    <t xml:space="preserve">10.  </t>
  </si>
  <si>
    <t>PRECIO MEDIO DE ENERGÍA ELÉCTRICA  (Cent.US $ / kW.h)</t>
  </si>
  <si>
    <t xml:space="preserve">10.1 </t>
  </si>
  <si>
    <t xml:space="preserve">Total Nacional - Por tipo de mercado y empresa  </t>
  </si>
  <si>
    <t xml:space="preserve">10.2  </t>
  </si>
  <si>
    <t xml:space="preserve">10.3 </t>
  </si>
  <si>
    <t xml:space="preserve">11.  </t>
  </si>
  <si>
    <t>PÉRDIDAS EN DISTRIBUCIÓN (%)</t>
  </si>
  <si>
    <t xml:space="preserve">12.   </t>
  </si>
  <si>
    <t>CONSUMO DE ENERGÍA ELÉCTRICA (GW.h)</t>
  </si>
  <si>
    <t xml:space="preserve">13.  </t>
  </si>
  <si>
    <t>VENTAS DE ENERGÍA ELÉCTRICA POR SECTOR ECONÓMICO Y CONSUMO TOTAL (GW.h)</t>
  </si>
  <si>
    <t xml:space="preserve">14.  </t>
  </si>
  <si>
    <t>FACTURACIÓN DE ENERGÍA ELÉCTRICA A CLIENTES FINALES POR SECTOR ECONÓMICO (miles US $)</t>
  </si>
  <si>
    <t xml:space="preserve">15. </t>
  </si>
  <si>
    <t>1 INDICADORES</t>
  </si>
  <si>
    <t>1.1 INDICADORES TECNICOS - ECONÓMICOS - ENERGÉTICOS</t>
  </si>
  <si>
    <t xml:space="preserve">Cambiar valor en cuadro de la izquierda para logar el redondeo al 100% </t>
  </si>
  <si>
    <t>D %</t>
  </si>
  <si>
    <t>Var. Media</t>
  </si>
  <si>
    <t>2001 *</t>
  </si>
  <si>
    <t>2015**</t>
  </si>
  <si>
    <t>15/ 14</t>
  </si>
  <si>
    <t>15/ 10</t>
  </si>
  <si>
    <t>15 / 05</t>
  </si>
  <si>
    <t>2009*</t>
  </si>
  <si>
    <t xml:space="preserve">  POTENCIA INSTALADA (MW)</t>
  </si>
  <si>
    <t xml:space="preserve">  Por tipo de generación</t>
  </si>
  <si>
    <t xml:space="preserve">  Hidráulica (%)</t>
  </si>
  <si>
    <t xml:space="preserve">  Térmica (%)</t>
  </si>
  <si>
    <t xml:space="preserve">  Solar (%)</t>
  </si>
  <si>
    <t xml:space="preserve">  Eólica (%)</t>
  </si>
  <si>
    <t xml:space="preserve">  Por Sistemas</t>
  </si>
  <si>
    <t>.</t>
  </si>
  <si>
    <t xml:space="preserve">  SICN (%)</t>
  </si>
  <si>
    <t xml:space="preserve">  SIS (%)</t>
  </si>
  <si>
    <r>
      <t xml:space="preserve">  SEIN </t>
    </r>
    <r>
      <rPr>
        <vertAlign val="superscript"/>
        <sz val="8"/>
        <rFont val="Arial"/>
        <family val="2"/>
      </rPr>
      <t>**</t>
    </r>
    <r>
      <rPr>
        <sz val="8"/>
        <rFont val="Arial"/>
        <family val="2"/>
      </rPr>
      <t>(%)</t>
    </r>
  </si>
  <si>
    <t xml:space="preserve">  Aislados (%)</t>
  </si>
  <si>
    <t xml:space="preserve">  Por Servicio</t>
  </si>
  <si>
    <t xml:space="preserve">  Mercado Eléctrico (%)</t>
  </si>
  <si>
    <t xml:space="preserve">  Uso Propio (%)</t>
  </si>
  <si>
    <t xml:space="preserve">  POTENCIA EFECTIVA (MW)</t>
  </si>
  <si>
    <t>-</t>
  </si>
  <si>
    <t xml:space="preserve">  MÁXIMA DEMANDA DEL SEIN (MW)</t>
  </si>
  <si>
    <t xml:space="preserve">  PRODUCCIÓN DE ENERGÍA ELÉCTRICA (GW.h)</t>
  </si>
  <si>
    <t xml:space="preserve">  NÚMERO DE CLIENTES</t>
  </si>
  <si>
    <t xml:space="preserve">  Por tipo de empresa</t>
  </si>
  <si>
    <t xml:space="preserve">  Distribuidoras (%)</t>
  </si>
  <si>
    <t xml:space="preserve">  Generadoras (%)</t>
  </si>
  <si>
    <t xml:space="preserve">  Por mercado</t>
  </si>
  <si>
    <t xml:space="preserve">  Regulados (%)</t>
  </si>
  <si>
    <t xml:space="preserve">  Libres (%)</t>
  </si>
  <si>
    <t xml:space="preserve">  PÉRDIDAS EN DISTRIBUCIÓN (%)</t>
  </si>
  <si>
    <t xml:space="preserve">  INVERSIONES EJECUTADAS (millones US $)</t>
  </si>
  <si>
    <t xml:space="preserve">  INDICADORES  ENERGÉTICOS </t>
  </si>
  <si>
    <r>
      <t xml:space="preserve">  Población </t>
    </r>
    <r>
      <rPr>
        <vertAlign val="superscript"/>
        <sz val="10"/>
        <rFont val="Arial"/>
        <family val="2"/>
      </rPr>
      <t>1</t>
    </r>
    <r>
      <rPr>
        <sz val="8"/>
        <rFont val="Arial"/>
        <family val="2"/>
      </rPr>
      <t xml:space="preserve">  (habitantes)</t>
    </r>
  </si>
  <si>
    <t xml:space="preserve">  Consumo de energía eléctrica per cápita (kW.h/hab.)</t>
  </si>
  <si>
    <t xml:space="preserve">  Producción de energía eléctrica per cápita (kW.h/hab.)</t>
  </si>
  <si>
    <t>1/ Fuente : Documento del INEI "Estimaciones y Proyecciones"1995 - 2025</t>
  </si>
  <si>
    <r>
      <t>Nota</t>
    </r>
    <r>
      <rPr>
        <sz val="9"/>
        <rFont val="Arial"/>
        <family val="2"/>
      </rPr>
      <t>:</t>
    </r>
  </si>
  <si>
    <t>(*) A partir del año 2001 se interconectan los Sistemas Sur (SIS) y Norte (SICN) para conformar el Sistema Eléctrico Interconectado Nacional (SEIN)</t>
  </si>
  <si>
    <t>1.2  CONSUMO DE ENERGÍA ELÉCTRICA PERCÁPITA (kW.h / Habitante)</t>
  </si>
  <si>
    <t>Población</t>
  </si>
  <si>
    <t>Consumo</t>
  </si>
  <si>
    <t>kWh/ habit</t>
  </si>
  <si>
    <t>Año</t>
  </si>
  <si>
    <t xml:space="preserve"> kW.h / Habitante</t>
  </si>
  <si>
    <t>habit.</t>
  </si>
  <si>
    <t>GWh</t>
  </si>
  <si>
    <t>2015*</t>
  </si>
  <si>
    <t>Incremento 15/14</t>
  </si>
  <si>
    <t>Variación media 15/10</t>
  </si>
  <si>
    <t>Incremento 15/10</t>
  </si>
  <si>
    <t>Variación media 15/05</t>
  </si>
  <si>
    <t>(*) Información preliminar</t>
  </si>
  <si>
    <t>1.3   PRODUCCIÓN DE ENERGÍA ELÉCTRICA PERCÁPITA (kW.h / Habitante)</t>
  </si>
  <si>
    <t>Producción</t>
  </si>
  <si>
    <t>Incremento 15/05</t>
  </si>
  <si>
    <t xml:space="preserve">  1.4   INVERSIONES EJECUTADAS POR ACTIVIDAD Y EMPRESAS ESTATALES Y PRIVADAS (millones US $)</t>
  </si>
  <si>
    <t>Total Empresas</t>
  </si>
  <si>
    <t>Empresas Estatales</t>
  </si>
  <si>
    <t>Empresas Privadas</t>
  </si>
  <si>
    <r>
      <t>Electrificación Rural</t>
    </r>
    <r>
      <rPr>
        <b/>
        <vertAlign val="superscript"/>
        <sz val="10"/>
        <color indexed="9"/>
        <rFont val="Arial"/>
        <family val="2"/>
      </rPr>
      <t>1</t>
    </r>
  </si>
  <si>
    <t xml:space="preserve">Inversión </t>
  </si>
  <si>
    <t>Total</t>
  </si>
  <si>
    <t>Generadoras</t>
  </si>
  <si>
    <t>Transmisoras</t>
  </si>
  <si>
    <t>Distribuidoras</t>
  </si>
  <si>
    <t>Estatal (*)</t>
  </si>
  <si>
    <t>Privada</t>
  </si>
  <si>
    <t>2001**</t>
  </si>
  <si>
    <r>
      <t>1</t>
    </r>
    <r>
      <rPr>
        <sz val="8"/>
        <rFont val="Arial"/>
        <family val="2"/>
      </rPr>
      <t xml:space="preserve"> Corresponde a inversiones ejecutadas por la Dirección General de Electrificación Rural.</t>
    </r>
  </si>
  <si>
    <t>(*) Información preliminar al III Trimestre del año 2015</t>
  </si>
  <si>
    <t>(**) En el año 2001 se interconectan los sistemas SICN y SIS para conformar el Sistema Eléctrico Interconectado Nacional - SEIN</t>
  </si>
  <si>
    <t>Total Estatales</t>
  </si>
  <si>
    <t>Generación</t>
  </si>
  <si>
    <t>Transmisión</t>
  </si>
  <si>
    <t>Distribución</t>
  </si>
  <si>
    <t>(*) No incluye inversiones ejecutadas por la Dirección General de Electrificación Rural - DGER</t>
  </si>
  <si>
    <t>(**) Información Preliminar</t>
  </si>
  <si>
    <t>Total Privadas</t>
  </si>
  <si>
    <t>DGER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</si>
  <si>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</si>
  <si>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</si>
  <si>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</si>
  <si>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</si>
  <si>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</si>
  <si>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</si>
  <si>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</si>
  <si>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</si>
  <si>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</si>
  <si>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2.  POTENCIA INSTALADA NACIONAL (MW)</t>
  </si>
  <si>
    <t xml:space="preserve">2.1  NACIONAL - Por tipo de origen y servicio </t>
  </si>
  <si>
    <t>Mercado eléctrico</t>
  </si>
  <si>
    <t>Uso propio</t>
  </si>
  <si>
    <t>Hidro</t>
  </si>
  <si>
    <t>Termo</t>
  </si>
  <si>
    <t>Solar</t>
  </si>
  <si>
    <t>Eólica</t>
  </si>
  <si>
    <t>Hidráulica</t>
  </si>
  <si>
    <t>Térmica</t>
  </si>
  <si>
    <t>Mercado Eléctrico</t>
  </si>
  <si>
    <t>(*) Información anual preliminar 2015. Basada en registros al 30/11/2015.</t>
  </si>
  <si>
    <t>Uso Propio</t>
  </si>
  <si>
    <t>2.2  NACIONAL - Por tipo de sistema y servicio</t>
  </si>
  <si>
    <t>TOTALES</t>
  </si>
  <si>
    <t>SEIN</t>
  </si>
  <si>
    <t>SICN</t>
  </si>
  <si>
    <t>SIS</t>
  </si>
  <si>
    <t>SA</t>
  </si>
  <si>
    <t>( ** ) En el año 2001 se interconectan los sistemas SICN y SIS para conformar el Sistema Eléctrico Interconectado Nacional - SEIN</t>
  </si>
  <si>
    <t>2.3   MERCADO ELÉCTRICO  - Por tipo de sistema y origen</t>
  </si>
  <si>
    <t>TOTAL</t>
  </si>
  <si>
    <t>Sistema interconectado centro norte (SICN)</t>
  </si>
  <si>
    <t xml:space="preserve">     Sistema interconectado sur (SIS)</t>
  </si>
  <si>
    <t>A i s l a d o s</t>
  </si>
  <si>
    <t>Sub - Total</t>
  </si>
  <si>
    <t>Hidráulico</t>
  </si>
  <si>
    <t>Térmico</t>
  </si>
  <si>
    <t>Eólico</t>
  </si>
  <si>
    <t>S E I N</t>
  </si>
  <si>
    <t>2.4   USO PROPIO  - Por tipo de sistema y origen</t>
  </si>
  <si>
    <t>3. POTENCIA EFECTIVA (MW)</t>
  </si>
  <si>
    <t>3.1.   NACIONAL - Por mercado y origen</t>
  </si>
  <si>
    <t>2001*</t>
  </si>
  <si>
    <t>3.2.   NACIONAL - Por mercado y sistema</t>
  </si>
  <si>
    <t>3.3.   MERCADO ELÉCTRICO  - Por  sistema y origen</t>
  </si>
  <si>
    <t xml:space="preserve">SEIN </t>
  </si>
  <si>
    <t>Sistema interconectado sur (SIS)</t>
  </si>
  <si>
    <t>Aislados</t>
  </si>
  <si>
    <t>ME</t>
  </si>
  <si>
    <t>HIDRO</t>
  </si>
  <si>
    <t>TERMO</t>
  </si>
  <si>
    <t>SOLAR</t>
  </si>
  <si>
    <t>EÓLICO</t>
  </si>
  <si>
    <t>TOTAL SEIN</t>
  </si>
  <si>
    <t>3.4.   USO PROPIO  - Por sistema y origen</t>
  </si>
  <si>
    <t>4. EVOLUCIÓN DE LA MÁXIMA DEMANDA DEL SISTEMA ELÉCTRICO INTERCONECTADO NACIONAL (MW)</t>
  </si>
  <si>
    <t xml:space="preserve">Máxima Demanda </t>
  </si>
  <si>
    <t>(MW)</t>
  </si>
  <si>
    <t>Fuente : COES</t>
  </si>
  <si>
    <t>5.  PRODUCCIÓN DE ENERGÍA ELÉCTRICA (GW.h)</t>
  </si>
  <si>
    <t>5.1. NACIONAL - Por mercado y origen</t>
  </si>
  <si>
    <t>-----</t>
  </si>
  <si>
    <t>Mercado Electrico</t>
  </si>
  <si>
    <t>5.2. NACIONAL - Por tipo de mercado y sistema</t>
  </si>
  <si>
    <t>5.3   MERCADO ELÉCTRICO - Por tipo de sistema y origen (GW.h)</t>
  </si>
  <si>
    <t>---</t>
  </si>
  <si>
    <t>S  E  I  N</t>
  </si>
  <si>
    <t>5.4   USO PROPIO - Por tipo de sistema y origen</t>
  </si>
  <si>
    <t>Origen</t>
  </si>
  <si>
    <t>Biomasa/
Biogás</t>
  </si>
  <si>
    <t>RER-Hidro</t>
  </si>
  <si>
    <t>Biomasa</t>
  </si>
  <si>
    <t>6.  EVOLUCIÓN DE LA LONGITUD TOTAL DE LÍNEAS DE TRANSMISIÓN A NIVEL NACIONAL (km)</t>
  </si>
  <si>
    <t>6.1.  Por nivel de tensión a nivel nacional</t>
  </si>
  <si>
    <t>Longitud de Líneas de Transmisión</t>
  </si>
  <si>
    <t>Nivel de Tensión ( kV )</t>
  </si>
  <si>
    <t>60 - 69</t>
  </si>
  <si>
    <t>30 - 50</t>
  </si>
  <si>
    <t>2011**</t>
  </si>
  <si>
    <t>NOTA: El cuadro presenta la longitud unilineal del recorrido, no considera el número de ternas.</t>
  </si>
  <si>
    <t>(**) Entra en operación la primera línea en 500 kV  Chilca-La Planicie-Zapallal perteneciente a la empresa ISA Perú S.A.</t>
  </si>
  <si>
    <t>6.2  PÉRDIDAS EN EL SISTEMA GARANTIZADO Y PRINCIPAL DE TRANSMISIÓN (%)</t>
  </si>
  <si>
    <t>Pérdidas en SGT y SPT
(%)</t>
  </si>
  <si>
    <t>2006*</t>
  </si>
  <si>
    <t>Incremento 14/13</t>
  </si>
  <si>
    <t>Variación media 14/09</t>
  </si>
  <si>
    <t>Incremento 14/04</t>
  </si>
  <si>
    <t>Variación media 14/04</t>
  </si>
  <si>
    <t>(*): En julio del 2006 la Ley 28832, define los sistemas garantizado y complementario (anterior fijos principal y secundario)</t>
  </si>
  <si>
    <t>Fuente : COES (incluyen lineas de transmisión del Sistema Sur que dejaron de formar parte del SPT desde Oct. 2000)</t>
  </si>
  <si>
    <t>7.   NÚMERO DE CLIENTES FINALES</t>
  </si>
  <si>
    <t>7.1.  NACIONAL</t>
  </si>
  <si>
    <t>Clientes Finales por Mercado</t>
  </si>
  <si>
    <t>Regulado</t>
  </si>
  <si>
    <t>Libre</t>
  </si>
  <si>
    <t xml:space="preserve">Total </t>
  </si>
  <si>
    <t>7.2  EMPRESAS DISTRIBUIDORAS  - Por tipo de mercado y nivel de tensión</t>
  </si>
  <si>
    <t>Mercado Libre</t>
  </si>
  <si>
    <t>Mercado Regulado</t>
  </si>
  <si>
    <t>MAT</t>
  </si>
  <si>
    <t>AT</t>
  </si>
  <si>
    <t>MT</t>
  </si>
  <si>
    <t>BT</t>
  </si>
  <si>
    <t>7.3  EMPRESAS GENERADORAS - Por tipo de mercado y nivel de tensión</t>
  </si>
  <si>
    <t>8.  VENTA DE ENERGÍA ELÉCTRICA  (GWh)</t>
  </si>
  <si>
    <t>8.1 NACIONAL - Por tipo de mercado y empresa  (GWh)</t>
  </si>
  <si>
    <t>Tipo de Mercado</t>
  </si>
  <si>
    <t>Regulados</t>
  </si>
  <si>
    <t>Libres</t>
  </si>
  <si>
    <t>8.2 EMPRESAS  DISTRIBUIDORAS  - Por tipo de mercado y nivel de tensión  (GWh)</t>
  </si>
  <si>
    <t>( * ) Información Preliminar</t>
  </si>
  <si>
    <t>8.3  EMPRESAS GENERADORAS  - Por tipo de mercado y nivel de tensión  (GWh)</t>
  </si>
  <si>
    <t>9.  EVOLUCIÓN DE LA FACTURACIÓN POR VENTA DE ENERGÍA ELÉCTRICA A CLIENTES FINALES  (miles US $)</t>
  </si>
  <si>
    <t>9.1. NACIONAL - Por tipo de mercado y empresa</t>
  </si>
  <si>
    <t>9.2  EMPRESAS  DISTRIBUIDORAS  - Por tipo de mercado y nivel de tensión</t>
  </si>
  <si>
    <t>10.2  EMPRESAS  DISTRIBUIDORAS  - Por tipo de mercado y nivel de tensión</t>
  </si>
  <si>
    <t>(Cent.US $ / kWh)</t>
  </si>
  <si>
    <t>9.3  EMPRESAS GENERADORAS  - Por tipo de mercado y nivel de tensión</t>
  </si>
  <si>
    <t>10.3  EMPRESAS GENERADORAS  - Por tipo de mercado y nivel de tensión</t>
  </si>
  <si>
    <t>10.  EVOLUCIÓN DEL PRECIO MEDIO DE ENERGÍA ELÉCTRICA</t>
  </si>
  <si>
    <t>10.1 NACIONAL - Por tipo de mercado y empresa</t>
  </si>
  <si>
    <t>(*) Informacion Preliminar</t>
  </si>
  <si>
    <t/>
  </si>
  <si>
    <t>11.  PÉRDIDAS EN DISTRIBUCIÓN (%)</t>
  </si>
  <si>
    <t>Pérdidas en Distribución (%)</t>
  </si>
  <si>
    <t>2015 *</t>
  </si>
  <si>
    <t>12.   CONSUMO DE ENERGÍA ELÉCTRICA (GW.h)</t>
  </si>
  <si>
    <t>Ventas a Cliente Final</t>
  </si>
  <si>
    <t>de uso propio</t>
  </si>
  <si>
    <t>13.  VENTAS DE ENERGÍA ELÉCTRICA POR SECTOR ECONÓMICO Y CONSUMO TOTAL (GW.h)</t>
  </si>
  <si>
    <t>Venta a Cliente Final</t>
  </si>
  <si>
    <t xml:space="preserve">Generación </t>
  </si>
  <si>
    <t>Consumo Total</t>
  </si>
  <si>
    <t>Industrial</t>
  </si>
  <si>
    <t>Comercial</t>
  </si>
  <si>
    <t>Residencial</t>
  </si>
  <si>
    <t>Alumbrado Público</t>
  </si>
  <si>
    <t>por Uso</t>
  </si>
  <si>
    <t>Propio</t>
  </si>
  <si>
    <t>14.  FACTURACIÓN DE ENERGÍA ELÉCTRICA A CLIENTES FINALES POR SECTOR ECONÓMICO</t>
  </si>
  <si>
    <t xml:space="preserve"> (Miles US $)</t>
  </si>
  <si>
    <t>Facturación a Cliente Final</t>
  </si>
  <si>
    <t>Precio Medio por Sector Económico</t>
  </si>
  <si>
    <t>Precio Medio **</t>
  </si>
  <si>
    <t>15. PRECIO MEDIO DE ENERGÍA ELÉCTRICA POR SECTOR ECONÓMICO (Cent. US$/kW.h)</t>
  </si>
  <si>
    <t>(**) Corresponde al cociente de la facturación y venta total de energía eléctrica</t>
  </si>
  <si>
    <t>Diciembre 2015</t>
  </si>
  <si>
    <r>
      <t>EVOLUCIÓN DE INDICADORES DEL SECTOR ELÉCTRICO
1995 - 2015
(</t>
    </r>
    <r>
      <rPr>
        <b/>
        <sz val="16"/>
        <color indexed="9"/>
        <rFont val="Arial"/>
        <family val="2"/>
      </rPr>
      <t>con cifras preliminares 2015)</t>
    </r>
  </si>
  <si>
    <t>PRECIO MEDIO DE ENERGÍA ELÉCTRICA POR SECTOR ECONÓMICO (cent. US$/kW.h)</t>
  </si>
  <si>
    <t>(**) Información preliminar.</t>
  </si>
  <si>
    <t>VENTAS DE ENERGÍA ELÉCTRICA (GW.h)</t>
  </si>
  <si>
    <t>(*) Información preliminar.</t>
  </si>
  <si>
    <t>(*) Informaciónpreliminar.</t>
  </si>
  <si>
    <t>(*) Información anual preliminar. No se incluye exportación al Ecuador (57 MW). Incremento se debió principalmente al ingreso en operación de unidades mineras (Las bambas, ampliación Cerro Verde).</t>
  </si>
  <si>
    <t>(*) Información anual preliminar.</t>
  </si>
  <si>
    <t>( * ) Información anual preliminar</t>
  </si>
  <si>
    <t>( * ) Información anual preliminar.</t>
  </si>
  <si>
    <t>5.5   A NIVEL NACIONAL - Producción con RER GW.h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</si>
</sst>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 * #,##0.00_ ;_ * \-#,##0.00_ ;_ * &quot;-&quot;??_ ;_ @_ "/>
    <numFmt numFmtId="164" formatCode="_-[$€]* #,##0.00_-;\-[$€]* #,##0.00_-;_-[$€]* &quot;-&quot;??_-;_-@_-"/>
    <numFmt numFmtId="165" formatCode="_-* #,##0.00_-;\-* #,##0.00_-;_-* &quot;-&quot;??_-;_-@_-"/>
    <numFmt numFmtId="166" formatCode="#,##0.00000"/>
    <numFmt numFmtId="167" formatCode="0.0000000"/>
    <numFmt numFmtId="168" formatCode="0.00000"/>
    <numFmt numFmtId="169" formatCode="0.0000"/>
    <numFmt numFmtId="170" formatCode="#,##0.0"/>
    <numFmt numFmtId="171" formatCode="0.0%"/>
    <numFmt numFmtId="172" formatCode="0.0"/>
    <numFmt numFmtId="173" formatCode="0.000"/>
    <numFmt numFmtId="174" formatCode="_-* #,##0_-;\-* #,##0_-;_-* &quot;-&quot;??_-;_-@_-"/>
    <numFmt numFmtId="175" formatCode="#\ ##0.00"/>
    <numFmt numFmtId="176" formatCode="#\ ##0"/>
    <numFmt numFmtId="177" formatCode="#,##0.0000"/>
    <numFmt numFmtId="178" formatCode="#\ ##0.0"/>
    <numFmt numFmtId="179" formatCode="0.000%"/>
    <numFmt numFmtId="180" formatCode="#,##0.000"/>
    <numFmt numFmtId="181" formatCode="##\ ##0.00"/>
    <numFmt numFmtId="182" formatCode="_(* #,##0.000000_);_(* \(#,##0.000000\);_(* &quot;-&quot;??_);_(@_)"/>
  </numFmts>
  <fonts count="51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8"/>
      <color theme="0"/>
      <name val="Arial"/>
      <family val="2"/>
    </font>
    <font>
      <b/>
      <sz val="16"/>
      <color indexed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sz val="11"/>
      <color indexed="8"/>
      <name val="Calibri"/>
      <family val="2"/>
    </font>
    <font>
      <b/>
      <sz val="2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vertAlign val="superscript"/>
      <sz val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vertAlign val="superscript"/>
      <sz val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8"/>
      <color rgb="FF1F497D"/>
      <name val="Calibri"/>
      <family val="2"/>
    </font>
    <font>
      <u/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</font>
    <font>
      <b/>
      <vertAlign val="superscript"/>
      <sz val="10"/>
      <color indexed="9"/>
      <name val="Arial"/>
      <family val="2"/>
    </font>
    <font>
      <b/>
      <sz val="9"/>
      <color theme="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b/>
      <sz val="8"/>
      <color theme="0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b/>
      <sz val="13"/>
      <name val="Arial"/>
      <family val="2"/>
    </font>
    <font>
      <b/>
      <i/>
      <sz val="10"/>
      <name val="Arial Narrow"/>
      <family val="2"/>
    </font>
    <font>
      <sz val="10"/>
      <name val="Arial Narrow"/>
      <family val="2"/>
    </font>
    <font>
      <b/>
      <sz val="7"/>
      <name val="Arial"/>
      <family val="2"/>
    </font>
    <font>
      <b/>
      <sz val="12"/>
      <color theme="0"/>
      <name val="Arial"/>
      <family val="2"/>
    </font>
    <font>
      <b/>
      <sz val="12"/>
      <color indexed="33"/>
      <name val="Arial"/>
      <family val="2"/>
    </font>
    <font>
      <b/>
      <sz val="10"/>
      <color indexed="33"/>
      <name val="Arial"/>
      <family val="2"/>
    </font>
    <font>
      <sz val="10"/>
      <color indexed="13"/>
      <name val="Arial"/>
      <family val="2"/>
    </font>
    <font>
      <sz val="11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7DDA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47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47"/>
      </patternFill>
    </fill>
    <fill>
      <patternFill patternType="solid">
        <fgColor rgb="FFC0C0C0"/>
        <bgColor indexed="64"/>
      </patternFill>
    </fill>
  </fills>
  <borders count="1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double">
        <color indexed="64"/>
      </left>
      <right style="hair">
        <color indexed="64"/>
      </right>
      <top/>
      <bottom style="medium">
        <color indexed="9"/>
      </bottom>
      <diagonal/>
    </border>
    <border>
      <left style="hair">
        <color indexed="64"/>
      </left>
      <right style="hair">
        <color indexed="64"/>
      </right>
      <top/>
      <bottom style="medium">
        <color indexed="9"/>
      </bottom>
      <diagonal/>
    </border>
    <border>
      <left/>
      <right/>
      <top/>
      <bottom style="thick">
        <color indexed="26"/>
      </bottom>
      <diagonal/>
    </border>
    <border>
      <left style="medium">
        <color indexed="64"/>
      </left>
      <right/>
      <top style="medium">
        <color indexed="9"/>
      </top>
      <bottom style="thin">
        <color indexed="64"/>
      </bottom>
      <diagonal/>
    </border>
    <border>
      <left/>
      <right/>
      <top style="medium">
        <color indexed="9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9"/>
      </top>
      <bottom style="thin">
        <color indexed="64"/>
      </bottom>
      <diagonal/>
    </border>
    <border>
      <left/>
      <right style="medium">
        <color indexed="64"/>
      </right>
      <top style="medium">
        <color indexed="9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9"/>
      </right>
      <top style="medium">
        <color indexed="64"/>
      </top>
      <bottom style="thin">
        <color indexed="64"/>
      </bottom>
      <diagonal/>
    </border>
    <border>
      <left style="double">
        <color indexed="9"/>
      </left>
      <right style="double">
        <color indexed="9"/>
      </right>
      <top style="medium">
        <color indexed="64"/>
      </top>
      <bottom style="thin">
        <color indexed="64"/>
      </bottom>
      <diagonal/>
    </border>
    <border>
      <left style="double">
        <color indexed="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9"/>
      </right>
      <top style="medium">
        <color indexed="64"/>
      </top>
      <bottom style="thin">
        <color indexed="64"/>
      </bottom>
      <diagonal/>
    </border>
    <border>
      <left style="double">
        <color indexed="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</cellStyleXfs>
  <cellXfs count="1821">
    <xf numFmtId="0" fontId="0" fillId="0" borderId="0" xfId="0"/>
    <xf numFmtId="0" fontId="1" fillId="2" borderId="1" xfId="1" applyFill="1" applyBorder="1"/>
    <xf numFmtId="0" fontId="1" fillId="2" borderId="2" xfId="1" applyFill="1" applyBorder="1"/>
    <xf numFmtId="0" fontId="1" fillId="2" borderId="3" xfId="1" applyFill="1" applyBorder="1"/>
    <xf numFmtId="0" fontId="1" fillId="0" borderId="0" xfId="1"/>
    <xf numFmtId="0" fontId="1" fillId="2" borderId="4" xfId="1" applyFill="1" applyBorder="1"/>
    <xf numFmtId="0" fontId="1" fillId="2" borderId="0" xfId="1" applyFill="1" applyBorder="1"/>
    <xf numFmtId="0" fontId="1" fillId="2" borderId="5" xfId="1" applyFill="1" applyBorder="1"/>
    <xf numFmtId="0" fontId="2" fillId="2" borderId="0" xfId="1" applyFont="1" applyFill="1" applyBorder="1" applyAlignment="1">
      <alignment vertical="center"/>
    </xf>
    <xf numFmtId="0" fontId="4" fillId="2" borderId="0" xfId="1" applyFont="1" applyFill="1" applyBorder="1"/>
    <xf numFmtId="0" fontId="1" fillId="0" borderId="5" xfId="1" applyBorder="1"/>
    <xf numFmtId="0" fontId="1" fillId="2" borderId="6" xfId="1" applyFill="1" applyBorder="1"/>
    <xf numFmtId="0" fontId="1" fillId="2" borderId="7" xfId="1" applyFill="1" applyBorder="1"/>
    <xf numFmtId="0" fontId="1" fillId="2" borderId="8" xfId="1" applyFill="1" applyBorder="1"/>
    <xf numFmtId="0" fontId="1" fillId="2" borderId="0" xfId="1" applyFill="1"/>
    <xf numFmtId="0" fontId="8" fillId="2" borderId="0" xfId="1" applyFont="1" applyFill="1"/>
    <xf numFmtId="0" fontId="9" fillId="2" borderId="0" xfId="1" applyFont="1" applyFill="1"/>
    <xf numFmtId="0" fontId="10" fillId="2" borderId="0" xfId="1" applyFont="1" applyFill="1" applyAlignment="1">
      <alignment horizontal="center"/>
    </xf>
    <xf numFmtId="0" fontId="10" fillId="2" borderId="0" xfId="1" applyFont="1" applyFill="1"/>
    <xf numFmtId="0" fontId="9" fillId="2" borderId="0" xfId="1" applyFont="1" applyFill="1" applyAlignment="1">
      <alignment horizontal="center"/>
    </xf>
    <xf numFmtId="0" fontId="9" fillId="2" borderId="0" xfId="1" applyFont="1" applyFill="1" applyAlignment="1">
      <alignment horizontal="left" indent="1"/>
    </xf>
    <xf numFmtId="0" fontId="10" fillId="2" borderId="0" xfId="1" applyFont="1" applyFill="1" applyBorder="1" applyAlignment="1">
      <alignment horizontal="center"/>
    </xf>
    <xf numFmtId="0" fontId="10" fillId="2" borderId="0" xfId="10" applyFont="1" applyFill="1" applyAlignment="1">
      <alignment horizontal="center"/>
    </xf>
    <xf numFmtId="0" fontId="10" fillId="2" borderId="0" xfId="10" applyFont="1" applyFill="1"/>
    <xf numFmtId="0" fontId="9" fillId="2" borderId="0" xfId="10" applyFont="1" applyFill="1" applyAlignment="1">
      <alignment horizontal="center"/>
    </xf>
    <xf numFmtId="0" fontId="9" fillId="2" borderId="0" xfId="10" applyFont="1" applyFill="1" applyAlignment="1">
      <alignment horizontal="left" indent="1"/>
    </xf>
    <xf numFmtId="0" fontId="10" fillId="2" borderId="0" xfId="7" applyFont="1" applyFill="1" applyAlignment="1">
      <alignment horizontal="center"/>
    </xf>
    <xf numFmtId="0" fontId="10" fillId="2" borderId="0" xfId="7" applyFont="1" applyFill="1"/>
    <xf numFmtId="0" fontId="9" fillId="2" borderId="0" xfId="7" applyFont="1" applyFill="1" applyAlignment="1">
      <alignment horizontal="center"/>
    </xf>
    <xf numFmtId="0" fontId="9" fillId="2" borderId="0" xfId="7" applyFont="1" applyFill="1" applyAlignment="1">
      <alignment horizontal="left" indent="1"/>
    </xf>
    <xf numFmtId="0" fontId="10" fillId="2" borderId="0" xfId="7" applyFont="1" applyFill="1" applyBorder="1" applyAlignment="1">
      <alignment horizontal="center"/>
    </xf>
    <xf numFmtId="0" fontId="11" fillId="0" borderId="0" xfId="1" applyFont="1"/>
    <xf numFmtId="0" fontId="12" fillId="0" borderId="0" xfId="1" applyFont="1"/>
    <xf numFmtId="3" fontId="1" fillId="0" borderId="0" xfId="1" applyNumberFormat="1"/>
    <xf numFmtId="0" fontId="5" fillId="0" borderId="0" xfId="1" applyFont="1"/>
    <xf numFmtId="0" fontId="1" fillId="0" borderId="0" xfId="1" applyFill="1"/>
    <xf numFmtId="166" fontId="1" fillId="0" borderId="0" xfId="1" applyNumberFormat="1"/>
    <xf numFmtId="167" fontId="1" fillId="0" borderId="0" xfId="1" applyNumberFormat="1"/>
    <xf numFmtId="168" fontId="1" fillId="0" borderId="0" xfId="1" applyNumberFormat="1"/>
    <xf numFmtId="169" fontId="1" fillId="0" borderId="0" xfId="1" applyNumberFormat="1"/>
    <xf numFmtId="169" fontId="12" fillId="0" borderId="0" xfId="1" applyNumberFormat="1" applyFont="1"/>
    <xf numFmtId="0" fontId="1" fillId="4" borderId="0" xfId="1" applyFill="1"/>
    <xf numFmtId="0" fontId="15" fillId="6" borderId="15" xfId="1" applyFont="1" applyFill="1" applyBorder="1"/>
    <xf numFmtId="3" fontId="15" fillId="6" borderId="0" xfId="1" applyNumberFormat="1" applyFont="1" applyFill="1" applyBorder="1"/>
    <xf numFmtId="0" fontId="12" fillId="7" borderId="4" xfId="1" applyFont="1" applyFill="1" applyBorder="1"/>
    <xf numFmtId="0" fontId="4" fillId="7" borderId="0" xfId="1" applyFont="1" applyFill="1" applyBorder="1"/>
    <xf numFmtId="0" fontId="12" fillId="7" borderId="21" xfId="1" applyFont="1" applyFill="1" applyBorder="1"/>
    <xf numFmtId="0" fontId="12" fillId="7" borderId="22" xfId="1" applyFont="1" applyFill="1" applyBorder="1"/>
    <xf numFmtId="0" fontId="12" fillId="7" borderId="5" xfId="1" applyFont="1" applyFill="1" applyBorder="1"/>
    <xf numFmtId="3" fontId="15" fillId="0" borderId="0" xfId="1" applyNumberFormat="1" applyFont="1" applyFill="1" applyBorder="1"/>
    <xf numFmtId="0" fontId="13" fillId="7" borderId="23" xfId="1" applyFont="1" applyFill="1" applyBorder="1"/>
    <xf numFmtId="0" fontId="4" fillId="7" borderId="24" xfId="1" applyFont="1" applyFill="1" applyBorder="1"/>
    <xf numFmtId="0" fontId="4" fillId="7" borderId="25" xfId="1" applyFont="1" applyFill="1" applyBorder="1"/>
    <xf numFmtId="2" fontId="1" fillId="0" borderId="0" xfId="1" applyNumberFormat="1"/>
    <xf numFmtId="1" fontId="1" fillId="0" borderId="0" xfId="1" applyNumberFormat="1"/>
    <xf numFmtId="1" fontId="4" fillId="7" borderId="0" xfId="1" applyNumberFormat="1" applyFont="1" applyFill="1" applyBorder="1"/>
    <xf numFmtId="1" fontId="12" fillId="7" borderId="21" xfId="1" applyNumberFormat="1" applyFont="1" applyFill="1" applyBorder="1"/>
    <xf numFmtId="9" fontId="0" fillId="0" borderId="0" xfId="15" applyFont="1"/>
    <xf numFmtId="3" fontId="0" fillId="0" borderId="0" xfId="15" applyNumberFormat="1" applyFont="1"/>
    <xf numFmtId="172" fontId="1" fillId="0" borderId="0" xfId="1" applyNumberFormat="1"/>
    <xf numFmtId="1" fontId="4" fillId="7" borderId="24" xfId="1" applyNumberFormat="1" applyFont="1" applyFill="1" applyBorder="1"/>
    <xf numFmtId="1" fontId="4" fillId="7" borderId="25" xfId="1" applyNumberFormat="1" applyFont="1" applyFill="1" applyBorder="1"/>
    <xf numFmtId="4" fontId="1" fillId="0" borderId="0" xfId="1" applyNumberFormat="1"/>
    <xf numFmtId="9" fontId="0" fillId="0" borderId="0" xfId="15" applyFont="1" applyFill="1"/>
    <xf numFmtId="0" fontId="13" fillId="7" borderId="22" xfId="1" applyFont="1" applyFill="1" applyBorder="1"/>
    <xf numFmtId="3" fontId="17" fillId="0" borderId="0" xfId="1" applyNumberFormat="1" applyFont="1"/>
    <xf numFmtId="0" fontId="14" fillId="0" borderId="0" xfId="1" applyFont="1"/>
    <xf numFmtId="3" fontId="14" fillId="0" borderId="0" xfId="1" applyNumberFormat="1" applyFont="1"/>
    <xf numFmtId="3" fontId="10" fillId="0" borderId="0" xfId="1" applyNumberFormat="1" applyFont="1" applyFill="1" applyBorder="1" applyAlignment="1"/>
    <xf numFmtId="3" fontId="18" fillId="0" borderId="0" xfId="1" applyNumberFormat="1" applyFont="1"/>
    <xf numFmtId="1" fontId="1" fillId="0" borderId="0" xfId="1" applyNumberFormat="1" applyFill="1"/>
    <xf numFmtId="1" fontId="4" fillId="7" borderId="0" xfId="1" quotePrefix="1" applyNumberFormat="1" applyFont="1" applyFill="1" applyBorder="1" applyAlignment="1">
      <alignment horizontal="right"/>
    </xf>
    <xf numFmtId="3" fontId="17" fillId="0" borderId="0" xfId="15" applyNumberFormat="1" applyFont="1"/>
    <xf numFmtId="0" fontId="17" fillId="0" borderId="0" xfId="1" applyFont="1"/>
    <xf numFmtId="9" fontId="12" fillId="7" borderId="22" xfId="15" applyFont="1" applyFill="1" applyBorder="1"/>
    <xf numFmtId="9" fontId="12" fillId="7" borderId="5" xfId="15" applyFont="1" applyFill="1" applyBorder="1"/>
    <xf numFmtId="3" fontId="1" fillId="0" borderId="0" xfId="1" applyNumberFormat="1" applyBorder="1"/>
    <xf numFmtId="172" fontId="4" fillId="7" borderId="0" xfId="1" applyNumberFormat="1" applyFont="1" applyFill="1" applyBorder="1"/>
    <xf numFmtId="9" fontId="0" fillId="0" borderId="0" xfId="15" applyNumberFormat="1" applyFont="1"/>
    <xf numFmtId="9" fontId="0" fillId="8" borderId="0" xfId="15" applyNumberFormat="1" applyFont="1" applyFill="1"/>
    <xf numFmtId="10" fontId="1" fillId="0" borderId="0" xfId="1" applyNumberFormat="1"/>
    <xf numFmtId="0" fontId="1" fillId="0" borderId="0" xfId="1" applyBorder="1"/>
    <xf numFmtId="173" fontId="1" fillId="0" borderId="0" xfId="1" applyNumberFormat="1"/>
    <xf numFmtId="9" fontId="0" fillId="8" borderId="0" xfId="15" applyFont="1" applyFill="1"/>
    <xf numFmtId="3" fontId="14" fillId="0" borderId="0" xfId="1" applyNumberFormat="1" applyFont="1" applyFill="1" applyBorder="1" applyAlignment="1"/>
    <xf numFmtId="3" fontId="1" fillId="0" borderId="0" xfId="1" applyNumberFormat="1" applyFont="1"/>
    <xf numFmtId="3" fontId="4" fillId="7" borderId="0" xfId="1" applyNumberFormat="1" applyFont="1" applyFill="1" applyBorder="1"/>
    <xf numFmtId="170" fontId="12" fillId="7" borderId="21" xfId="1" applyNumberFormat="1" applyFont="1" applyFill="1" applyBorder="1" applyAlignment="1">
      <alignment horizontal="center"/>
    </xf>
    <xf numFmtId="171" fontId="12" fillId="7" borderId="22" xfId="15" applyNumberFormat="1" applyFont="1" applyFill="1" applyBorder="1" applyAlignment="1">
      <alignment horizontal="center"/>
    </xf>
    <xf numFmtId="170" fontId="12" fillId="7" borderId="22" xfId="15" applyNumberFormat="1" applyFont="1" applyFill="1" applyBorder="1" applyAlignment="1">
      <alignment horizontal="center"/>
    </xf>
    <xf numFmtId="171" fontId="12" fillId="7" borderId="5" xfId="15" applyNumberFormat="1" applyFont="1" applyFill="1" applyBorder="1" applyAlignment="1">
      <alignment horizontal="center"/>
    </xf>
    <xf numFmtId="0" fontId="12" fillId="7" borderId="6" xfId="1" applyFont="1" applyFill="1" applyBorder="1"/>
    <xf numFmtId="0" fontId="4" fillId="7" borderId="7" xfId="1" applyFont="1" applyFill="1" applyBorder="1"/>
    <xf numFmtId="0" fontId="12" fillId="7" borderId="28" xfId="1" applyFont="1" applyFill="1" applyBorder="1"/>
    <xf numFmtId="0" fontId="12" fillId="7" borderId="29" xfId="1" applyFont="1" applyFill="1" applyBorder="1"/>
    <xf numFmtId="0" fontId="12" fillId="7" borderId="8" xfId="1" applyFont="1" applyFill="1" applyBorder="1"/>
    <xf numFmtId="0" fontId="18" fillId="0" borderId="0" xfId="1" applyFont="1"/>
    <xf numFmtId="0" fontId="20" fillId="0" borderId="0" xfId="1" applyFont="1"/>
    <xf numFmtId="0" fontId="21" fillId="0" borderId="0" xfId="1" applyFont="1"/>
    <xf numFmtId="3" fontId="22" fillId="0" borderId="0" xfId="1" applyNumberFormat="1" applyFont="1"/>
    <xf numFmtId="0" fontId="23" fillId="0" borderId="0" xfId="1" applyFont="1"/>
    <xf numFmtId="2" fontId="4" fillId="0" borderId="0" xfId="1" applyNumberFormat="1" applyFont="1"/>
    <xf numFmtId="0" fontId="12" fillId="0" borderId="0" xfId="1" applyFont="1" applyFill="1" applyBorder="1"/>
    <xf numFmtId="3" fontId="12" fillId="0" borderId="0" xfId="1" applyNumberFormat="1" applyFont="1" applyFill="1" applyBorder="1"/>
    <xf numFmtId="0" fontId="1" fillId="0" borderId="0" xfId="1" applyFill="1" applyBorder="1"/>
    <xf numFmtId="172" fontId="1" fillId="0" borderId="0" xfId="1" applyNumberFormat="1" applyFill="1" applyBorder="1"/>
    <xf numFmtId="3" fontId="1" fillId="0" borderId="0" xfId="1" applyNumberFormat="1" applyFill="1" applyBorder="1"/>
    <xf numFmtId="1" fontId="12" fillId="0" borderId="0" xfId="1" applyNumberFormat="1" applyFont="1" applyFill="1" applyBorder="1"/>
    <xf numFmtId="1" fontId="1" fillId="0" borderId="0" xfId="1" applyNumberFormat="1" applyFill="1" applyBorder="1" applyAlignment="1">
      <alignment horizontal="center"/>
    </xf>
    <xf numFmtId="3" fontId="1" fillId="0" borderId="0" xfId="1" applyNumberFormat="1" applyFill="1" applyBorder="1" applyAlignment="1">
      <alignment horizontal="center"/>
    </xf>
    <xf numFmtId="3" fontId="14" fillId="0" borderId="0" xfId="1" applyNumberFormat="1" applyFont="1" applyFill="1" applyBorder="1"/>
    <xf numFmtId="1" fontId="14" fillId="0" borderId="0" xfId="1" applyNumberFormat="1" applyFont="1" applyFill="1" applyBorder="1"/>
    <xf numFmtId="0" fontId="12" fillId="0" borderId="0" xfId="1" applyFont="1" applyBorder="1"/>
    <xf numFmtId="1" fontId="14" fillId="0" borderId="0" xfId="1" applyNumberFormat="1" applyFont="1"/>
    <xf numFmtId="0" fontId="26" fillId="0" borderId="0" xfId="1" applyFont="1"/>
    <xf numFmtId="0" fontId="1" fillId="0" borderId="0" xfId="1" applyAlignment="1">
      <alignment horizontal="center"/>
    </xf>
    <xf numFmtId="0" fontId="27" fillId="9" borderId="30" xfId="1" applyFont="1" applyFill="1" applyBorder="1" applyAlignment="1">
      <alignment horizontal="center"/>
    </xf>
    <xf numFmtId="0" fontId="1" fillId="7" borderId="30" xfId="1" applyFill="1" applyBorder="1" applyAlignment="1">
      <alignment horizontal="center"/>
    </xf>
    <xf numFmtId="1" fontId="1" fillId="7" borderId="30" xfId="1" applyNumberFormat="1" applyFill="1" applyBorder="1" applyAlignment="1">
      <alignment horizontal="center"/>
    </xf>
    <xf numFmtId="0" fontId="1" fillId="10" borderId="31" xfId="1" applyFill="1" applyBorder="1" applyAlignment="1">
      <alignment horizontal="center"/>
    </xf>
    <xf numFmtId="1" fontId="1" fillId="10" borderId="31" xfId="1" applyNumberFormat="1" applyFill="1" applyBorder="1" applyAlignment="1">
      <alignment horizontal="center"/>
    </xf>
    <xf numFmtId="0" fontId="1" fillId="7" borderId="31" xfId="1" applyFill="1" applyBorder="1" applyAlignment="1">
      <alignment horizontal="center"/>
    </xf>
    <xf numFmtId="1" fontId="1" fillId="7" borderId="31" xfId="1" applyNumberFormat="1" applyFill="1" applyBorder="1" applyAlignment="1">
      <alignment horizontal="center"/>
    </xf>
    <xf numFmtId="0" fontId="1" fillId="0" borderId="0" xfId="1" applyAlignment="1">
      <alignment horizontal="right"/>
    </xf>
    <xf numFmtId="3" fontId="1" fillId="10" borderId="31" xfId="1" applyNumberFormat="1" applyFill="1" applyBorder="1" applyAlignment="1">
      <alignment horizontal="center"/>
    </xf>
    <xf numFmtId="0" fontId="4" fillId="7" borderId="31" xfId="1" applyFont="1" applyFill="1" applyBorder="1" applyAlignment="1">
      <alignment horizontal="center"/>
    </xf>
    <xf numFmtId="3" fontId="1" fillId="7" borderId="31" xfId="1" applyNumberFormat="1" applyFill="1" applyBorder="1" applyAlignment="1">
      <alignment horizontal="center"/>
    </xf>
    <xf numFmtId="0" fontId="4" fillId="10" borderId="31" xfId="1" applyFont="1" applyFill="1" applyBorder="1" applyAlignment="1">
      <alignment horizontal="center"/>
    </xf>
    <xf numFmtId="0" fontId="4" fillId="2" borderId="31" xfId="1" applyFont="1" applyFill="1" applyBorder="1" applyAlignment="1">
      <alignment horizontal="center"/>
    </xf>
    <xf numFmtId="3" fontId="1" fillId="2" borderId="31" xfId="1" applyNumberFormat="1" applyFill="1" applyBorder="1" applyAlignment="1">
      <alignment horizontal="center"/>
    </xf>
    <xf numFmtId="0" fontId="14" fillId="0" borderId="31" xfId="1" applyFont="1" applyFill="1" applyBorder="1" applyAlignment="1">
      <alignment horizontal="center"/>
    </xf>
    <xf numFmtId="3" fontId="1" fillId="0" borderId="31" xfId="1" applyNumberFormat="1" applyFill="1" applyBorder="1" applyAlignment="1">
      <alignment horizontal="center"/>
    </xf>
    <xf numFmtId="0" fontId="4" fillId="11" borderId="31" xfId="1" applyFont="1" applyFill="1" applyBorder="1" applyAlignment="1">
      <alignment horizontal="center"/>
    </xf>
    <xf numFmtId="3" fontId="1" fillId="11" borderId="31" xfId="1" applyNumberFormat="1" applyFill="1" applyBorder="1" applyAlignment="1">
      <alignment horizontal="center"/>
    </xf>
    <xf numFmtId="0" fontId="28" fillId="0" borderId="32" xfId="1" applyFont="1" applyFill="1" applyBorder="1" applyAlignment="1">
      <alignment vertical="center"/>
    </xf>
    <xf numFmtId="9" fontId="28" fillId="0" borderId="32" xfId="15" applyFont="1" applyFill="1" applyBorder="1" applyAlignment="1">
      <alignment horizontal="center" vertical="center"/>
    </xf>
    <xf numFmtId="0" fontId="1" fillId="0" borderId="0" xfId="1" applyAlignment="1">
      <alignment vertical="center"/>
    </xf>
    <xf numFmtId="0" fontId="28" fillId="10" borderId="33" xfId="1" applyFont="1" applyFill="1" applyBorder="1" applyAlignment="1">
      <alignment vertical="center"/>
    </xf>
    <xf numFmtId="9" fontId="28" fillId="10" borderId="33" xfId="15" applyFont="1" applyFill="1" applyBorder="1" applyAlignment="1">
      <alignment horizontal="center" vertical="center"/>
    </xf>
    <xf numFmtId="0" fontId="28" fillId="0" borderId="31" xfId="1" applyFont="1" applyFill="1" applyBorder="1" applyAlignment="1">
      <alignment vertical="center"/>
    </xf>
    <xf numFmtId="9" fontId="28" fillId="0" borderId="31" xfId="15" applyFont="1" applyFill="1" applyBorder="1" applyAlignment="1">
      <alignment horizontal="center" vertical="center"/>
    </xf>
    <xf numFmtId="174" fontId="0" fillId="0" borderId="0" xfId="16" applyNumberFormat="1" applyFont="1" applyAlignment="1">
      <alignment vertical="center"/>
    </xf>
    <xf numFmtId="43" fontId="1" fillId="0" borderId="0" xfId="1" applyNumberFormat="1" applyAlignment="1">
      <alignment vertical="center"/>
    </xf>
    <xf numFmtId="0" fontId="28" fillId="10" borderId="34" xfId="1" applyFont="1" applyFill="1" applyBorder="1" applyAlignment="1">
      <alignment vertical="center"/>
    </xf>
    <xf numFmtId="9" fontId="28" fillId="10" borderId="34" xfId="15" applyFont="1" applyFill="1" applyBorder="1" applyAlignment="1">
      <alignment horizontal="center" vertical="center"/>
    </xf>
    <xf numFmtId="0" fontId="29" fillId="0" borderId="0" xfId="1" applyFont="1"/>
    <xf numFmtId="0" fontId="4" fillId="0" borderId="31" xfId="1" applyFont="1" applyFill="1" applyBorder="1" applyAlignment="1">
      <alignment horizontal="center"/>
    </xf>
    <xf numFmtId="0" fontId="4" fillId="0" borderId="0" xfId="1" applyFont="1" applyAlignment="1">
      <alignment horizontal="right"/>
    </xf>
    <xf numFmtId="0" fontId="28" fillId="10" borderId="32" xfId="1" applyFont="1" applyFill="1" applyBorder="1" applyAlignment="1">
      <alignment vertical="center"/>
    </xf>
    <xf numFmtId="9" fontId="28" fillId="10" borderId="35" xfId="15" applyFont="1" applyFill="1" applyBorder="1" applyAlignment="1">
      <alignment horizontal="center" vertical="center"/>
    </xf>
    <xf numFmtId="0" fontId="28" fillId="0" borderId="33" xfId="1" applyFont="1" applyFill="1" applyBorder="1" applyAlignment="1">
      <alignment vertical="center"/>
    </xf>
    <xf numFmtId="9" fontId="28" fillId="0" borderId="33" xfId="15" applyFont="1" applyFill="1" applyBorder="1" applyAlignment="1">
      <alignment horizontal="center" vertical="center"/>
    </xf>
    <xf numFmtId="0" fontId="30" fillId="0" borderId="0" xfId="1" applyFont="1" applyFill="1" applyAlignment="1">
      <alignment vertical="center"/>
    </xf>
    <xf numFmtId="0" fontId="28" fillId="10" borderId="31" xfId="1" applyFont="1" applyFill="1" applyBorder="1" applyAlignment="1">
      <alignment vertical="center"/>
    </xf>
    <xf numFmtId="9" fontId="28" fillId="10" borderId="31" xfId="15" applyFont="1" applyFill="1" applyBorder="1" applyAlignment="1">
      <alignment horizontal="center" vertical="center"/>
    </xf>
    <xf numFmtId="0" fontId="28" fillId="0" borderId="34" xfId="1" applyFont="1" applyFill="1" applyBorder="1" applyAlignment="1">
      <alignment vertical="center"/>
    </xf>
    <xf numFmtId="9" fontId="28" fillId="0" borderId="34" xfId="15" applyFont="1" applyFill="1" applyBorder="1" applyAlignment="1">
      <alignment horizontal="center" vertical="center"/>
    </xf>
    <xf numFmtId="0" fontId="4" fillId="0" borderId="0" xfId="7"/>
    <xf numFmtId="0" fontId="31" fillId="0" borderId="0" xfId="7" applyFont="1"/>
    <xf numFmtId="0" fontId="5" fillId="0" borderId="0" xfId="7" applyFont="1"/>
    <xf numFmtId="0" fontId="10" fillId="0" borderId="0" xfId="7" applyFont="1" applyAlignment="1">
      <alignment horizontal="centerContinuous"/>
    </xf>
    <xf numFmtId="0" fontId="4" fillId="0" borderId="0" xfId="7" applyAlignment="1">
      <alignment horizontal="centerContinuous"/>
    </xf>
    <xf numFmtId="0" fontId="4" fillId="0" borderId="0" xfId="7" applyFill="1"/>
    <xf numFmtId="0" fontId="4" fillId="0" borderId="0" xfId="7" applyBorder="1"/>
    <xf numFmtId="0" fontId="27" fillId="9" borderId="36" xfId="7" applyFont="1" applyFill="1" applyBorder="1" applyAlignment="1">
      <alignment horizontal="center"/>
    </xf>
    <xf numFmtId="0" fontId="17" fillId="7" borderId="0" xfId="7" applyFont="1" applyFill="1" applyBorder="1"/>
    <xf numFmtId="0" fontId="27" fillId="9" borderId="43" xfId="7" applyFont="1" applyFill="1" applyBorder="1" applyAlignment="1">
      <alignment horizontal="center"/>
    </xf>
    <xf numFmtId="0" fontId="27" fillId="9" borderId="44" xfId="7" applyFont="1" applyFill="1" applyBorder="1" applyAlignment="1">
      <alignment horizontal="center"/>
    </xf>
    <xf numFmtId="0" fontId="34" fillId="9" borderId="45" xfId="7" applyFont="1" applyFill="1" applyBorder="1" applyAlignment="1">
      <alignment horizontal="center"/>
    </xf>
    <xf numFmtId="0" fontId="34" fillId="9" borderId="31" xfId="7" applyFont="1" applyFill="1" applyBorder="1" applyAlignment="1">
      <alignment horizontal="center"/>
    </xf>
    <xf numFmtId="0" fontId="34" fillId="9" borderId="46" xfId="7" applyFont="1" applyFill="1" applyBorder="1" applyAlignment="1">
      <alignment horizontal="center"/>
    </xf>
    <xf numFmtId="0" fontId="27" fillId="9" borderId="47" xfId="7" applyFont="1" applyFill="1" applyBorder="1" applyAlignment="1">
      <alignment horizontal="center"/>
    </xf>
    <xf numFmtId="0" fontId="34" fillId="9" borderId="48" xfId="7" applyFont="1" applyFill="1" applyBorder="1" applyAlignment="1">
      <alignment horizontal="center"/>
    </xf>
    <xf numFmtId="0" fontId="34" fillId="9" borderId="30" xfId="7" applyFont="1" applyFill="1" applyBorder="1" applyAlignment="1">
      <alignment horizontal="center"/>
    </xf>
    <xf numFmtId="0" fontId="34" fillId="9" borderId="49" xfId="7" applyFont="1" applyFill="1" applyBorder="1" applyAlignment="1">
      <alignment horizontal="center"/>
    </xf>
    <xf numFmtId="0" fontId="34" fillId="9" borderId="50" xfId="7" applyFont="1" applyFill="1" applyBorder="1" applyAlignment="1">
      <alignment horizontal="center"/>
    </xf>
    <xf numFmtId="0" fontId="4" fillId="7" borderId="0" xfId="7" applyFill="1" applyBorder="1" applyAlignment="1">
      <alignment vertical="center"/>
    </xf>
    <xf numFmtId="0" fontId="32" fillId="9" borderId="52" xfId="7" applyFont="1" applyFill="1" applyBorder="1" applyAlignment="1">
      <alignment horizontal="center"/>
    </xf>
    <xf numFmtId="0" fontId="27" fillId="9" borderId="53" xfId="7" applyFont="1" applyFill="1" applyBorder="1" applyAlignment="1">
      <alignment horizontal="center"/>
    </xf>
    <xf numFmtId="0" fontId="32" fillId="9" borderId="54" xfId="7" applyFont="1" applyFill="1" applyBorder="1" applyAlignment="1">
      <alignment horizontal="center"/>
    </xf>
    <xf numFmtId="170" fontId="27" fillId="9" borderId="55" xfId="7" applyNumberFormat="1" applyFont="1" applyFill="1" applyBorder="1" applyAlignment="1">
      <alignment horizontal="center"/>
    </xf>
    <xf numFmtId="170" fontId="27" fillId="9" borderId="56" xfId="7" applyNumberFormat="1" applyFont="1" applyFill="1" applyBorder="1" applyAlignment="1">
      <alignment horizontal="center"/>
    </xf>
    <xf numFmtId="170" fontId="27" fillId="9" borderId="57" xfId="7" applyNumberFormat="1" applyFont="1" applyFill="1" applyBorder="1" applyAlignment="1">
      <alignment horizontal="center"/>
    </xf>
    <xf numFmtId="170" fontId="27" fillId="9" borderId="58" xfId="7" applyNumberFormat="1" applyFont="1" applyFill="1" applyBorder="1" applyAlignment="1">
      <alignment horizontal="center"/>
    </xf>
    <xf numFmtId="170" fontId="32" fillId="9" borderId="59" xfId="7" applyNumberFormat="1" applyFont="1" applyFill="1" applyBorder="1"/>
    <xf numFmtId="170" fontId="32" fillId="9" borderId="56" xfId="7" applyNumberFormat="1" applyFont="1" applyFill="1" applyBorder="1"/>
    <xf numFmtId="170" fontId="32" fillId="9" borderId="58" xfId="7" applyNumberFormat="1" applyFont="1" applyFill="1" applyBorder="1"/>
    <xf numFmtId="170" fontId="32" fillId="9" borderId="57" xfId="7" applyNumberFormat="1" applyFont="1" applyFill="1" applyBorder="1"/>
    <xf numFmtId="170" fontId="32" fillId="9" borderId="55" xfId="7" applyNumberFormat="1" applyFont="1" applyFill="1" applyBorder="1"/>
    <xf numFmtId="0" fontId="4" fillId="0" borderId="0" xfId="7" applyAlignment="1">
      <alignment horizontal="center"/>
    </xf>
    <xf numFmtId="0" fontId="4" fillId="0" borderId="0" xfId="7" applyFont="1"/>
    <xf numFmtId="0" fontId="4" fillId="12" borderId="61" xfId="7" applyFill="1" applyBorder="1" applyAlignment="1">
      <alignment horizontal="center"/>
    </xf>
    <xf numFmtId="170" fontId="4" fillId="12" borderId="62" xfId="7" applyNumberFormat="1" applyFill="1" applyBorder="1" applyAlignment="1">
      <alignment horizontal="center"/>
    </xf>
    <xf numFmtId="170" fontId="4" fillId="12" borderId="63" xfId="7" applyNumberFormat="1" applyFill="1" applyBorder="1" applyAlignment="1">
      <alignment horizontal="center"/>
    </xf>
    <xf numFmtId="170" fontId="4" fillId="12" borderId="48" xfId="7" applyNumberFormat="1" applyFill="1" applyBorder="1"/>
    <xf numFmtId="170" fontId="4" fillId="12" borderId="30" xfId="7" applyNumberFormat="1" applyFill="1" applyBorder="1"/>
    <xf numFmtId="170" fontId="4" fillId="12" borderId="64" xfId="7" applyNumberFormat="1" applyFill="1" applyBorder="1"/>
    <xf numFmtId="170" fontId="4" fillId="12" borderId="47" xfId="7" applyNumberFormat="1" applyFill="1" applyBorder="1"/>
    <xf numFmtId="170" fontId="4" fillId="12" borderId="49" xfId="7" applyNumberFormat="1" applyFill="1" applyBorder="1"/>
    <xf numFmtId="170" fontId="4" fillId="12" borderId="50" xfId="7" applyNumberFormat="1" applyFill="1" applyBorder="1"/>
    <xf numFmtId="172" fontId="4" fillId="7" borderId="51" xfId="7" applyNumberFormat="1" applyFont="1" applyFill="1" applyBorder="1"/>
    <xf numFmtId="172" fontId="4" fillId="0" borderId="0" xfId="7" applyNumberFormat="1"/>
    <xf numFmtId="170" fontId="4" fillId="0" borderId="0" xfId="7" applyNumberFormat="1"/>
    <xf numFmtId="175" fontId="4" fillId="0" borderId="0" xfId="7" applyNumberFormat="1"/>
    <xf numFmtId="0" fontId="4" fillId="12" borderId="4" xfId="7" applyFill="1" applyBorder="1" applyAlignment="1">
      <alignment horizontal="center"/>
    </xf>
    <xf numFmtId="170" fontId="4" fillId="12" borderId="43" xfId="7" applyNumberFormat="1" applyFill="1" applyBorder="1" applyAlignment="1">
      <alignment horizontal="center"/>
    </xf>
    <xf numFmtId="170" fontId="4" fillId="12" borderId="44" xfId="7" applyNumberFormat="1" applyFill="1" applyBorder="1" applyAlignment="1">
      <alignment horizontal="center"/>
    </xf>
    <xf numFmtId="170" fontId="4" fillId="12" borderId="0" xfId="7" applyNumberFormat="1" applyFill="1" applyBorder="1"/>
    <xf numFmtId="170" fontId="4" fillId="12" borderId="31" xfId="7" applyNumberFormat="1" applyFill="1" applyBorder="1"/>
    <xf numFmtId="170" fontId="4" fillId="12" borderId="5" xfId="7" applyNumberFormat="1" applyFill="1" applyBorder="1"/>
    <xf numFmtId="170" fontId="4" fillId="12" borderId="65" xfId="7" applyNumberFormat="1" applyFill="1" applyBorder="1"/>
    <xf numFmtId="170" fontId="4" fillId="12" borderId="46" xfId="7" applyNumberFormat="1" applyFill="1" applyBorder="1"/>
    <xf numFmtId="170" fontId="4" fillId="12" borderId="45" xfId="7" applyNumberFormat="1" applyFill="1" applyBorder="1"/>
    <xf numFmtId="172" fontId="4" fillId="7" borderId="0" xfId="7" applyNumberFormat="1" applyFill="1"/>
    <xf numFmtId="172" fontId="4" fillId="12" borderId="31" xfId="7" applyNumberFormat="1" applyFill="1" applyBorder="1"/>
    <xf numFmtId="0" fontId="4" fillId="7" borderId="0" xfId="7" applyFill="1"/>
    <xf numFmtId="0" fontId="4" fillId="0" borderId="0" xfId="7" applyAlignment="1">
      <alignment horizontal="right"/>
    </xf>
    <xf numFmtId="0" fontId="14" fillId="0" borderId="0" xfId="7" applyFont="1"/>
    <xf numFmtId="175" fontId="14" fillId="0" borderId="0" xfId="7" applyNumberFormat="1" applyFont="1"/>
    <xf numFmtId="0" fontId="4" fillId="0" borderId="0" xfId="7" applyFont="1" applyAlignment="1"/>
    <xf numFmtId="0" fontId="4" fillId="12" borderId="4" xfId="7" applyFont="1" applyFill="1" applyBorder="1" applyAlignment="1">
      <alignment horizontal="center"/>
    </xf>
    <xf numFmtId="0" fontId="14" fillId="0" borderId="0" xfId="7" applyFont="1" applyAlignment="1"/>
    <xf numFmtId="0" fontId="36" fillId="0" borderId="0" xfId="7" applyFont="1"/>
    <xf numFmtId="0" fontId="14" fillId="0" borderId="0" xfId="7" applyFont="1" applyAlignment="1">
      <alignment horizontal="right"/>
    </xf>
    <xf numFmtId="175" fontId="36" fillId="0" borderId="0" xfId="7" applyNumberFormat="1" applyFont="1"/>
    <xf numFmtId="0" fontId="4" fillId="7" borderId="6" xfId="7" applyFill="1" applyBorder="1" applyAlignment="1">
      <alignment horizontal="center"/>
    </xf>
    <xf numFmtId="170" fontId="4" fillId="12" borderId="66" xfId="7" applyNumberFormat="1" applyFill="1" applyBorder="1" applyAlignment="1">
      <alignment horizontal="center"/>
    </xf>
    <xf numFmtId="170" fontId="4" fillId="12" borderId="67" xfId="7" applyNumberFormat="1" applyFill="1" applyBorder="1" applyAlignment="1">
      <alignment horizontal="center"/>
    </xf>
    <xf numFmtId="170" fontId="4" fillId="12" borderId="7" xfId="7" applyNumberFormat="1" applyFill="1" applyBorder="1"/>
    <xf numFmtId="170" fontId="4" fillId="12" borderId="68" xfId="7" applyNumberFormat="1" applyFill="1" applyBorder="1"/>
    <xf numFmtId="170" fontId="4" fillId="12" borderId="69" xfId="7" applyNumberFormat="1" applyFill="1" applyBorder="1"/>
    <xf numFmtId="170" fontId="4" fillId="7" borderId="7" xfId="7" applyNumberFormat="1" applyFill="1" applyBorder="1"/>
    <xf numFmtId="170" fontId="4" fillId="7" borderId="68" xfId="7" applyNumberFormat="1" applyFill="1" applyBorder="1"/>
    <xf numFmtId="172" fontId="4" fillId="7" borderId="68" xfId="7" applyNumberFormat="1" applyFill="1" applyBorder="1"/>
    <xf numFmtId="170" fontId="4" fillId="7" borderId="70" xfId="7" applyNumberFormat="1" applyFill="1" applyBorder="1"/>
    <xf numFmtId="172" fontId="4" fillId="7" borderId="71" xfId="7" applyNumberFormat="1" applyFont="1" applyFill="1" applyBorder="1"/>
    <xf numFmtId="0" fontId="13" fillId="7" borderId="74" xfId="7" applyFont="1" applyFill="1" applyBorder="1"/>
    <xf numFmtId="9" fontId="13" fillId="7" borderId="75" xfId="11" applyFont="1" applyFill="1" applyBorder="1" applyAlignment="1">
      <alignment horizontal="center"/>
    </xf>
    <xf numFmtId="9" fontId="28" fillId="7" borderId="76" xfId="11" applyFont="1" applyFill="1" applyBorder="1" applyAlignment="1">
      <alignment horizontal="center"/>
    </xf>
    <xf numFmtId="9" fontId="21" fillId="7" borderId="77" xfId="11" applyFont="1" applyFill="1" applyBorder="1" applyAlignment="1">
      <alignment horizontal="center"/>
    </xf>
    <xf numFmtId="9" fontId="21" fillId="7" borderId="33" xfId="11" applyFont="1" applyFill="1" applyBorder="1" applyAlignment="1">
      <alignment horizontal="center"/>
    </xf>
    <xf numFmtId="9" fontId="28" fillId="7" borderId="78" xfId="11" applyFont="1" applyFill="1" applyBorder="1" applyAlignment="1">
      <alignment horizontal="center"/>
    </xf>
    <xf numFmtId="9" fontId="4" fillId="7" borderId="33" xfId="11" applyFont="1" applyFill="1" applyBorder="1" applyAlignment="1">
      <alignment horizontal="center"/>
    </xf>
    <xf numFmtId="9" fontId="21" fillId="7" borderId="79" xfId="11" applyFont="1" applyFill="1" applyBorder="1" applyAlignment="1">
      <alignment horizontal="center"/>
    </xf>
    <xf numFmtId="9" fontId="21" fillId="7" borderId="80" xfId="11" applyFont="1" applyFill="1" applyBorder="1" applyAlignment="1">
      <alignment horizontal="center"/>
    </xf>
    <xf numFmtId="0" fontId="13" fillId="7" borderId="81" xfId="7" applyFont="1" applyFill="1" applyBorder="1"/>
    <xf numFmtId="9" fontId="13" fillId="7" borderId="82" xfId="11" applyFont="1" applyFill="1" applyBorder="1" applyAlignment="1">
      <alignment horizontal="center"/>
    </xf>
    <xf numFmtId="9" fontId="28" fillId="7" borderId="67" xfId="11" applyFont="1" applyFill="1" applyBorder="1" applyAlignment="1">
      <alignment horizontal="center"/>
    </xf>
    <xf numFmtId="9" fontId="21" fillId="7" borderId="7" xfId="11" applyFont="1" applyFill="1" applyBorder="1" applyAlignment="1">
      <alignment horizontal="center"/>
    </xf>
    <xf numFmtId="9" fontId="21" fillId="7" borderId="68" xfId="11" applyFont="1" applyFill="1" applyBorder="1" applyAlignment="1">
      <alignment horizontal="center"/>
    </xf>
    <xf numFmtId="9" fontId="28" fillId="7" borderId="69" xfId="11" applyFont="1" applyFill="1" applyBorder="1" applyAlignment="1">
      <alignment horizontal="center"/>
    </xf>
    <xf numFmtId="9" fontId="4" fillId="7" borderId="68" xfId="11" applyFont="1" applyFill="1" applyBorder="1" applyAlignment="1">
      <alignment horizontal="center"/>
    </xf>
    <xf numFmtId="9" fontId="21" fillId="7" borderId="70" xfId="11" applyFont="1" applyFill="1" applyBorder="1" applyAlignment="1">
      <alignment horizontal="center"/>
    </xf>
    <xf numFmtId="9" fontId="21" fillId="7" borderId="71" xfId="11" applyFont="1" applyFill="1" applyBorder="1" applyAlignment="1">
      <alignment horizontal="center"/>
    </xf>
    <xf numFmtId="0" fontId="12" fillId="0" borderId="0" xfId="7" quotePrefix="1" applyFont="1"/>
    <xf numFmtId="0" fontId="12" fillId="0" borderId="0" xfId="7" applyFont="1"/>
    <xf numFmtId="0" fontId="16" fillId="0" borderId="0" xfId="7" applyFont="1"/>
    <xf numFmtId="0" fontId="19" fillId="0" borderId="0" xfId="7" applyFont="1"/>
    <xf numFmtId="0" fontId="37" fillId="0" borderId="0" xfId="7" applyFont="1"/>
    <xf numFmtId="0" fontId="4" fillId="0" borderId="0" xfId="7" applyFont="1" applyAlignment="1">
      <alignment horizontal="right"/>
    </xf>
    <xf numFmtId="170" fontId="14" fillId="0" borderId="0" xfId="7" applyNumberFormat="1" applyFont="1"/>
    <xf numFmtId="170" fontId="4" fillId="0" borderId="0" xfId="7" applyNumberFormat="1" applyFont="1"/>
    <xf numFmtId="3" fontId="4" fillId="0" borderId="0" xfId="7" applyNumberFormat="1"/>
    <xf numFmtId="3" fontId="4" fillId="0" borderId="0" xfId="7" applyNumberFormat="1" applyFont="1"/>
    <xf numFmtId="0" fontId="4" fillId="0" borderId="0" xfId="7" quotePrefix="1" applyFont="1" applyAlignment="1">
      <alignment horizontal="right"/>
    </xf>
    <xf numFmtId="0" fontId="4" fillId="0" borderId="0" xfId="7" applyBorder="1" applyAlignment="1">
      <alignment horizontal="centerContinuous"/>
    </xf>
    <xf numFmtId="0" fontId="9" fillId="0" borderId="0" xfId="7" applyFont="1"/>
    <xf numFmtId="172" fontId="27" fillId="9" borderId="83" xfId="7" applyNumberFormat="1" applyFont="1" applyFill="1" applyBorder="1" applyAlignment="1">
      <alignment horizontal="center"/>
    </xf>
    <xf numFmtId="172" fontId="27" fillId="9" borderId="84" xfId="7" applyNumberFormat="1" applyFont="1" applyFill="1" applyBorder="1" applyAlignment="1">
      <alignment horizontal="center"/>
    </xf>
    <xf numFmtId="172" fontId="27" fillId="9" borderId="41" xfId="7" applyNumberFormat="1" applyFont="1" applyFill="1" applyBorder="1" applyAlignment="1">
      <alignment horizontal="centerContinuous"/>
    </xf>
    <xf numFmtId="172" fontId="27" fillId="9" borderId="85" xfId="7" applyNumberFormat="1" applyFont="1" applyFill="1" applyBorder="1" applyAlignment="1">
      <alignment horizontal="centerContinuous"/>
    </xf>
    <xf numFmtId="172" fontId="32" fillId="9" borderId="85" xfId="7" applyNumberFormat="1" applyFont="1" applyFill="1" applyBorder="1" applyAlignment="1">
      <alignment horizontal="centerContinuous"/>
    </xf>
    <xf numFmtId="172" fontId="32" fillId="9" borderId="86" xfId="7" applyNumberFormat="1" applyFont="1" applyFill="1" applyBorder="1" applyAlignment="1">
      <alignment horizontal="centerContinuous"/>
    </xf>
    <xf numFmtId="172" fontId="32" fillId="9" borderId="87" xfId="7" applyNumberFormat="1" applyFont="1" applyFill="1" applyBorder="1" applyAlignment="1">
      <alignment horizontal="centerContinuous"/>
    </xf>
    <xf numFmtId="172" fontId="27" fillId="9" borderId="88" xfId="7" applyNumberFormat="1" applyFont="1" applyFill="1" applyBorder="1" applyAlignment="1">
      <alignment horizontal="center"/>
    </xf>
    <xf numFmtId="172" fontId="27" fillId="9" borderId="70" xfId="7" applyNumberFormat="1" applyFont="1" applyFill="1" applyBorder="1" applyAlignment="1">
      <alignment horizontal="center"/>
    </xf>
    <xf numFmtId="172" fontId="34" fillId="9" borderId="89" xfId="7" applyNumberFormat="1" applyFont="1" applyFill="1" applyBorder="1" applyAlignment="1"/>
    <xf numFmtId="172" fontId="34" fillId="9" borderId="90" xfId="7" applyNumberFormat="1" applyFont="1" applyFill="1" applyBorder="1" applyAlignment="1">
      <alignment horizontal="center"/>
    </xf>
    <xf numFmtId="172" fontId="38" fillId="9" borderId="89" xfId="7" applyNumberFormat="1" applyFont="1" applyFill="1" applyBorder="1" applyAlignment="1">
      <alignment horizontal="center"/>
    </xf>
    <xf numFmtId="172" fontId="34" fillId="9" borderId="91" xfId="7" applyNumberFormat="1" applyFont="1" applyFill="1" applyBorder="1" applyAlignment="1">
      <alignment horizontal="center"/>
    </xf>
    <xf numFmtId="172" fontId="34" fillId="9" borderId="92" xfId="7" applyNumberFormat="1" applyFont="1" applyFill="1" applyBorder="1" applyAlignment="1">
      <alignment horizontal="center"/>
    </xf>
    <xf numFmtId="3" fontId="4" fillId="7" borderId="93" xfId="7" applyNumberFormat="1" applyFill="1" applyBorder="1" applyAlignment="1">
      <alignment horizontal="center"/>
    </xf>
    <xf numFmtId="170" fontId="14" fillId="7" borderId="45" xfId="7" applyNumberFormat="1" applyFont="1" applyFill="1" applyBorder="1"/>
    <xf numFmtId="170" fontId="4" fillId="7" borderId="45" xfId="7" applyNumberFormat="1" applyFill="1" applyBorder="1"/>
    <xf numFmtId="170" fontId="4" fillId="7" borderId="46" xfId="7" applyNumberFormat="1" applyFill="1" applyBorder="1"/>
    <xf numFmtId="172" fontId="4" fillId="7" borderId="31" xfId="7" quotePrefix="1" applyNumberFormat="1" applyFill="1" applyBorder="1" applyAlignment="1">
      <alignment horizontal="center"/>
    </xf>
    <xf numFmtId="170" fontId="4" fillId="7" borderId="0" xfId="7" applyNumberFormat="1" applyFill="1" applyBorder="1"/>
    <xf numFmtId="172" fontId="4" fillId="7" borderId="46" xfId="7" applyNumberFormat="1" applyFill="1" applyBorder="1"/>
    <xf numFmtId="170" fontId="4" fillId="7" borderId="51" xfId="7" applyNumberFormat="1" applyFont="1" applyFill="1" applyBorder="1"/>
    <xf numFmtId="176" fontId="4" fillId="7" borderId="93" xfId="7" applyNumberFormat="1" applyFill="1" applyBorder="1" applyAlignment="1">
      <alignment horizontal="center"/>
    </xf>
    <xf numFmtId="170" fontId="4" fillId="7" borderId="31" xfId="7" applyNumberFormat="1" applyFill="1" applyBorder="1"/>
    <xf numFmtId="172" fontId="4" fillId="7" borderId="31" xfId="7" applyNumberFormat="1" applyFill="1" applyBorder="1" applyAlignment="1">
      <alignment horizontal="right"/>
    </xf>
    <xf numFmtId="172" fontId="4" fillId="7" borderId="31" xfId="7" applyNumberFormat="1" applyFill="1" applyBorder="1"/>
    <xf numFmtId="176" fontId="4" fillId="0" borderId="93" xfId="7" applyNumberFormat="1" applyFill="1" applyBorder="1" applyAlignment="1">
      <alignment horizontal="center"/>
    </xf>
    <xf numFmtId="170" fontId="14" fillId="0" borderId="45" xfId="7" applyNumberFormat="1" applyFont="1" applyFill="1" applyBorder="1"/>
    <xf numFmtId="170" fontId="4" fillId="0" borderId="45" xfId="7" applyNumberFormat="1" applyFill="1" applyBorder="1"/>
    <xf numFmtId="170" fontId="4" fillId="0" borderId="46" xfId="7" applyNumberFormat="1" applyFill="1" applyBorder="1"/>
    <xf numFmtId="172" fontId="4" fillId="0" borderId="31" xfId="7" applyNumberFormat="1" applyFill="1" applyBorder="1"/>
    <xf numFmtId="170" fontId="4" fillId="0" borderId="31" xfId="7" applyNumberFormat="1" applyFill="1" applyBorder="1"/>
    <xf numFmtId="176" fontId="4" fillId="14" borderId="93" xfId="7" applyNumberFormat="1" applyFill="1" applyBorder="1" applyAlignment="1">
      <alignment horizontal="center"/>
    </xf>
    <xf numFmtId="170" fontId="4" fillId="14" borderId="46" xfId="7" applyNumberFormat="1" applyFill="1" applyBorder="1"/>
    <xf numFmtId="172" fontId="4" fillId="14" borderId="31" xfId="7" applyNumberFormat="1" applyFill="1" applyBorder="1"/>
    <xf numFmtId="170" fontId="4" fillId="14" borderId="31" xfId="7" applyNumberFormat="1" applyFill="1" applyBorder="1"/>
    <xf numFmtId="170" fontId="4" fillId="14" borderId="51" xfId="7" applyNumberFormat="1" applyFont="1" applyFill="1" applyBorder="1"/>
    <xf numFmtId="176" fontId="4" fillId="7" borderId="93" xfId="7" applyNumberFormat="1" applyFont="1" applyFill="1" applyBorder="1" applyAlignment="1">
      <alignment horizontal="center"/>
    </xf>
    <xf numFmtId="170" fontId="4" fillId="0" borderId="68" xfId="7" applyNumberFormat="1" applyFill="1" applyBorder="1"/>
    <xf numFmtId="170" fontId="4" fillId="0" borderId="51" xfId="7" applyNumberFormat="1" applyFont="1" applyFill="1" applyBorder="1"/>
    <xf numFmtId="9" fontId="28" fillId="0" borderId="0" xfId="11" applyNumberFormat="1" applyFont="1" applyFill="1" applyBorder="1" applyAlignment="1">
      <alignment horizontal="center"/>
    </xf>
    <xf numFmtId="9" fontId="4" fillId="0" borderId="2" xfId="7" applyNumberFormat="1" applyFill="1" applyBorder="1"/>
    <xf numFmtId="171" fontId="28" fillId="0" borderId="2" xfId="11" applyNumberFormat="1" applyFont="1" applyFill="1" applyBorder="1" applyAlignment="1">
      <alignment horizontal="center"/>
    </xf>
    <xf numFmtId="0" fontId="13" fillId="0" borderId="96" xfId="7" applyFont="1" applyFill="1" applyBorder="1"/>
    <xf numFmtId="9" fontId="28" fillId="0" borderId="97" xfId="11" applyNumberFormat="1" applyFont="1" applyFill="1" applyBorder="1" applyAlignment="1">
      <alignment horizontal="center"/>
    </xf>
    <xf numFmtId="9" fontId="28" fillId="0" borderId="98" xfId="11" applyNumberFormat="1" applyFont="1" applyFill="1" applyBorder="1" applyAlignment="1">
      <alignment horizontal="center"/>
    </xf>
    <xf numFmtId="9" fontId="4" fillId="0" borderId="0" xfId="7" applyNumberFormat="1" applyFill="1" applyBorder="1"/>
    <xf numFmtId="9" fontId="4" fillId="0" borderId="0" xfId="7" applyNumberFormat="1" applyFill="1"/>
    <xf numFmtId="175" fontId="4" fillId="0" borderId="0" xfId="7" applyNumberFormat="1" applyFill="1"/>
    <xf numFmtId="0" fontId="13" fillId="0" borderId="99" xfId="7" applyFont="1" applyFill="1" applyBorder="1"/>
    <xf numFmtId="9" fontId="28" fillId="0" borderId="81" xfId="11" applyNumberFormat="1" applyFont="1" applyFill="1" applyBorder="1" applyAlignment="1">
      <alignment horizontal="center"/>
    </xf>
    <xf numFmtId="9" fontId="28" fillId="0" borderId="100" xfId="11" applyNumberFormat="1" applyFont="1" applyFill="1" applyBorder="1" applyAlignment="1">
      <alignment horizontal="center"/>
    </xf>
    <xf numFmtId="0" fontId="21" fillId="0" borderId="0" xfId="7" applyFont="1"/>
    <xf numFmtId="0" fontId="12" fillId="0" borderId="0" xfId="7" applyFont="1" applyAlignment="1">
      <alignment vertical="center"/>
    </xf>
    <xf numFmtId="172" fontId="34" fillId="9" borderId="89" xfId="7" applyNumberFormat="1" applyFont="1" applyFill="1" applyBorder="1" applyAlignment="1">
      <alignment horizontal="center"/>
    </xf>
    <xf numFmtId="170" fontId="4" fillId="7" borderId="35" xfId="7" applyNumberFormat="1" applyFill="1" applyBorder="1"/>
    <xf numFmtId="170" fontId="4" fillId="7" borderId="45" xfId="7" applyNumberFormat="1" applyFont="1" applyFill="1" applyBorder="1"/>
    <xf numFmtId="170" fontId="4" fillId="7" borderId="31" xfId="7" applyNumberFormat="1" applyFont="1" applyFill="1" applyBorder="1"/>
    <xf numFmtId="172" fontId="4" fillId="7" borderId="46" xfId="7" applyNumberFormat="1" applyFont="1" applyFill="1" applyBorder="1"/>
    <xf numFmtId="172" fontId="4" fillId="7" borderId="31" xfId="7" applyNumberFormat="1" applyFont="1" applyFill="1" applyBorder="1"/>
    <xf numFmtId="176" fontId="4" fillId="0" borderId="93" xfId="7" applyNumberFormat="1" applyFont="1" applyFill="1" applyBorder="1" applyAlignment="1">
      <alignment horizontal="center"/>
    </xf>
    <xf numFmtId="170" fontId="4" fillId="0" borderId="45" xfId="7" applyNumberFormat="1" applyFont="1" applyFill="1" applyBorder="1"/>
    <xf numFmtId="170" fontId="4" fillId="0" borderId="31" xfId="7" applyNumberFormat="1" applyFont="1" applyFill="1" applyBorder="1"/>
    <xf numFmtId="176" fontId="4" fillId="14" borderId="93" xfId="7" applyNumberFormat="1" applyFont="1" applyFill="1" applyBorder="1" applyAlignment="1">
      <alignment horizontal="center"/>
    </xf>
    <xf numFmtId="0" fontId="14" fillId="0" borderId="0" xfId="7" applyFont="1" applyBorder="1" applyAlignment="1"/>
    <xf numFmtId="0" fontId="14" fillId="0" borderId="0" xfId="7" applyFont="1" applyBorder="1" applyAlignment="1">
      <alignment horizontal="center"/>
    </xf>
    <xf numFmtId="9" fontId="13" fillId="0" borderId="97" xfId="11" applyNumberFormat="1" applyFont="1" applyFill="1" applyBorder="1" applyAlignment="1">
      <alignment horizontal="center"/>
    </xf>
    <xf numFmtId="9" fontId="13" fillId="0" borderId="98" xfId="11" applyNumberFormat="1" applyFont="1" applyFill="1" applyBorder="1" applyAlignment="1">
      <alignment horizontal="center"/>
    </xf>
    <xf numFmtId="9" fontId="13" fillId="0" borderId="104" xfId="11" applyNumberFormat="1" applyFont="1" applyFill="1" applyBorder="1" applyAlignment="1">
      <alignment horizontal="center"/>
    </xf>
    <xf numFmtId="9" fontId="13" fillId="0" borderId="105" xfId="11" applyNumberFormat="1" applyFont="1" applyFill="1" applyBorder="1" applyAlignment="1">
      <alignment horizontal="center"/>
    </xf>
    <xf numFmtId="0" fontId="4" fillId="0" borderId="0" xfId="7" applyFill="1" applyBorder="1"/>
    <xf numFmtId="0" fontId="14" fillId="0" borderId="0" xfId="7" applyFont="1" applyFill="1" applyBorder="1" applyAlignment="1">
      <alignment horizontal="center"/>
    </xf>
    <xf numFmtId="9" fontId="13" fillId="0" borderId="81" xfId="11" applyNumberFormat="1" applyFont="1" applyFill="1" applyBorder="1" applyAlignment="1">
      <alignment horizontal="center"/>
    </xf>
    <xf numFmtId="9" fontId="13" fillId="0" borderId="100" xfId="11" applyNumberFormat="1" applyFont="1" applyFill="1" applyBorder="1" applyAlignment="1">
      <alignment horizontal="center"/>
    </xf>
    <xf numFmtId="9" fontId="13" fillId="0" borderId="106" xfId="11" applyNumberFormat="1" applyFont="1" applyFill="1" applyBorder="1" applyAlignment="1">
      <alignment horizontal="center"/>
    </xf>
    <xf numFmtId="9" fontId="13" fillId="0" borderId="107" xfId="11" applyNumberFormat="1" applyFont="1" applyFill="1" applyBorder="1" applyAlignment="1">
      <alignment horizontal="center"/>
    </xf>
    <xf numFmtId="9" fontId="13" fillId="0" borderId="108" xfId="11" applyNumberFormat="1" applyFont="1" applyFill="1" applyBorder="1" applyAlignment="1">
      <alignment horizontal="center"/>
    </xf>
    <xf numFmtId="9" fontId="13" fillId="0" borderId="109" xfId="11" applyNumberFormat="1" applyFont="1" applyFill="1" applyBorder="1" applyAlignment="1">
      <alignment horizontal="center"/>
    </xf>
    <xf numFmtId="0" fontId="13" fillId="0" borderId="0" xfId="7" applyFont="1" applyFill="1" applyBorder="1"/>
    <xf numFmtId="9" fontId="13" fillId="0" borderId="0" xfId="11" applyNumberFormat="1" applyFont="1" applyFill="1" applyBorder="1" applyAlignment="1">
      <alignment horizontal="center"/>
    </xf>
    <xf numFmtId="170" fontId="4" fillId="0" borderId="0" xfId="7" applyNumberFormat="1" applyBorder="1"/>
    <xf numFmtId="9" fontId="28" fillId="0" borderId="0" xfId="11" applyFont="1" applyBorder="1" applyAlignment="1">
      <alignment horizontal="center"/>
    </xf>
    <xf numFmtId="0" fontId="29" fillId="0" borderId="0" xfId="7" applyFont="1"/>
    <xf numFmtId="0" fontId="26" fillId="0" borderId="0" xfId="7" applyFont="1"/>
    <xf numFmtId="0" fontId="6" fillId="9" borderId="110" xfId="7" applyFont="1" applyFill="1" applyBorder="1" applyAlignment="1">
      <alignment horizontal="center"/>
    </xf>
    <xf numFmtId="0" fontId="6" fillId="9" borderId="42" xfId="7" applyFont="1" applyFill="1" applyBorder="1" applyAlignment="1">
      <alignment horizontal="center"/>
    </xf>
    <xf numFmtId="0" fontId="27" fillId="9" borderId="69" xfId="7" applyFont="1" applyFill="1" applyBorder="1" applyAlignment="1">
      <alignment horizontal="center"/>
    </xf>
    <xf numFmtId="0" fontId="27" fillId="9" borderId="71" xfId="7" applyFont="1" applyFill="1" applyBorder="1" applyAlignment="1">
      <alignment horizontal="center"/>
    </xf>
    <xf numFmtId="0" fontId="27" fillId="9" borderId="70" xfId="7" applyFont="1" applyFill="1" applyBorder="1" applyAlignment="1">
      <alignment horizontal="center"/>
    </xf>
    <xf numFmtId="0" fontId="27" fillId="9" borderId="114" xfId="7" applyFont="1" applyFill="1" applyBorder="1" applyAlignment="1">
      <alignment horizontal="center"/>
    </xf>
    <xf numFmtId="0" fontId="27" fillId="9" borderId="68" xfId="7" applyFont="1" applyFill="1" applyBorder="1" applyAlignment="1">
      <alignment horizontal="center"/>
    </xf>
    <xf numFmtId="0" fontId="4" fillId="7" borderId="4" xfId="7" applyFill="1" applyBorder="1"/>
    <xf numFmtId="0" fontId="4" fillId="7" borderId="110" xfId="7" applyFill="1" applyBorder="1"/>
    <xf numFmtId="0" fontId="4" fillId="7" borderId="31" xfId="7" applyFill="1" applyBorder="1"/>
    <xf numFmtId="0" fontId="4" fillId="7" borderId="46" xfId="7" applyFill="1" applyBorder="1"/>
    <xf numFmtId="0" fontId="4" fillId="7" borderId="35" xfId="7" applyFill="1" applyBorder="1"/>
    <xf numFmtId="0" fontId="4" fillId="7" borderId="0" xfId="7" applyFill="1" applyBorder="1"/>
    <xf numFmtId="0" fontId="4" fillId="7" borderId="115" xfId="7" applyFill="1" applyBorder="1"/>
    <xf numFmtId="0" fontId="4" fillId="7" borderId="3" xfId="7" applyFill="1" applyBorder="1"/>
    <xf numFmtId="177" fontId="4" fillId="0" borderId="0" xfId="7" applyNumberFormat="1"/>
    <xf numFmtId="176" fontId="4" fillId="7" borderId="4" xfId="7" applyNumberFormat="1" applyFont="1" applyFill="1" applyBorder="1" applyAlignment="1">
      <alignment horizontal="center"/>
    </xf>
    <xf numFmtId="170" fontId="14" fillId="7" borderId="65" xfId="7" applyNumberFormat="1" applyFont="1" applyFill="1" applyBorder="1" applyAlignment="1"/>
    <xf numFmtId="170" fontId="28" fillId="7" borderId="31" xfId="7" applyNumberFormat="1" applyFont="1" applyFill="1" applyBorder="1" applyAlignment="1"/>
    <xf numFmtId="170" fontId="4" fillId="7" borderId="0" xfId="7" applyNumberFormat="1" applyFill="1"/>
    <xf numFmtId="170" fontId="28" fillId="7" borderId="65" xfId="7" applyNumberFormat="1" applyFont="1" applyFill="1" applyBorder="1" applyAlignment="1"/>
    <xf numFmtId="170" fontId="4" fillId="7" borderId="5" xfId="7" applyNumberFormat="1" applyFill="1" applyBorder="1" applyAlignment="1"/>
    <xf numFmtId="4" fontId="14" fillId="7" borderId="65" xfId="7" applyNumberFormat="1" applyFont="1" applyFill="1" applyBorder="1" applyAlignment="1"/>
    <xf numFmtId="4" fontId="28" fillId="7" borderId="45" xfId="7" applyNumberFormat="1" applyFont="1" applyFill="1" applyBorder="1" applyAlignment="1"/>
    <xf numFmtId="4" fontId="4" fillId="7" borderId="46" xfId="7" applyNumberFormat="1" applyFill="1" applyBorder="1" applyAlignment="1"/>
    <xf numFmtId="4" fontId="28" fillId="7" borderId="65" xfId="7" applyNumberFormat="1" applyFont="1" applyFill="1" applyBorder="1" applyAlignment="1"/>
    <xf numFmtId="4" fontId="4" fillId="7" borderId="31" xfId="7" applyNumberFormat="1" applyFill="1" applyBorder="1" applyAlignment="1"/>
    <xf numFmtId="4" fontId="4" fillId="7" borderId="5" xfId="7" applyNumberFormat="1" applyFill="1" applyBorder="1" applyAlignment="1"/>
    <xf numFmtId="170" fontId="4" fillId="7" borderId="46" xfId="7" applyNumberFormat="1" applyFill="1" applyBorder="1" applyAlignment="1"/>
    <xf numFmtId="170" fontId="4" fillId="7" borderId="30" xfId="7" applyNumberFormat="1" applyFill="1" applyBorder="1" applyAlignment="1"/>
    <xf numFmtId="170" fontId="4" fillId="7" borderId="0" xfId="7" applyNumberFormat="1" applyFill="1" applyBorder="1" applyAlignment="1"/>
    <xf numFmtId="170" fontId="4" fillId="7" borderId="31" xfId="7" applyNumberFormat="1" applyFill="1" applyBorder="1" applyAlignment="1"/>
    <xf numFmtId="3" fontId="4" fillId="0" borderId="93" xfId="7" applyNumberFormat="1" applyFill="1" applyBorder="1" applyAlignment="1">
      <alignment horizontal="center"/>
    </xf>
    <xf numFmtId="176" fontId="4" fillId="0" borderId="4" xfId="7" applyNumberFormat="1" applyFont="1" applyFill="1" applyBorder="1" applyAlignment="1">
      <alignment horizontal="center"/>
    </xf>
    <xf numFmtId="170" fontId="14" fillId="0" borderId="65" xfId="7" applyNumberFormat="1" applyFont="1" applyFill="1" applyBorder="1" applyAlignment="1"/>
    <xf numFmtId="170" fontId="28" fillId="0" borderId="31" xfId="7" applyNumberFormat="1" applyFont="1" applyFill="1" applyBorder="1" applyAlignment="1"/>
    <xf numFmtId="170" fontId="4" fillId="0" borderId="46" xfId="7" applyNumberFormat="1" applyFill="1" applyBorder="1" applyAlignment="1"/>
    <xf numFmtId="170" fontId="4" fillId="0" borderId="31" xfId="7" applyNumberFormat="1" applyFill="1" applyBorder="1" applyAlignment="1"/>
    <xf numFmtId="170" fontId="4" fillId="0" borderId="0" xfId="7" applyNumberFormat="1" applyFill="1" applyBorder="1" applyAlignment="1"/>
    <xf numFmtId="170" fontId="28" fillId="0" borderId="65" xfId="7" applyNumberFormat="1" applyFont="1" applyFill="1" applyBorder="1" applyAlignment="1"/>
    <xf numFmtId="170" fontId="4" fillId="0" borderId="5" xfId="7" applyNumberFormat="1" applyFill="1" applyBorder="1" applyAlignment="1"/>
    <xf numFmtId="176" fontId="14" fillId="0" borderId="4" xfId="7" applyNumberFormat="1" applyFont="1" applyFill="1" applyBorder="1" applyAlignment="1">
      <alignment horizontal="center"/>
    </xf>
    <xf numFmtId="0" fontId="4" fillId="0" borderId="4" xfId="7" applyFont="1" applyFill="1" applyBorder="1" applyAlignment="1">
      <alignment horizontal="center"/>
    </xf>
    <xf numFmtId="170" fontId="4" fillId="0" borderId="71" xfId="7" applyNumberFormat="1" applyFill="1" applyBorder="1" applyAlignment="1"/>
    <xf numFmtId="0" fontId="13" fillId="0" borderId="116" xfId="7" applyFont="1" applyFill="1" applyBorder="1" applyAlignment="1">
      <alignment horizontal="center" wrapText="1"/>
    </xf>
    <xf numFmtId="9" fontId="28" fillId="0" borderId="95" xfId="11" applyNumberFormat="1" applyFont="1" applyFill="1" applyBorder="1" applyAlignment="1">
      <alignment horizontal="center"/>
    </xf>
    <xf numFmtId="9" fontId="28" fillId="0" borderId="102" xfId="11" applyNumberFormat="1" applyFont="1" applyFill="1" applyBorder="1" applyAlignment="1">
      <alignment horizontal="center"/>
    </xf>
    <xf numFmtId="9" fontId="21" fillId="0" borderId="102" xfId="11" applyNumberFormat="1" applyFont="1" applyFill="1" applyBorder="1"/>
    <xf numFmtId="9" fontId="21" fillId="0" borderId="103" xfId="11" quotePrefix="1" applyNumberFormat="1" applyFont="1" applyFill="1" applyBorder="1" applyAlignment="1">
      <alignment horizontal="right"/>
    </xf>
    <xf numFmtId="9" fontId="21" fillId="7" borderId="2" xfId="11" applyNumberFormat="1" applyFont="1" applyFill="1" applyBorder="1"/>
    <xf numFmtId="9" fontId="28" fillId="7" borderId="2" xfId="11" applyNumberFormat="1" applyFont="1" applyFill="1" applyBorder="1" applyAlignment="1">
      <alignment horizontal="center"/>
    </xf>
    <xf numFmtId="9" fontId="21" fillId="0" borderId="116" xfId="11" applyNumberFormat="1" applyFont="1" applyFill="1" applyBorder="1"/>
    <xf numFmtId="9" fontId="21" fillId="0" borderId="32" xfId="11" applyNumberFormat="1" applyFont="1" applyFill="1" applyBorder="1"/>
    <xf numFmtId="9" fontId="21" fillId="0" borderId="103" xfId="11" applyNumberFormat="1" applyFont="1" applyFill="1" applyBorder="1"/>
    <xf numFmtId="9" fontId="39" fillId="0" borderId="4" xfId="11" applyFont="1" applyFill="1" applyBorder="1"/>
    <xf numFmtId="9" fontId="21" fillId="7" borderId="0" xfId="11" applyFont="1" applyFill="1" applyBorder="1"/>
    <xf numFmtId="9" fontId="28" fillId="7" borderId="5" xfId="11" applyFont="1" applyFill="1" applyBorder="1" applyAlignment="1">
      <alignment horizontal="center"/>
    </xf>
    <xf numFmtId="0" fontId="13" fillId="0" borderId="74" xfId="7" applyFont="1" applyFill="1" applyBorder="1" applyAlignment="1">
      <alignment horizontal="center" wrapText="1"/>
    </xf>
    <xf numFmtId="9" fontId="28" fillId="0" borderId="78" xfId="11" applyFont="1" applyFill="1" applyBorder="1" applyAlignment="1">
      <alignment horizontal="center"/>
    </xf>
    <xf numFmtId="9" fontId="28" fillId="0" borderId="117" xfId="11" applyFont="1" applyFill="1" applyBorder="1" applyAlignment="1">
      <alignment horizontal="center"/>
    </xf>
    <xf numFmtId="9" fontId="21" fillId="0" borderId="117" xfId="11" applyFont="1" applyFill="1" applyBorder="1"/>
    <xf numFmtId="9" fontId="21" fillId="0" borderId="117" xfId="11" quotePrefix="1" applyFont="1" applyFill="1" applyBorder="1" applyAlignment="1">
      <alignment horizontal="right"/>
    </xf>
    <xf numFmtId="9" fontId="21" fillId="0" borderId="80" xfId="11" quotePrefix="1" applyFont="1" applyFill="1" applyBorder="1" applyAlignment="1">
      <alignment horizontal="right"/>
    </xf>
    <xf numFmtId="9" fontId="21" fillId="0" borderId="33" xfId="11" applyFont="1" applyFill="1" applyBorder="1"/>
    <xf numFmtId="9" fontId="28" fillId="7" borderId="0" xfId="11" applyFont="1" applyFill="1" applyBorder="1" applyAlignment="1">
      <alignment horizontal="center"/>
    </xf>
    <xf numFmtId="9" fontId="28" fillId="0" borderId="0" xfId="11" applyFont="1" applyAlignment="1">
      <alignment horizontal="center"/>
    </xf>
    <xf numFmtId="9" fontId="28" fillId="0" borderId="0" xfId="11" applyNumberFormat="1" applyFont="1" applyAlignment="1">
      <alignment horizontal="center"/>
    </xf>
    <xf numFmtId="9" fontId="14" fillId="0" borderId="0" xfId="11" applyFont="1" applyAlignment="1">
      <alignment horizontal="center"/>
    </xf>
    <xf numFmtId="9" fontId="4" fillId="0" borderId="0" xfId="11"/>
    <xf numFmtId="3" fontId="4" fillId="0" borderId="0" xfId="7" applyNumberFormat="1" applyFill="1" applyBorder="1"/>
    <xf numFmtId="170" fontId="4" fillId="0" borderId="0" xfId="7" applyNumberFormat="1" applyFill="1" applyBorder="1"/>
    <xf numFmtId="0" fontId="6" fillId="9" borderId="2" xfId="7" applyFont="1" applyFill="1" applyBorder="1" applyAlignment="1">
      <alignment horizontal="center"/>
    </xf>
    <xf numFmtId="0" fontId="4" fillId="0" borderId="0" xfId="7" applyFont="1" applyFill="1" applyBorder="1" applyAlignment="1">
      <alignment vertical="center"/>
    </xf>
    <xf numFmtId="0" fontId="4" fillId="7" borderId="42" xfId="7" applyFill="1" applyBorder="1"/>
    <xf numFmtId="170" fontId="4" fillId="0" borderId="0" xfId="7" applyNumberFormat="1" applyBorder="1" applyAlignment="1">
      <alignment horizontal="center"/>
    </xf>
    <xf numFmtId="2" fontId="4" fillId="0" borderId="0" xfId="7" applyNumberFormat="1" applyFill="1" applyBorder="1"/>
    <xf numFmtId="172" fontId="4" fillId="0" borderId="0" xfId="7" applyNumberFormat="1" applyFill="1" applyBorder="1"/>
    <xf numFmtId="170" fontId="4" fillId="7" borderId="51" xfId="7" applyNumberFormat="1" applyFill="1" applyBorder="1"/>
    <xf numFmtId="170" fontId="4" fillId="0" borderId="0" xfId="7" applyNumberFormat="1" applyBorder="1" applyAlignment="1"/>
    <xf numFmtId="4" fontId="28" fillId="7" borderId="31" xfId="7" applyNumberFormat="1" applyFont="1" applyFill="1" applyBorder="1" applyAlignment="1"/>
    <xf numFmtId="4" fontId="4" fillId="7" borderId="57" xfId="7" applyNumberFormat="1" applyFill="1" applyBorder="1" applyAlignment="1"/>
    <xf numFmtId="4" fontId="4" fillId="7" borderId="51" xfId="7" applyNumberFormat="1" applyFill="1" applyBorder="1" applyAlignment="1"/>
    <xf numFmtId="4" fontId="4" fillId="0" borderId="0" xfId="7" applyNumberFormat="1" applyBorder="1" applyAlignment="1"/>
    <xf numFmtId="170" fontId="4" fillId="7" borderId="49" xfId="7" applyNumberFormat="1" applyFill="1" applyBorder="1" applyAlignment="1"/>
    <xf numFmtId="170" fontId="4" fillId="7" borderId="51" xfId="7" applyNumberFormat="1" applyFill="1" applyBorder="1" applyAlignment="1"/>
    <xf numFmtId="170" fontId="4" fillId="0" borderId="51" xfId="7" applyNumberFormat="1" applyFill="1" applyBorder="1" applyAlignment="1"/>
    <xf numFmtId="170" fontId="28" fillId="0" borderId="69" xfId="7" applyNumberFormat="1" applyFont="1" applyFill="1" applyBorder="1" applyAlignment="1"/>
    <xf numFmtId="171" fontId="21" fillId="7" borderId="0" xfId="11" applyNumberFormat="1" applyFont="1" applyFill="1" applyBorder="1"/>
    <xf numFmtId="9" fontId="39" fillId="0" borderId="0" xfId="11" applyFont="1" applyBorder="1"/>
    <xf numFmtId="9" fontId="21" fillId="0" borderId="80" xfId="11" applyFont="1" applyFill="1" applyBorder="1"/>
    <xf numFmtId="9" fontId="21" fillId="0" borderId="74" xfId="11" applyFont="1" applyFill="1" applyBorder="1"/>
    <xf numFmtId="178" fontId="4" fillId="7" borderId="31" xfId="7" applyNumberFormat="1" applyFill="1" applyBorder="1"/>
    <xf numFmtId="178" fontId="14" fillId="7" borderId="45" xfId="7" applyNumberFormat="1" applyFont="1" applyFill="1" applyBorder="1"/>
    <xf numFmtId="178" fontId="4" fillId="7" borderId="45" xfId="7" applyNumberFormat="1" applyFill="1" applyBorder="1"/>
    <xf numFmtId="178" fontId="4" fillId="7" borderId="31" xfId="7" applyNumberFormat="1" applyFill="1" applyBorder="1" applyAlignment="1">
      <alignment horizontal="right"/>
    </xf>
    <xf numFmtId="178" fontId="4" fillId="7" borderId="46" xfId="7" applyNumberFormat="1" applyFill="1" applyBorder="1"/>
    <xf numFmtId="178" fontId="4" fillId="7" borderId="51" xfId="7" applyNumberFormat="1" applyFont="1" applyFill="1" applyBorder="1"/>
    <xf numFmtId="178" fontId="4" fillId="7" borderId="0" xfId="7" applyNumberFormat="1" applyFill="1" applyBorder="1"/>
    <xf numFmtId="178" fontId="14" fillId="0" borderId="45" xfId="7" applyNumberFormat="1" applyFont="1" applyFill="1" applyBorder="1"/>
    <xf numFmtId="178" fontId="4" fillId="0" borderId="31" xfId="7" applyNumberFormat="1" applyFill="1" applyBorder="1"/>
    <xf numFmtId="178" fontId="4" fillId="0" borderId="45" xfId="7" applyNumberFormat="1" applyFill="1" applyBorder="1"/>
    <xf numFmtId="178" fontId="4" fillId="0" borderId="46" xfId="7" applyNumberFormat="1" applyFill="1" applyBorder="1"/>
    <xf numFmtId="178" fontId="4" fillId="0" borderId="51" xfId="7" applyNumberFormat="1" applyFont="1" applyFill="1" applyBorder="1"/>
    <xf numFmtId="178" fontId="4" fillId="0" borderId="0" xfId="7" applyNumberFormat="1"/>
    <xf numFmtId="178" fontId="4" fillId="0" borderId="68" xfId="7" applyNumberFormat="1" applyFill="1" applyBorder="1"/>
    <xf numFmtId="9" fontId="21" fillId="0" borderId="98" xfId="11" applyNumberFormat="1" applyFont="1" applyFill="1" applyBorder="1" applyAlignment="1">
      <alignment horizontal="center"/>
    </xf>
    <xf numFmtId="9" fontId="21" fillId="0" borderId="105" xfId="11" applyNumberFormat="1" applyFont="1" applyFill="1" applyBorder="1" applyAlignment="1">
      <alignment horizontal="center"/>
    </xf>
    <xf numFmtId="9" fontId="21" fillId="0" borderId="97" xfId="11" applyNumberFormat="1" applyFont="1" applyFill="1" applyBorder="1" applyAlignment="1">
      <alignment horizontal="center"/>
    </xf>
    <xf numFmtId="9" fontId="28" fillId="0" borderId="118" xfId="11" applyNumberFormat="1" applyFont="1" applyFill="1" applyBorder="1" applyAlignment="1">
      <alignment horizontal="center"/>
    </xf>
    <xf numFmtId="9" fontId="21" fillId="0" borderId="100" xfId="11" applyNumberFormat="1" applyFont="1" applyFill="1" applyBorder="1" applyAlignment="1">
      <alignment horizontal="center"/>
    </xf>
    <xf numFmtId="9" fontId="21" fillId="0" borderId="109" xfId="11" applyNumberFormat="1" applyFont="1" applyFill="1" applyBorder="1" applyAlignment="1">
      <alignment horizontal="center"/>
    </xf>
    <xf numFmtId="9" fontId="21" fillId="0" borderId="118" xfId="11" applyNumberFormat="1" applyFont="1" applyFill="1" applyBorder="1" applyAlignment="1">
      <alignment horizontal="center"/>
    </xf>
    <xf numFmtId="9" fontId="21" fillId="0" borderId="0" xfId="11" applyNumberFormat="1" applyFont="1" applyFill="1" applyBorder="1" applyAlignment="1">
      <alignment horizontal="center"/>
    </xf>
    <xf numFmtId="0" fontId="21" fillId="0" borderId="0" xfId="7" applyFont="1" applyAlignment="1">
      <alignment vertical="center"/>
    </xf>
    <xf numFmtId="0" fontId="12" fillId="0" borderId="0" xfId="7" applyFont="1" applyFill="1" applyBorder="1"/>
    <xf numFmtId="172" fontId="27" fillId="9" borderId="86" xfId="7" applyNumberFormat="1" applyFont="1" applyFill="1" applyBorder="1" applyAlignment="1">
      <alignment horizontal="centerContinuous"/>
    </xf>
    <xf numFmtId="172" fontId="27" fillId="9" borderId="119" xfId="7" applyNumberFormat="1" applyFont="1" applyFill="1" applyBorder="1" applyAlignment="1">
      <alignment horizontal="centerContinuous"/>
    </xf>
    <xf numFmtId="172" fontId="38" fillId="9" borderId="120" xfId="7" applyNumberFormat="1" applyFont="1" applyFill="1" applyBorder="1" applyAlignment="1">
      <alignment horizontal="center"/>
    </xf>
    <xf numFmtId="170" fontId="4" fillId="7" borderId="4" xfId="7" applyNumberFormat="1" applyFill="1" applyBorder="1"/>
    <xf numFmtId="170" fontId="4" fillId="7" borderId="65" xfId="7" applyNumberFormat="1" applyFill="1" applyBorder="1"/>
    <xf numFmtId="178" fontId="4" fillId="7" borderId="65" xfId="7" applyNumberFormat="1" applyFill="1" applyBorder="1"/>
    <xf numFmtId="178" fontId="4" fillId="7" borderId="5" xfId="7" applyNumberFormat="1" applyFill="1" applyBorder="1"/>
    <xf numFmtId="178" fontId="4" fillId="7" borderId="51" xfId="7" applyNumberFormat="1" applyFill="1" applyBorder="1"/>
    <xf numFmtId="178" fontId="4" fillId="0" borderId="65" xfId="7" applyNumberFormat="1" applyFill="1" applyBorder="1"/>
    <xf numFmtId="178" fontId="4" fillId="0" borderId="0" xfId="7" applyNumberFormat="1" applyFill="1" applyBorder="1"/>
    <xf numFmtId="178" fontId="4" fillId="0" borderId="51" xfId="7" applyNumberFormat="1" applyFill="1" applyBorder="1"/>
    <xf numFmtId="9" fontId="28" fillId="0" borderId="122" xfId="11" applyNumberFormat="1" applyFont="1" applyFill="1" applyBorder="1" applyAlignment="1">
      <alignment horizontal="center"/>
    </xf>
    <xf numFmtId="9" fontId="28" fillId="0" borderId="104" xfId="11" applyNumberFormat="1" applyFont="1" applyFill="1" applyBorder="1" applyAlignment="1">
      <alignment horizontal="center"/>
    </xf>
    <xf numFmtId="9" fontId="28" fillId="0" borderId="105" xfId="11" applyNumberFormat="1" applyFont="1" applyFill="1" applyBorder="1" applyAlignment="1">
      <alignment horizontal="center"/>
    </xf>
    <xf numFmtId="9" fontId="28" fillId="0" borderId="108" xfId="11" applyNumberFormat="1" applyFont="1" applyFill="1" applyBorder="1" applyAlignment="1">
      <alignment horizontal="center"/>
    </xf>
    <xf numFmtId="9" fontId="28" fillId="0" borderId="109" xfId="11" applyNumberFormat="1" applyFont="1" applyFill="1" applyBorder="1" applyAlignment="1">
      <alignment horizontal="center"/>
    </xf>
    <xf numFmtId="0" fontId="27" fillId="9" borderId="83" xfId="7" applyFont="1" applyFill="1" applyBorder="1" applyAlignment="1">
      <alignment horizontal="center"/>
    </xf>
    <xf numFmtId="0" fontId="27" fillId="9" borderId="84" xfId="7" applyFont="1" applyFill="1" applyBorder="1" applyAlignment="1">
      <alignment horizontal="center"/>
    </xf>
    <xf numFmtId="0" fontId="27" fillId="9" borderId="88" xfId="7" applyFont="1" applyFill="1" applyBorder="1" applyAlignment="1">
      <alignment horizontal="center"/>
    </xf>
    <xf numFmtId="0" fontId="27" fillId="9" borderId="90" xfId="7" applyFont="1" applyFill="1" applyBorder="1" applyAlignment="1">
      <alignment horizontal="center"/>
    </xf>
    <xf numFmtId="0" fontId="27" fillId="9" borderId="91" xfId="7" applyFont="1" applyFill="1" applyBorder="1" applyAlignment="1">
      <alignment horizontal="center"/>
    </xf>
    <xf numFmtId="0" fontId="27" fillId="9" borderId="92" xfId="7" applyFont="1" applyFill="1" applyBorder="1" applyAlignment="1">
      <alignment horizontal="center"/>
    </xf>
    <xf numFmtId="0" fontId="27" fillId="9" borderId="0" xfId="7" applyFont="1" applyFill="1" applyBorder="1" applyAlignment="1">
      <alignment horizontal="center"/>
    </xf>
    <xf numFmtId="0" fontId="4" fillId="7" borderId="93" xfId="7" applyFill="1" applyBorder="1"/>
    <xf numFmtId="0" fontId="4" fillId="7" borderId="45" xfId="7" applyFill="1" applyBorder="1"/>
    <xf numFmtId="170" fontId="40" fillId="15" borderId="0" xfId="7" applyNumberFormat="1" applyFont="1" applyFill="1" applyBorder="1"/>
    <xf numFmtId="3" fontId="21" fillId="15" borderId="0" xfId="7" applyNumberFormat="1" applyFont="1" applyFill="1" applyBorder="1"/>
    <xf numFmtId="170" fontId="4" fillId="15" borderId="0" xfId="7" applyNumberFormat="1" applyFont="1" applyFill="1" applyBorder="1"/>
    <xf numFmtId="170" fontId="4" fillId="7" borderId="5" xfId="7" applyNumberFormat="1" applyFill="1" applyBorder="1"/>
    <xf numFmtId="170" fontId="28" fillId="7" borderId="45" xfId="7" applyNumberFormat="1" applyFont="1" applyFill="1" applyBorder="1" applyAlignment="1"/>
    <xf numFmtId="170" fontId="4" fillId="7" borderId="5" xfId="7" applyNumberFormat="1" applyFill="1" applyBorder="1" applyAlignment="1">
      <alignment horizontal="center"/>
    </xf>
    <xf numFmtId="0" fontId="4" fillId="15" borderId="0" xfId="7" applyFill="1" applyBorder="1"/>
    <xf numFmtId="3" fontId="4" fillId="15" borderId="0" xfId="7" applyNumberFormat="1" applyFill="1" applyBorder="1"/>
    <xf numFmtId="170" fontId="28" fillId="0" borderId="45" xfId="7" applyNumberFormat="1" applyFont="1" applyFill="1" applyBorder="1" applyAlignment="1"/>
    <xf numFmtId="170" fontId="4" fillId="0" borderId="5" xfId="7" applyNumberFormat="1" applyFill="1" applyBorder="1" applyAlignment="1">
      <alignment horizontal="center"/>
    </xf>
    <xf numFmtId="170" fontId="4" fillId="15" borderId="0" xfId="7" applyNumberFormat="1" applyFill="1" applyBorder="1"/>
    <xf numFmtId="0" fontId="4" fillId="0" borderId="2" xfId="7" applyFill="1" applyBorder="1"/>
    <xf numFmtId="9" fontId="39" fillId="0" borderId="2" xfId="11" applyFont="1" applyFill="1" applyBorder="1"/>
    <xf numFmtId="9" fontId="41" fillId="0" borderId="3" xfId="11" applyFont="1" applyFill="1" applyBorder="1" applyAlignment="1">
      <alignment horizontal="center"/>
    </xf>
    <xf numFmtId="9" fontId="21" fillId="0" borderId="121" xfId="11" applyFont="1" applyFill="1" applyBorder="1"/>
    <xf numFmtId="9" fontId="21" fillId="0" borderId="32" xfId="11" applyFont="1" applyFill="1" applyBorder="1"/>
    <xf numFmtId="9" fontId="21" fillId="0" borderId="102" xfId="11" applyFont="1" applyFill="1" applyBorder="1"/>
    <xf numFmtId="9" fontId="39" fillId="0" borderId="1" xfId="11" applyFont="1" applyFill="1" applyBorder="1"/>
    <xf numFmtId="9" fontId="41" fillId="0" borderId="5" xfId="11" applyFont="1" applyFill="1" applyBorder="1" applyAlignment="1">
      <alignment horizontal="center"/>
    </xf>
    <xf numFmtId="9" fontId="28" fillId="0" borderId="77" xfId="11" applyFont="1" applyFill="1" applyBorder="1" applyAlignment="1">
      <alignment horizontal="center"/>
    </xf>
    <xf numFmtId="9" fontId="21" fillId="0" borderId="33" xfId="11" applyFont="1" applyFill="1" applyBorder="1" applyAlignment="1">
      <alignment horizontal="right"/>
    </xf>
    <xf numFmtId="9" fontId="21" fillId="0" borderId="80" xfId="11" applyFont="1" applyFill="1" applyBorder="1" applyAlignment="1">
      <alignment horizontal="right"/>
    </xf>
    <xf numFmtId="9" fontId="39" fillId="0" borderId="0" xfId="11" applyFont="1" applyFill="1" applyBorder="1"/>
    <xf numFmtId="9" fontId="21" fillId="0" borderId="77" xfId="11" applyFont="1" applyFill="1" applyBorder="1"/>
    <xf numFmtId="9" fontId="14" fillId="0" borderId="0" xfId="11" applyFont="1" applyFill="1" applyAlignment="1">
      <alignment horizontal="center"/>
    </xf>
    <xf numFmtId="9" fontId="41" fillId="0" borderId="0" xfId="11" applyFont="1" applyFill="1" applyBorder="1" applyAlignment="1">
      <alignment horizontal="center"/>
    </xf>
    <xf numFmtId="9" fontId="41" fillId="0" borderId="0" xfId="11" applyFont="1" applyBorder="1" applyAlignment="1">
      <alignment horizontal="center"/>
    </xf>
    <xf numFmtId="0" fontId="4" fillId="0" borderId="0" xfId="7" applyNumberFormat="1" applyBorder="1"/>
    <xf numFmtId="0" fontId="27" fillId="9" borderId="110" xfId="7" applyFont="1" applyFill="1" applyBorder="1" applyAlignment="1">
      <alignment horizontal="center"/>
    </xf>
    <xf numFmtId="0" fontId="27" fillId="9" borderId="35" xfId="7" applyFont="1" applyFill="1" applyBorder="1" applyAlignment="1">
      <alignment horizontal="center"/>
    </xf>
    <xf numFmtId="0" fontId="28" fillId="0" borderId="0" xfId="7" applyFont="1" applyFill="1" applyBorder="1" applyAlignment="1"/>
    <xf numFmtId="4" fontId="4" fillId="7" borderId="5" xfId="7" applyNumberFormat="1" applyFill="1" applyBorder="1" applyAlignment="1">
      <alignment horizontal="center"/>
    </xf>
    <xf numFmtId="170" fontId="28" fillId="7" borderId="46" xfId="7" applyNumberFormat="1" applyFont="1" applyFill="1" applyBorder="1" applyAlignment="1"/>
    <xf numFmtId="9" fontId="21" fillId="0" borderId="103" xfId="11" applyFont="1" applyFill="1" applyBorder="1"/>
    <xf numFmtId="0" fontId="4" fillId="7" borderId="2" xfId="7" applyFill="1" applyBorder="1"/>
    <xf numFmtId="9" fontId="39" fillId="7" borderId="2" xfId="11" applyFont="1" applyFill="1" applyBorder="1"/>
    <xf numFmtId="9" fontId="41" fillId="7" borderId="3" xfId="11" applyFont="1" applyFill="1" applyBorder="1" applyAlignment="1">
      <alignment horizontal="center"/>
    </xf>
    <xf numFmtId="9" fontId="39" fillId="7" borderId="1" xfId="11" applyFont="1" applyFill="1" applyBorder="1"/>
    <xf numFmtId="9" fontId="41" fillId="7" borderId="5" xfId="11" applyFont="1" applyFill="1" applyBorder="1" applyAlignment="1">
      <alignment horizontal="center"/>
    </xf>
    <xf numFmtId="9" fontId="39" fillId="7" borderId="4" xfId="11" applyFont="1" applyFill="1" applyBorder="1"/>
    <xf numFmtId="9" fontId="39" fillId="7" borderId="0" xfId="11" applyFont="1" applyFill="1" applyBorder="1"/>
    <xf numFmtId="9" fontId="39" fillId="0" borderId="0" xfId="11" applyNumberFormat="1" applyFont="1" applyBorder="1"/>
    <xf numFmtId="0" fontId="42" fillId="0" borderId="0" xfId="7" applyFont="1" applyBorder="1"/>
    <xf numFmtId="0" fontId="4" fillId="0" borderId="0" xfId="7" applyAlignment="1">
      <alignment horizontal="center" vertical="center"/>
    </xf>
    <xf numFmtId="0" fontId="4" fillId="0" borderId="0" xfId="7" applyFill="1" applyAlignment="1">
      <alignment horizontal="center" vertical="center"/>
    </xf>
    <xf numFmtId="0" fontId="17" fillId="0" borderId="0" xfId="7" applyFont="1" applyFill="1" applyBorder="1" applyAlignment="1">
      <alignment horizontal="center" vertical="center"/>
    </xf>
    <xf numFmtId="0" fontId="14" fillId="0" borderId="4" xfId="7" applyFont="1" applyFill="1" applyBorder="1" applyAlignment="1">
      <alignment horizontal="center" vertical="center"/>
    </xf>
    <xf numFmtId="0" fontId="14" fillId="0" borderId="51" xfId="7" applyFont="1" applyFill="1" applyBorder="1" applyAlignment="1">
      <alignment horizontal="center" vertical="center"/>
    </xf>
    <xf numFmtId="176" fontId="4" fillId="14" borderId="4" xfId="7" applyNumberFormat="1" applyFill="1" applyBorder="1" applyAlignment="1">
      <alignment horizontal="center"/>
    </xf>
    <xf numFmtId="3" fontId="4" fillId="14" borderId="51" xfId="4" applyNumberFormat="1" applyFill="1" applyBorder="1" applyAlignment="1">
      <alignment horizontal="center" vertical="center"/>
    </xf>
    <xf numFmtId="0" fontId="4" fillId="0" borderId="0" xfId="7" applyBorder="1" applyAlignment="1">
      <alignment horizontal="center" vertical="center"/>
    </xf>
    <xf numFmtId="4" fontId="4" fillId="0" borderId="0" xfId="7" applyNumberFormat="1"/>
    <xf numFmtId="9" fontId="0" fillId="0" borderId="0" xfId="11" applyFont="1" applyAlignment="1">
      <alignment horizontal="center"/>
    </xf>
    <xf numFmtId="176" fontId="4" fillId="0" borderId="4" xfId="7" applyNumberFormat="1" applyFill="1" applyBorder="1" applyAlignment="1">
      <alignment horizontal="center"/>
    </xf>
    <xf numFmtId="3" fontId="4" fillId="0" borderId="51" xfId="4" applyNumberFormat="1" applyFill="1" applyBorder="1" applyAlignment="1">
      <alignment horizontal="center" vertical="center"/>
    </xf>
    <xf numFmtId="171" fontId="0" fillId="0" borderId="0" xfId="11" applyNumberFormat="1" applyFont="1" applyAlignment="1">
      <alignment horizontal="center"/>
    </xf>
    <xf numFmtId="0" fontId="4" fillId="0" borderId="0" xfId="7" applyFill="1" applyAlignment="1">
      <alignment horizontal="center"/>
    </xf>
    <xf numFmtId="176" fontId="4" fillId="14" borderId="4" xfId="7" applyNumberFormat="1" applyFont="1" applyFill="1" applyBorder="1" applyAlignment="1">
      <alignment horizontal="center"/>
    </xf>
    <xf numFmtId="9" fontId="0" fillId="0" borderId="0" xfId="11" applyFont="1"/>
    <xf numFmtId="4" fontId="4" fillId="4" borderId="0" xfId="7" applyNumberFormat="1" applyFill="1"/>
    <xf numFmtId="9" fontId="0" fillId="15" borderId="0" xfId="11" applyFont="1" applyFill="1" applyAlignment="1">
      <alignment horizontal="center"/>
    </xf>
    <xf numFmtId="0" fontId="4" fillId="13" borderId="0" xfId="7" applyFill="1"/>
    <xf numFmtId="4" fontId="4" fillId="8" borderId="0" xfId="7" applyNumberFormat="1" applyFill="1"/>
    <xf numFmtId="176" fontId="4" fillId="14" borderId="65" xfId="7" applyNumberFormat="1" applyFont="1" applyFill="1" applyBorder="1" applyAlignment="1">
      <alignment horizontal="center"/>
    </xf>
    <xf numFmtId="3" fontId="4" fillId="7" borderId="51" xfId="4" applyNumberFormat="1" applyFill="1" applyBorder="1" applyAlignment="1">
      <alignment horizontal="center" vertical="center"/>
    </xf>
    <xf numFmtId="0" fontId="13" fillId="14" borderId="116" xfId="7" applyFont="1" applyFill="1" applyBorder="1"/>
    <xf numFmtId="9" fontId="13" fillId="14" borderId="42" xfId="11" applyNumberFormat="1" applyFont="1" applyFill="1" applyBorder="1" applyAlignment="1">
      <alignment horizontal="center"/>
    </xf>
    <xf numFmtId="3" fontId="4" fillId="0" borderId="0" xfId="7" applyNumberFormat="1" applyBorder="1" applyAlignment="1">
      <alignment horizontal="center"/>
    </xf>
    <xf numFmtId="9" fontId="12" fillId="0" borderId="0" xfId="11" applyFont="1" applyFill="1" applyBorder="1" applyAlignment="1">
      <alignment horizontal="center"/>
    </xf>
    <xf numFmtId="0" fontId="13" fillId="0" borderId="74" xfId="7" applyFont="1" applyFill="1" applyBorder="1"/>
    <xf numFmtId="9" fontId="13" fillId="0" borderId="80" xfId="11" applyNumberFormat="1" applyFont="1" applyFill="1" applyBorder="1" applyAlignment="1">
      <alignment horizontal="center"/>
    </xf>
    <xf numFmtId="0" fontId="4" fillId="0" borderId="0" xfId="7" applyBorder="1" applyAlignment="1">
      <alignment horizontal="center"/>
    </xf>
    <xf numFmtId="0" fontId="13" fillId="14" borderId="4" xfId="7" applyFont="1" applyFill="1" applyBorder="1"/>
    <xf numFmtId="9" fontId="13" fillId="14" borderId="51" xfId="11" applyFont="1" applyFill="1" applyBorder="1" applyAlignment="1">
      <alignment horizontal="center"/>
    </xf>
    <xf numFmtId="9" fontId="21" fillId="0" borderId="0" xfId="11" applyFont="1" applyFill="1" applyBorder="1" applyAlignment="1">
      <alignment horizontal="center"/>
    </xf>
    <xf numFmtId="0" fontId="13" fillId="0" borderId="81" xfId="7" applyFont="1" applyFill="1" applyBorder="1"/>
    <xf numFmtId="9" fontId="13" fillId="0" borderId="109" xfId="11" applyFont="1" applyFill="1" applyBorder="1" applyAlignment="1">
      <alignment horizontal="center"/>
    </xf>
    <xf numFmtId="0" fontId="28" fillId="0" borderId="0" xfId="7" applyFont="1" applyFill="1" applyBorder="1"/>
    <xf numFmtId="0" fontId="31" fillId="0" borderId="0" xfId="7" applyFont="1" applyAlignment="1">
      <alignment horizontal="left"/>
    </xf>
    <xf numFmtId="0" fontId="5" fillId="2" borderId="0" xfId="7" applyFont="1" applyFill="1"/>
    <xf numFmtId="0" fontId="10" fillId="2" borderId="0" xfId="7" applyFont="1" applyFill="1" applyAlignment="1">
      <alignment horizontal="centerContinuous"/>
    </xf>
    <xf numFmtId="0" fontId="4" fillId="2" borderId="0" xfId="7" applyFill="1" applyAlignment="1">
      <alignment horizontal="centerContinuous"/>
    </xf>
    <xf numFmtId="0" fontId="4" fillId="2" borderId="0" xfId="7" applyFill="1"/>
    <xf numFmtId="176" fontId="4" fillId="7" borderId="93" xfId="7" applyNumberFormat="1" applyFill="1" applyBorder="1" applyAlignment="1" applyProtection="1">
      <alignment horizontal="center"/>
      <protection locked="0"/>
    </xf>
    <xf numFmtId="170" fontId="14" fillId="7" borderId="0" xfId="7" applyNumberFormat="1" applyFont="1" applyFill="1" applyBorder="1" applyProtection="1">
      <protection locked="0"/>
    </xf>
    <xf numFmtId="170" fontId="4" fillId="7" borderId="46" xfId="7" applyNumberFormat="1" applyFill="1" applyBorder="1" applyProtection="1">
      <protection locked="0"/>
    </xf>
    <xf numFmtId="170" fontId="4" fillId="7" borderId="31" xfId="7" applyNumberFormat="1" applyFill="1" applyBorder="1" applyProtection="1">
      <protection locked="0"/>
    </xf>
    <xf numFmtId="170" fontId="4" fillId="7" borderId="45" xfId="7" applyNumberFormat="1" applyFill="1" applyBorder="1" applyProtection="1">
      <protection locked="0"/>
    </xf>
    <xf numFmtId="172" fontId="4" fillId="7" borderId="45" xfId="7" quotePrefix="1" applyNumberFormat="1" applyFill="1" applyBorder="1" applyAlignment="1" applyProtection="1">
      <alignment horizontal="center"/>
      <protection locked="0"/>
    </xf>
    <xf numFmtId="170" fontId="4" fillId="7" borderId="0" xfId="7" applyNumberFormat="1" applyFill="1" applyBorder="1" applyProtection="1">
      <protection locked="0"/>
    </xf>
    <xf numFmtId="176" fontId="4" fillId="14" borderId="93" xfId="7" applyNumberFormat="1" applyFill="1" applyBorder="1" applyAlignment="1" applyProtection="1">
      <alignment horizontal="center"/>
      <protection locked="0"/>
    </xf>
    <xf numFmtId="170" fontId="14" fillId="14" borderId="4" xfId="7" applyNumberFormat="1" applyFont="1" applyFill="1" applyBorder="1" applyProtection="1">
      <protection locked="0"/>
    </xf>
    <xf numFmtId="170" fontId="4" fillId="14" borderId="46" xfId="7" applyNumberFormat="1" applyFill="1" applyBorder="1" applyProtection="1">
      <protection locked="0"/>
    </xf>
    <xf numFmtId="170" fontId="4" fillId="14" borderId="31" xfId="7" applyNumberFormat="1" applyFill="1" applyBorder="1" applyProtection="1">
      <protection locked="0"/>
    </xf>
    <xf numFmtId="170" fontId="4" fillId="14" borderId="45" xfId="7" applyNumberFormat="1" applyFill="1" applyBorder="1" applyProtection="1">
      <protection locked="0"/>
    </xf>
    <xf numFmtId="172" fontId="4" fillId="14" borderId="45" xfId="7" applyNumberFormat="1" applyFill="1" applyBorder="1" applyProtection="1">
      <protection locked="0"/>
    </xf>
    <xf numFmtId="170" fontId="4" fillId="14" borderId="0" xfId="7" applyNumberFormat="1" applyFill="1" applyBorder="1" applyProtection="1">
      <protection locked="0"/>
    </xf>
    <xf numFmtId="170" fontId="4" fillId="14" borderId="0" xfId="7" applyNumberFormat="1" applyFill="1" applyBorder="1"/>
    <xf numFmtId="0" fontId="4" fillId="0" borderId="0" xfId="7" applyFill="1" applyBorder="1" applyAlignment="1">
      <alignment horizontal="center"/>
    </xf>
    <xf numFmtId="172" fontId="4" fillId="0" borderId="0" xfId="7" applyNumberFormat="1" applyFill="1" applyBorder="1" applyAlignment="1">
      <alignment horizontal="center"/>
    </xf>
    <xf numFmtId="171" fontId="28" fillId="0" borderId="0" xfId="11" applyNumberFormat="1" applyFont="1" applyFill="1" applyBorder="1" applyAlignment="1">
      <alignment horizontal="center"/>
    </xf>
    <xf numFmtId="170" fontId="14" fillId="7" borderId="4" xfId="7" applyNumberFormat="1" applyFont="1" applyFill="1" applyBorder="1" applyProtection="1">
      <protection locked="0"/>
    </xf>
    <xf numFmtId="172" fontId="4" fillId="7" borderId="45" xfId="7" applyNumberFormat="1" applyFill="1" applyBorder="1" applyProtection="1">
      <protection locked="0"/>
    </xf>
    <xf numFmtId="172" fontId="4" fillId="7" borderId="31" xfId="7" quotePrefix="1" applyNumberFormat="1" applyFill="1" applyBorder="1" applyAlignment="1">
      <alignment horizontal="right"/>
    </xf>
    <xf numFmtId="170" fontId="14" fillId="14" borderId="0" xfId="7" applyNumberFormat="1" applyFont="1" applyFill="1" applyBorder="1" applyProtection="1">
      <protection locked="0"/>
    </xf>
    <xf numFmtId="172" fontId="4" fillId="7" borderId="31" xfId="7" applyNumberFormat="1" applyFill="1" applyBorder="1" applyProtection="1">
      <protection locked="0"/>
    </xf>
    <xf numFmtId="172" fontId="4" fillId="14" borderId="31" xfId="7" applyNumberFormat="1" applyFill="1" applyBorder="1" applyProtection="1">
      <protection locked="0"/>
    </xf>
    <xf numFmtId="170" fontId="14" fillId="0" borderId="0" xfId="7" applyNumberFormat="1" applyFont="1" applyFill="1" applyBorder="1" applyProtection="1">
      <protection locked="0"/>
    </xf>
    <xf numFmtId="170" fontId="4" fillId="0" borderId="46" xfId="7" applyNumberFormat="1" applyFill="1" applyBorder="1" applyProtection="1">
      <protection locked="0"/>
    </xf>
    <xf numFmtId="172" fontId="4" fillId="0" borderId="31" xfId="7" applyNumberFormat="1" applyFill="1" applyBorder="1" applyProtection="1">
      <protection locked="0"/>
    </xf>
    <xf numFmtId="170" fontId="4" fillId="0" borderId="45" xfId="7" applyNumberFormat="1" applyFill="1" applyBorder="1" applyProtection="1">
      <protection locked="0"/>
    </xf>
    <xf numFmtId="0" fontId="4" fillId="10" borderId="0" xfId="7" applyFill="1"/>
    <xf numFmtId="0" fontId="4" fillId="10" borderId="0" xfId="7" applyFont="1" applyFill="1"/>
    <xf numFmtId="0" fontId="13" fillId="14" borderId="94" xfId="7" applyFont="1" applyFill="1" applyBorder="1"/>
    <xf numFmtId="9" fontId="28" fillId="14" borderId="95" xfId="11" applyNumberFormat="1" applyFont="1" applyFill="1" applyBorder="1" applyAlignment="1">
      <alignment horizontal="center"/>
    </xf>
    <xf numFmtId="171" fontId="28" fillId="14" borderId="32" xfId="11" applyNumberFormat="1" applyFont="1" applyFill="1" applyBorder="1" applyAlignment="1">
      <alignment horizontal="center"/>
    </xf>
    <xf numFmtId="9" fontId="28" fillId="14" borderId="103" xfId="11" applyNumberFormat="1" applyFont="1" applyFill="1" applyBorder="1" applyAlignment="1">
      <alignment horizontal="center"/>
    </xf>
    <xf numFmtId="9" fontId="28" fillId="14" borderId="103" xfId="11" quotePrefix="1" applyNumberFormat="1" applyFont="1" applyFill="1" applyBorder="1" applyAlignment="1">
      <alignment horizontal="right"/>
    </xf>
    <xf numFmtId="9" fontId="28" fillId="14" borderId="32" xfId="11" applyNumberFormat="1" applyFont="1" applyFill="1" applyBorder="1" applyAlignment="1">
      <alignment horizontal="center"/>
    </xf>
    <xf numFmtId="9" fontId="4" fillId="7" borderId="2" xfId="7" applyNumberFormat="1" applyFill="1" applyBorder="1"/>
    <xf numFmtId="0" fontId="13" fillId="7" borderId="96" xfId="7" applyFont="1" applyFill="1" applyBorder="1"/>
    <xf numFmtId="9" fontId="28" fillId="7" borderId="97" xfId="11" applyNumberFormat="1" applyFont="1" applyFill="1" applyBorder="1" applyAlignment="1">
      <alignment horizontal="center"/>
    </xf>
    <xf numFmtId="9" fontId="28" fillId="7" borderId="98" xfId="11" applyNumberFormat="1" applyFont="1" applyFill="1" applyBorder="1" applyAlignment="1">
      <alignment horizontal="center"/>
    </xf>
    <xf numFmtId="9" fontId="28" fillId="7" borderId="105" xfId="11" applyNumberFormat="1" applyFont="1" applyFill="1" applyBorder="1" applyAlignment="1">
      <alignment horizontal="center"/>
    </xf>
    <xf numFmtId="9" fontId="28" fillId="7" borderId="98" xfId="11" quotePrefix="1" applyNumberFormat="1" applyFont="1" applyFill="1" applyBorder="1" applyAlignment="1">
      <alignment horizontal="right"/>
    </xf>
    <xf numFmtId="9" fontId="28" fillId="7" borderId="105" xfId="11" applyNumberFormat="1" applyFont="1" applyFill="1" applyBorder="1" applyAlignment="1">
      <alignment horizontal="right"/>
    </xf>
    <xf numFmtId="9" fontId="28" fillId="7" borderId="0" xfId="11" applyNumberFormat="1" applyFont="1" applyFill="1" applyBorder="1" applyAlignment="1">
      <alignment horizontal="center"/>
    </xf>
    <xf numFmtId="9" fontId="4" fillId="7" borderId="0" xfId="7" applyNumberFormat="1" applyFill="1"/>
    <xf numFmtId="0" fontId="13" fillId="14" borderId="96" xfId="7" applyFont="1" applyFill="1" applyBorder="1"/>
    <xf numFmtId="9" fontId="28" fillId="14" borderId="97" xfId="11" applyNumberFormat="1" applyFont="1" applyFill="1" applyBorder="1" applyAlignment="1">
      <alignment horizontal="center"/>
    </xf>
    <xf numFmtId="9" fontId="28" fillId="14" borderId="98" xfId="11" applyNumberFormat="1" applyFont="1" applyFill="1" applyBorder="1" applyAlignment="1">
      <alignment horizontal="center"/>
    </xf>
    <xf numFmtId="9" fontId="28" fillId="14" borderId="105" xfId="11" applyNumberFormat="1" applyFont="1" applyFill="1" applyBorder="1" applyAlignment="1">
      <alignment horizontal="center"/>
    </xf>
    <xf numFmtId="9" fontId="28" fillId="14" borderId="98" xfId="11" applyNumberFormat="1" applyFont="1" applyFill="1" applyBorder="1" applyAlignment="1">
      <alignment horizontal="right"/>
    </xf>
    <xf numFmtId="9" fontId="28" fillId="14" borderId="105" xfId="11" applyNumberFormat="1" applyFont="1" applyFill="1" applyBorder="1" applyAlignment="1">
      <alignment horizontal="right"/>
    </xf>
    <xf numFmtId="0" fontId="13" fillId="7" borderId="99" xfId="7" applyFont="1" applyFill="1" applyBorder="1"/>
    <xf numFmtId="9" fontId="28" fillId="7" borderId="118" xfId="11" applyNumberFormat="1" applyFont="1" applyFill="1" applyBorder="1" applyAlignment="1">
      <alignment horizontal="center"/>
    </xf>
    <xf numFmtId="9" fontId="28" fillId="7" borderId="100" xfId="11" applyNumberFormat="1" applyFont="1" applyFill="1" applyBorder="1" applyAlignment="1">
      <alignment horizontal="center"/>
    </xf>
    <xf numFmtId="9" fontId="28" fillId="7" borderId="109" xfId="11" applyNumberFormat="1" applyFont="1" applyFill="1" applyBorder="1" applyAlignment="1">
      <alignment horizontal="center"/>
    </xf>
    <xf numFmtId="9" fontId="28" fillId="7" borderId="100" xfId="11" applyNumberFormat="1" applyFont="1" applyFill="1" applyBorder="1" applyAlignment="1">
      <alignment horizontal="right"/>
    </xf>
    <xf numFmtId="9" fontId="28" fillId="7" borderId="109" xfId="11" applyNumberFormat="1" applyFont="1" applyFill="1" applyBorder="1" applyAlignment="1">
      <alignment horizontal="right"/>
    </xf>
    <xf numFmtId="0" fontId="13" fillId="7" borderId="0" xfId="7" applyFont="1" applyFill="1" applyBorder="1"/>
    <xf numFmtId="171" fontId="4" fillId="0" borderId="0" xfId="11" applyNumberFormat="1"/>
    <xf numFmtId="0" fontId="14" fillId="0" borderId="0" xfId="7" applyFont="1" applyFill="1" applyBorder="1"/>
    <xf numFmtId="9" fontId="28" fillId="0" borderId="0" xfId="11" applyFont="1" applyFill="1" applyBorder="1" applyAlignment="1">
      <alignment horizontal="center"/>
    </xf>
    <xf numFmtId="0" fontId="31" fillId="2" borderId="0" xfId="7" applyFont="1" applyFill="1" applyAlignment="1">
      <alignment horizontal="left"/>
    </xf>
    <xf numFmtId="9" fontId="28" fillId="14" borderId="102" xfId="11" applyNumberFormat="1" applyFont="1" applyFill="1" applyBorder="1" applyAlignment="1">
      <alignment horizontal="center"/>
    </xf>
    <xf numFmtId="9" fontId="28" fillId="7" borderId="104" xfId="11" applyNumberFormat="1" applyFont="1" applyFill="1" applyBorder="1" applyAlignment="1">
      <alignment horizontal="center"/>
    </xf>
    <xf numFmtId="9" fontId="28" fillId="14" borderId="104" xfId="11" applyNumberFormat="1" applyFont="1" applyFill="1" applyBorder="1" applyAlignment="1">
      <alignment horizontal="center"/>
    </xf>
    <xf numFmtId="9" fontId="28" fillId="7" borderId="108" xfId="11" applyNumberFormat="1" applyFont="1" applyFill="1" applyBorder="1" applyAlignment="1">
      <alignment horizontal="center"/>
    </xf>
    <xf numFmtId="0" fontId="4" fillId="2" borderId="0" xfId="7" applyFill="1" applyAlignment="1">
      <alignment horizontal="right"/>
    </xf>
    <xf numFmtId="172" fontId="4" fillId="2" borderId="0" xfId="7" applyNumberFormat="1" applyFill="1"/>
    <xf numFmtId="171" fontId="4" fillId="2" borderId="0" xfId="11" applyNumberFormat="1" applyFill="1"/>
    <xf numFmtId="0" fontId="29" fillId="2" borderId="0" xfId="7" applyFont="1" applyFill="1"/>
    <xf numFmtId="0" fontId="21" fillId="2" borderId="0" xfId="7" applyFont="1" applyFill="1"/>
    <xf numFmtId="0" fontId="4" fillId="2" borderId="0" xfId="7" applyFill="1" applyBorder="1"/>
    <xf numFmtId="0" fontId="26" fillId="2" borderId="0" xfId="7" applyFont="1" applyFill="1"/>
    <xf numFmtId="0" fontId="14" fillId="2" borderId="0" xfId="7" applyFont="1" applyFill="1"/>
    <xf numFmtId="0" fontId="4" fillId="7" borderId="65" xfId="7" applyFill="1" applyBorder="1"/>
    <xf numFmtId="0" fontId="4" fillId="7" borderId="5" xfId="7" applyFill="1" applyBorder="1"/>
    <xf numFmtId="170" fontId="14" fillId="14" borderId="65" xfId="7" applyNumberFormat="1" applyFont="1" applyFill="1" applyBorder="1" applyAlignment="1"/>
    <xf numFmtId="170" fontId="28" fillId="14" borderId="31" xfId="7" applyNumberFormat="1" applyFont="1" applyFill="1" applyBorder="1" applyAlignment="1"/>
    <xf numFmtId="170" fontId="4" fillId="14" borderId="46" xfId="7" applyNumberFormat="1" applyFill="1" applyBorder="1" applyAlignment="1"/>
    <xf numFmtId="170" fontId="4" fillId="14" borderId="31" xfId="7" applyNumberFormat="1" applyFill="1" applyBorder="1" applyAlignment="1"/>
    <xf numFmtId="170" fontId="4" fillId="14" borderId="5" xfId="7" applyNumberFormat="1" applyFill="1" applyBorder="1" applyAlignment="1"/>
    <xf numFmtId="170" fontId="28" fillId="14" borderId="0" xfId="7" applyNumberFormat="1" applyFont="1" applyFill="1" applyBorder="1" applyAlignment="1"/>
    <xf numFmtId="170" fontId="4" fillId="14" borderId="0" xfId="7" applyNumberFormat="1" applyFill="1" applyBorder="1" applyAlignment="1"/>
    <xf numFmtId="170" fontId="28" fillId="14" borderId="65" xfId="7" applyNumberFormat="1" applyFont="1" applyFill="1" applyBorder="1" applyAlignment="1"/>
    <xf numFmtId="170" fontId="4" fillId="14" borderId="5" xfId="7" applyNumberFormat="1" applyFill="1" applyBorder="1" applyAlignment="1">
      <alignment horizontal="right"/>
    </xf>
    <xf numFmtId="170" fontId="28" fillId="7" borderId="0" xfId="7" applyNumberFormat="1" applyFont="1" applyFill="1" applyBorder="1" applyAlignment="1"/>
    <xf numFmtId="4" fontId="14" fillId="14" borderId="65" xfId="7" applyNumberFormat="1" applyFont="1" applyFill="1" applyBorder="1" applyAlignment="1"/>
    <xf numFmtId="4" fontId="28" fillId="14" borderId="31" xfId="7" applyNumberFormat="1" applyFont="1" applyFill="1" applyBorder="1" applyAlignment="1"/>
    <xf numFmtId="4" fontId="4" fillId="14" borderId="46" xfId="7" applyNumberFormat="1" applyFill="1" applyBorder="1" applyAlignment="1"/>
    <xf numFmtId="4" fontId="4" fillId="14" borderId="31" xfId="7" applyNumberFormat="1" applyFill="1" applyBorder="1" applyAlignment="1"/>
    <xf numFmtId="4" fontId="4" fillId="14" borderId="5" xfId="7" applyNumberFormat="1" applyFill="1" applyBorder="1" applyAlignment="1"/>
    <xf numFmtId="4" fontId="28" fillId="14" borderId="0" xfId="7" applyNumberFormat="1" applyFont="1" applyFill="1" applyBorder="1" applyAlignment="1"/>
    <xf numFmtId="4" fontId="4" fillId="14" borderId="0" xfId="7" applyNumberFormat="1" applyFill="1" applyBorder="1" applyAlignment="1"/>
    <xf numFmtId="4" fontId="28" fillId="14" borderId="65" xfId="7" applyNumberFormat="1" applyFont="1" applyFill="1" applyBorder="1" applyAlignment="1"/>
    <xf numFmtId="4" fontId="28" fillId="7" borderId="0" xfId="7" applyNumberFormat="1" applyFont="1" applyFill="1" applyBorder="1" applyAlignment="1"/>
    <xf numFmtId="4" fontId="4" fillId="7" borderId="0" xfId="7" applyNumberFormat="1" applyFill="1" applyBorder="1" applyAlignment="1"/>
    <xf numFmtId="170" fontId="4" fillId="7" borderId="46" xfId="7" applyNumberFormat="1" applyFont="1" applyFill="1" applyBorder="1" applyAlignment="1"/>
    <xf numFmtId="170" fontId="4" fillId="14" borderId="46" xfId="7" applyNumberFormat="1" applyFont="1" applyFill="1" applyBorder="1" applyAlignment="1"/>
    <xf numFmtId="170" fontId="4" fillId="0" borderId="46" xfId="7" applyNumberFormat="1" applyFont="1" applyFill="1" applyBorder="1" applyAlignment="1"/>
    <xf numFmtId="170" fontId="28" fillId="0" borderId="0" xfId="7" applyNumberFormat="1" applyFont="1" applyFill="1" applyBorder="1" applyAlignment="1"/>
    <xf numFmtId="176" fontId="4" fillId="14" borderId="88" xfId="7" applyNumberFormat="1" applyFont="1" applyFill="1" applyBorder="1" applyAlignment="1">
      <alignment horizontal="center"/>
    </xf>
    <xf numFmtId="170" fontId="14" fillId="14" borderId="69" xfId="7" applyNumberFormat="1" applyFont="1" applyFill="1" applyBorder="1" applyAlignment="1"/>
    <xf numFmtId="170" fontId="28" fillId="14" borderId="68" xfId="7" applyNumberFormat="1" applyFont="1" applyFill="1" applyBorder="1" applyAlignment="1"/>
    <xf numFmtId="170" fontId="4" fillId="14" borderId="114" xfId="7" applyNumberFormat="1" applyFont="1" applyFill="1" applyBorder="1" applyAlignment="1"/>
    <xf numFmtId="170" fontId="4" fillId="14" borderId="68" xfId="7" applyNumberFormat="1" applyFill="1" applyBorder="1" applyAlignment="1"/>
    <xf numFmtId="170" fontId="4" fillId="14" borderId="8" xfId="7" applyNumberFormat="1" applyFill="1" applyBorder="1" applyAlignment="1"/>
    <xf numFmtId="170" fontId="28" fillId="14" borderId="7" xfId="7" applyNumberFormat="1" applyFont="1" applyFill="1" applyBorder="1" applyAlignment="1"/>
    <xf numFmtId="170" fontId="4" fillId="14" borderId="7" xfId="7" applyNumberFormat="1" applyFill="1" applyBorder="1" applyAlignment="1"/>
    <xf numFmtId="170" fontId="28" fillId="14" borderId="69" xfId="7" applyNumberFormat="1" applyFont="1" applyFill="1" applyBorder="1" applyAlignment="1"/>
    <xf numFmtId="170" fontId="4" fillId="14" borderId="114" xfId="7" applyNumberFormat="1" applyFill="1" applyBorder="1" applyAlignment="1"/>
    <xf numFmtId="0" fontId="13" fillId="0" borderId="129" xfId="7" applyFont="1" applyFill="1" applyBorder="1" applyAlignment="1">
      <alignment horizontal="center" wrapText="1"/>
    </xf>
    <xf numFmtId="9" fontId="28" fillId="0" borderId="97" xfId="11" applyNumberFormat="1" applyFont="1" applyFill="1" applyBorder="1" applyAlignment="1">
      <alignment horizontal="center" vertical="center"/>
    </xf>
    <xf numFmtId="9" fontId="28" fillId="0" borderId="104" xfId="11" applyNumberFormat="1" applyFont="1" applyFill="1" applyBorder="1" applyAlignment="1">
      <alignment horizontal="center" vertical="center"/>
    </xf>
    <xf numFmtId="9" fontId="21" fillId="0" borderId="98" xfId="11" applyNumberFormat="1" applyFont="1" applyFill="1" applyBorder="1" applyAlignment="1">
      <alignment horizontal="center" vertical="center"/>
    </xf>
    <xf numFmtId="9" fontId="21" fillId="0" borderId="105" xfId="11" quotePrefix="1" applyFont="1" applyFill="1" applyBorder="1" applyAlignment="1">
      <alignment horizontal="center" vertical="center"/>
    </xf>
    <xf numFmtId="0" fontId="4" fillId="2" borderId="0" xfId="7" applyFill="1" applyBorder="1" applyAlignment="1">
      <alignment horizontal="center"/>
    </xf>
    <xf numFmtId="9" fontId="39" fillId="2" borderId="0" xfId="11" applyFont="1" applyFill="1" applyBorder="1" applyAlignment="1">
      <alignment horizontal="center"/>
    </xf>
    <xf numFmtId="9" fontId="41" fillId="2" borderId="5" xfId="11" applyFont="1" applyFill="1" applyBorder="1" applyAlignment="1">
      <alignment horizontal="center"/>
    </xf>
    <xf numFmtId="9" fontId="21" fillId="0" borderId="122" xfId="11" applyFont="1" applyFill="1" applyBorder="1" applyAlignment="1">
      <alignment horizontal="center"/>
    </xf>
    <xf numFmtId="9" fontId="21" fillId="0" borderId="98" xfId="11" applyFont="1" applyFill="1" applyBorder="1" applyAlignment="1">
      <alignment horizontal="center"/>
    </xf>
    <xf numFmtId="9" fontId="21" fillId="0" borderId="104" xfId="11" applyFont="1" applyFill="1" applyBorder="1" applyAlignment="1">
      <alignment horizontal="center"/>
    </xf>
    <xf numFmtId="9" fontId="39" fillId="2" borderId="4" xfId="11" applyFont="1" applyFill="1" applyBorder="1"/>
    <xf numFmtId="0" fontId="13" fillId="14" borderId="74" xfId="7" applyFont="1" applyFill="1" applyBorder="1" applyAlignment="1">
      <alignment horizontal="center" wrapText="1"/>
    </xf>
    <xf numFmtId="9" fontId="28" fillId="14" borderId="97" xfId="11" applyNumberFormat="1" applyFont="1" applyFill="1" applyBorder="1" applyAlignment="1">
      <alignment horizontal="center" vertical="center"/>
    </xf>
    <xf numFmtId="9" fontId="28" fillId="14" borderId="122" xfId="11" applyFont="1" applyFill="1" applyBorder="1" applyAlignment="1">
      <alignment horizontal="center" vertical="center"/>
    </xf>
    <xf numFmtId="9" fontId="21" fillId="14" borderId="98" xfId="11" applyFont="1" applyFill="1" applyBorder="1" applyAlignment="1">
      <alignment horizontal="center" vertical="center"/>
    </xf>
    <xf numFmtId="9" fontId="21" fillId="14" borderId="105" xfId="11" applyFont="1" applyFill="1" applyBorder="1" applyAlignment="1">
      <alignment horizontal="center" vertical="center"/>
    </xf>
    <xf numFmtId="9" fontId="21" fillId="14" borderId="122" xfId="11" applyFont="1" applyFill="1" applyBorder="1" applyAlignment="1">
      <alignment horizontal="center"/>
    </xf>
    <xf numFmtId="9" fontId="21" fillId="14" borderId="98" xfId="11" applyFont="1" applyFill="1" applyBorder="1" applyAlignment="1">
      <alignment horizontal="center"/>
    </xf>
    <xf numFmtId="9" fontId="21" fillId="14" borderId="104" xfId="11" applyFont="1" applyFill="1" applyBorder="1" applyAlignment="1">
      <alignment horizontal="center"/>
    </xf>
    <xf numFmtId="9" fontId="28" fillId="0" borderId="78" xfId="11" applyFont="1" applyFill="1" applyBorder="1" applyAlignment="1">
      <alignment horizontal="center" vertical="center"/>
    </xf>
    <xf numFmtId="9" fontId="28" fillId="0" borderId="77" xfId="11" applyFont="1" applyFill="1" applyBorder="1" applyAlignment="1">
      <alignment horizontal="center" vertical="center"/>
    </xf>
    <xf numFmtId="9" fontId="21" fillId="0" borderId="33" xfId="11" applyFont="1" applyFill="1" applyBorder="1" applyAlignment="1">
      <alignment horizontal="center" vertical="center"/>
    </xf>
    <xf numFmtId="9" fontId="21" fillId="0" borderId="80" xfId="11" applyFont="1" applyFill="1" applyBorder="1" applyAlignment="1">
      <alignment horizontal="center" vertical="center"/>
    </xf>
    <xf numFmtId="9" fontId="21" fillId="0" borderId="77" xfId="11" applyFont="1" applyFill="1" applyBorder="1" applyAlignment="1">
      <alignment horizontal="center"/>
    </xf>
    <xf numFmtId="9" fontId="21" fillId="0" borderId="33" xfId="11" applyFont="1" applyFill="1" applyBorder="1" applyAlignment="1">
      <alignment horizontal="center"/>
    </xf>
    <xf numFmtId="0" fontId="13" fillId="14" borderId="81" xfId="7" applyFont="1" applyFill="1" applyBorder="1" applyAlignment="1">
      <alignment horizontal="center" wrapText="1"/>
    </xf>
    <xf numFmtId="9" fontId="28" fillId="14" borderId="118" xfId="11" applyFont="1" applyFill="1" applyBorder="1" applyAlignment="1">
      <alignment horizontal="center" vertical="center"/>
    </xf>
    <xf numFmtId="9" fontId="28" fillId="14" borderId="106" xfId="11" applyFont="1" applyFill="1" applyBorder="1" applyAlignment="1">
      <alignment horizontal="center" vertical="center"/>
    </xf>
    <xf numFmtId="9" fontId="21" fillId="14" borderId="100" xfId="11" applyFont="1" applyFill="1" applyBorder="1" applyAlignment="1">
      <alignment horizontal="center" vertical="center"/>
    </xf>
    <xf numFmtId="9" fontId="21" fillId="14" borderId="109" xfId="11" applyFont="1" applyFill="1" applyBorder="1" applyAlignment="1">
      <alignment horizontal="center" vertical="center"/>
    </xf>
    <xf numFmtId="9" fontId="21" fillId="14" borderId="106" xfId="11" applyFont="1" applyFill="1" applyBorder="1" applyAlignment="1">
      <alignment horizontal="center"/>
    </xf>
    <xf numFmtId="9" fontId="21" fillId="14" borderId="100" xfId="11" applyFont="1" applyFill="1" applyBorder="1" applyAlignment="1">
      <alignment horizontal="center"/>
    </xf>
    <xf numFmtId="9" fontId="21" fillId="14" borderId="108" xfId="11" applyFont="1" applyFill="1" applyBorder="1" applyAlignment="1">
      <alignment horizontal="center"/>
    </xf>
    <xf numFmtId="0" fontId="12" fillId="2" borderId="0" xfId="7" applyFont="1" applyFill="1"/>
    <xf numFmtId="170" fontId="4" fillId="2" borderId="0" xfId="7" applyNumberFormat="1" applyFill="1"/>
    <xf numFmtId="0" fontId="37" fillId="2" borderId="0" xfId="7" applyFont="1" applyFill="1"/>
    <xf numFmtId="0" fontId="4" fillId="2" borderId="0" xfId="11" applyNumberFormat="1" applyFont="1" applyFill="1" applyBorder="1" applyAlignment="1">
      <alignment horizontal="center"/>
    </xf>
    <xf numFmtId="0" fontId="4" fillId="2" borderId="0" xfId="7" applyNumberFormat="1" applyFont="1" applyFill="1" applyBorder="1" applyAlignment="1">
      <alignment horizontal="center"/>
    </xf>
    <xf numFmtId="0" fontId="14" fillId="2" borderId="0" xfId="7" applyFont="1" applyFill="1" applyBorder="1" applyAlignment="1">
      <alignment horizontal="center"/>
    </xf>
    <xf numFmtId="9" fontId="13" fillId="2" borderId="0" xfId="11" applyNumberFormat="1" applyFont="1" applyFill="1" applyAlignment="1">
      <alignment horizontal="center"/>
    </xf>
    <xf numFmtId="9" fontId="12" fillId="2" borderId="0" xfId="11" applyFont="1" applyFill="1" applyAlignment="1">
      <alignment horizontal="center"/>
    </xf>
    <xf numFmtId="9" fontId="13" fillId="2" borderId="0" xfId="11" applyFont="1" applyFill="1" applyAlignment="1">
      <alignment horizontal="center"/>
    </xf>
    <xf numFmtId="0" fontId="4" fillId="0" borderId="0" xfId="7" applyFont="1" applyFill="1" applyBorder="1" applyAlignment="1">
      <alignment horizontal="center" vertical="center"/>
    </xf>
    <xf numFmtId="0" fontId="4" fillId="7" borderId="83" xfId="7" applyFill="1" applyBorder="1"/>
    <xf numFmtId="170" fontId="14" fillId="14" borderId="45" xfId="7" applyNumberFormat="1" applyFont="1" applyFill="1" applyBorder="1" applyAlignment="1"/>
    <xf numFmtId="170" fontId="4" fillId="14" borderId="51" xfId="7" applyNumberFormat="1" applyFill="1" applyBorder="1" applyAlignment="1"/>
    <xf numFmtId="170" fontId="14" fillId="7" borderId="45" xfId="7" applyNumberFormat="1" applyFont="1" applyFill="1" applyBorder="1" applyAlignment="1"/>
    <xf numFmtId="4" fontId="14" fillId="7" borderId="45" xfId="7" applyNumberFormat="1" applyFont="1" applyFill="1" applyBorder="1" applyAlignment="1"/>
    <xf numFmtId="170" fontId="14" fillId="0" borderId="45" xfId="7" applyNumberFormat="1" applyFont="1" applyFill="1" applyBorder="1" applyAlignment="1"/>
    <xf numFmtId="176" fontId="4" fillId="2" borderId="93" xfId="7" applyNumberFormat="1" applyFont="1" applyFill="1" applyBorder="1" applyAlignment="1">
      <alignment horizontal="center"/>
    </xf>
    <xf numFmtId="170" fontId="14" fillId="2" borderId="45" xfId="7" applyNumberFormat="1" applyFont="1" applyFill="1" applyBorder="1" applyAlignment="1"/>
    <xf numFmtId="170" fontId="28" fillId="2" borderId="31" xfId="7" applyNumberFormat="1" applyFont="1" applyFill="1" applyBorder="1" applyAlignment="1"/>
    <xf numFmtId="170" fontId="4" fillId="2" borderId="46" xfId="7" applyNumberFormat="1" applyFill="1" applyBorder="1" applyAlignment="1"/>
    <xf numFmtId="170" fontId="28" fillId="2" borderId="65" xfId="7" applyNumberFormat="1" applyFont="1" applyFill="1" applyBorder="1" applyAlignment="1"/>
    <xf numFmtId="170" fontId="4" fillId="2" borderId="51" xfId="7" applyNumberFormat="1" applyFill="1" applyBorder="1" applyAlignment="1"/>
    <xf numFmtId="170" fontId="14" fillId="14" borderId="70" xfId="7" applyNumberFormat="1" applyFont="1" applyFill="1" applyBorder="1" applyAlignment="1"/>
    <xf numFmtId="170" fontId="4" fillId="14" borderId="71" xfId="7" applyNumberFormat="1" applyFill="1" applyBorder="1" applyAlignment="1"/>
    <xf numFmtId="9" fontId="21" fillId="0" borderId="98" xfId="11" applyNumberFormat="1" applyFont="1" applyFill="1" applyBorder="1"/>
    <xf numFmtId="9" fontId="21" fillId="0" borderId="105" xfId="11" applyFont="1" applyFill="1" applyBorder="1"/>
    <xf numFmtId="9" fontId="21" fillId="0" borderId="129" xfId="11" applyFont="1" applyFill="1" applyBorder="1"/>
    <xf numFmtId="9" fontId="21" fillId="0" borderId="98" xfId="11" applyFont="1" applyFill="1" applyBorder="1"/>
    <xf numFmtId="9" fontId="28" fillId="14" borderId="122" xfId="11" applyFont="1" applyFill="1" applyBorder="1" applyAlignment="1">
      <alignment horizontal="center"/>
    </xf>
    <xf numFmtId="9" fontId="21" fillId="14" borderId="98" xfId="11" applyFont="1" applyFill="1" applyBorder="1"/>
    <xf numFmtId="9" fontId="21" fillId="14" borderId="105" xfId="11" applyFont="1" applyFill="1" applyBorder="1"/>
    <xf numFmtId="9" fontId="21" fillId="14" borderId="129" xfId="11" applyFont="1" applyFill="1" applyBorder="1"/>
    <xf numFmtId="9" fontId="28" fillId="14" borderId="118" xfId="11" applyFont="1" applyFill="1" applyBorder="1" applyAlignment="1">
      <alignment horizontal="center"/>
    </xf>
    <xf numFmtId="9" fontId="28" fillId="14" borderId="106" xfId="11" applyFont="1" applyFill="1" applyBorder="1" applyAlignment="1">
      <alignment horizontal="center"/>
    </xf>
    <xf numFmtId="9" fontId="21" fillId="14" borderId="100" xfId="11" applyFont="1" applyFill="1" applyBorder="1"/>
    <xf numFmtId="9" fontId="21" fillId="14" borderId="109" xfId="11" applyFont="1" applyFill="1" applyBorder="1"/>
    <xf numFmtId="9" fontId="21" fillId="14" borderId="81" xfId="11" applyFont="1" applyFill="1" applyBorder="1"/>
    <xf numFmtId="3" fontId="4" fillId="0" borderId="0" xfId="7" applyNumberFormat="1" applyFont="1" applyFill="1" applyBorder="1"/>
    <xf numFmtId="0" fontId="4" fillId="0" borderId="0" xfId="11" applyNumberFormat="1" applyFont="1" applyFill="1" applyBorder="1" applyAlignment="1">
      <alignment horizontal="center"/>
    </xf>
    <xf numFmtId="170" fontId="4" fillId="14" borderId="5" xfId="7" applyNumberFormat="1" applyFill="1" applyBorder="1"/>
    <xf numFmtId="0" fontId="13" fillId="0" borderId="116" xfId="7" applyFont="1" applyFill="1" applyBorder="1" applyAlignment="1">
      <alignment horizontal="left" vertical="center" wrapText="1"/>
    </xf>
    <xf numFmtId="9" fontId="28" fillId="0" borderId="95" xfId="12" applyNumberFormat="1" applyFont="1" applyFill="1" applyBorder="1" applyAlignment="1">
      <alignment horizontal="center"/>
    </xf>
    <xf numFmtId="9" fontId="21" fillId="0" borderId="102" xfId="12" applyNumberFormat="1" applyFont="1" applyFill="1" applyBorder="1"/>
    <xf numFmtId="9" fontId="21" fillId="0" borderId="103" xfId="12" quotePrefix="1" applyNumberFormat="1" applyFont="1" applyFill="1" applyBorder="1" applyAlignment="1">
      <alignment horizontal="right"/>
    </xf>
    <xf numFmtId="0" fontId="13" fillId="0" borderId="74" xfId="7" applyFont="1" applyFill="1" applyBorder="1" applyAlignment="1">
      <alignment horizontal="left" vertical="center" wrapText="1"/>
    </xf>
    <xf numFmtId="9" fontId="28" fillId="0" borderId="78" xfId="12" applyFont="1" applyFill="1" applyBorder="1" applyAlignment="1">
      <alignment horizontal="center"/>
    </xf>
    <xf numFmtId="9" fontId="21" fillId="0" borderId="117" xfId="12" applyFont="1" applyFill="1" applyBorder="1"/>
    <xf numFmtId="9" fontId="21" fillId="0" borderId="117" xfId="12" applyFont="1" applyFill="1" applyBorder="1" applyAlignment="1">
      <alignment horizontal="right"/>
    </xf>
    <xf numFmtId="9" fontId="21" fillId="0" borderId="80" xfId="12" applyFont="1" applyFill="1" applyBorder="1" applyAlignment="1">
      <alignment horizontal="right"/>
    </xf>
    <xf numFmtId="0" fontId="13" fillId="0" borderId="81" xfId="7" applyFont="1" applyFill="1" applyBorder="1" applyAlignment="1">
      <alignment horizontal="left" vertical="center" wrapText="1"/>
    </xf>
    <xf numFmtId="9" fontId="28" fillId="0" borderId="118" xfId="12" applyFont="1" applyFill="1" applyBorder="1" applyAlignment="1">
      <alignment horizontal="center"/>
    </xf>
    <xf numFmtId="9" fontId="21" fillId="0" borderId="108" xfId="12" applyFont="1" applyFill="1" applyBorder="1"/>
    <xf numFmtId="9" fontId="21" fillId="0" borderId="108" xfId="12" applyFont="1" applyFill="1" applyBorder="1" applyAlignment="1">
      <alignment horizontal="right"/>
    </xf>
    <xf numFmtId="9" fontId="21" fillId="0" borderId="109" xfId="12" applyFont="1" applyFill="1" applyBorder="1" applyAlignment="1">
      <alignment horizontal="right"/>
    </xf>
    <xf numFmtId="9" fontId="28" fillId="0" borderId="0" xfId="12" applyFont="1" applyAlignment="1">
      <alignment horizontal="center"/>
    </xf>
    <xf numFmtId="0" fontId="17" fillId="6" borderId="26" xfId="7" applyFont="1" applyFill="1" applyBorder="1" applyAlignment="1">
      <alignment horizontal="left"/>
    </xf>
    <xf numFmtId="0" fontId="17" fillId="6" borderId="24" xfId="7" applyFont="1" applyFill="1" applyBorder="1" applyAlignment="1">
      <alignment horizontal="left"/>
    </xf>
    <xf numFmtId="0" fontId="17" fillId="6" borderId="24" xfId="7" applyFont="1" applyFill="1" applyBorder="1" applyAlignment="1">
      <alignment horizontal="center"/>
    </xf>
    <xf numFmtId="170" fontId="17" fillId="6" borderId="26" xfId="7" applyNumberFormat="1" applyFont="1" applyFill="1" applyBorder="1" applyAlignment="1">
      <alignment horizontal="center"/>
    </xf>
    <xf numFmtId="3" fontId="17" fillId="6" borderId="24" xfId="7" applyNumberFormat="1" applyFont="1" applyFill="1" applyBorder="1" applyAlignment="1">
      <alignment horizontal="center"/>
    </xf>
    <xf numFmtId="3" fontId="17" fillId="6" borderId="101" xfId="7" applyNumberFormat="1" applyFont="1" applyFill="1" applyBorder="1" applyAlignment="1">
      <alignment horizontal="center"/>
    </xf>
    <xf numFmtId="3" fontId="17" fillId="6" borderId="26" xfId="7" applyNumberFormat="1" applyFont="1" applyFill="1" applyBorder="1" applyAlignment="1">
      <alignment horizontal="center"/>
    </xf>
    <xf numFmtId="0" fontId="4" fillId="7" borderId="132" xfId="7" applyFill="1" applyBorder="1" applyAlignment="1">
      <alignment horizontal="center"/>
    </xf>
    <xf numFmtId="3" fontId="14" fillId="7" borderId="61" xfId="7" applyNumberFormat="1" applyFont="1" applyFill="1" applyBorder="1" applyAlignment="1">
      <alignment horizontal="center"/>
    </xf>
    <xf numFmtId="3" fontId="4" fillId="7" borderId="47" xfId="7" applyNumberFormat="1" applyFill="1" applyBorder="1" applyAlignment="1">
      <alignment horizontal="center"/>
    </xf>
    <xf numFmtId="3" fontId="4" fillId="7" borderId="30" xfId="7" applyNumberFormat="1" applyFill="1" applyBorder="1" applyAlignment="1">
      <alignment horizontal="center"/>
    </xf>
    <xf numFmtId="3" fontId="4" fillId="7" borderId="133" xfId="7" applyNumberFormat="1" applyFill="1" applyBorder="1" applyAlignment="1">
      <alignment horizontal="center"/>
    </xf>
    <xf numFmtId="170" fontId="17" fillId="6" borderId="61" xfId="7" applyNumberFormat="1" applyFont="1" applyFill="1" applyBorder="1" applyAlignment="1">
      <alignment horizontal="center"/>
    </xf>
    <xf numFmtId="170" fontId="17" fillId="6" borderId="48" xfId="7" applyNumberFormat="1" applyFont="1" applyFill="1" applyBorder="1" applyAlignment="1">
      <alignment horizontal="center"/>
    </xf>
    <xf numFmtId="3" fontId="17" fillId="6" borderId="30" xfId="7" applyNumberFormat="1" applyFont="1" applyFill="1" applyBorder="1" applyAlignment="1">
      <alignment horizontal="center"/>
    </xf>
    <xf numFmtId="3" fontId="17" fillId="6" borderId="48" xfId="7" applyNumberFormat="1" applyFont="1" applyFill="1" applyBorder="1" applyAlignment="1">
      <alignment horizontal="center"/>
    </xf>
    <xf numFmtId="3" fontId="14" fillId="17" borderId="4" xfId="7" applyNumberFormat="1" applyFont="1" applyFill="1" applyBorder="1" applyAlignment="1">
      <alignment horizontal="center"/>
    </xf>
    <xf numFmtId="3" fontId="4" fillId="17" borderId="30" xfId="7" applyNumberFormat="1" applyFill="1" applyBorder="1" applyAlignment="1">
      <alignment horizontal="center"/>
    </xf>
    <xf numFmtId="0" fontId="4" fillId="7" borderId="93" xfId="7" applyFill="1" applyBorder="1" applyAlignment="1">
      <alignment horizontal="center"/>
    </xf>
    <xf numFmtId="3" fontId="14" fillId="7" borderId="4" xfId="7" applyNumberFormat="1" applyFont="1" applyFill="1" applyBorder="1" applyAlignment="1">
      <alignment horizontal="center"/>
    </xf>
    <xf numFmtId="3" fontId="4" fillId="7" borderId="65" xfId="7" applyNumberFormat="1" applyFill="1" applyBorder="1" applyAlignment="1">
      <alignment horizontal="center"/>
    </xf>
    <xf numFmtId="3" fontId="4" fillId="7" borderId="31" xfId="7" applyNumberFormat="1" applyFill="1" applyBorder="1" applyAlignment="1">
      <alignment horizontal="center"/>
    </xf>
    <xf numFmtId="3" fontId="4" fillId="7" borderId="51" xfId="7" applyNumberFormat="1" applyFill="1" applyBorder="1" applyAlignment="1">
      <alignment horizontal="center"/>
    </xf>
    <xf numFmtId="0" fontId="4" fillId="7" borderId="93" xfId="7" applyFont="1" applyFill="1" applyBorder="1" applyAlignment="1">
      <alignment horizontal="center"/>
    </xf>
    <xf numFmtId="3" fontId="14" fillId="17" borderId="0" xfId="7" applyNumberFormat="1" applyFont="1" applyFill="1" applyBorder="1" applyAlignment="1">
      <alignment horizontal="center"/>
    </xf>
    <xf numFmtId="3" fontId="4" fillId="17" borderId="0" xfId="7" applyNumberFormat="1" applyFill="1" applyBorder="1" applyAlignment="1">
      <alignment horizontal="center"/>
    </xf>
    <xf numFmtId="0" fontId="28" fillId="0" borderId="95" xfId="7" applyFont="1" applyFill="1" applyBorder="1"/>
    <xf numFmtId="9" fontId="14" fillId="7" borderId="1" xfId="11" applyFont="1" applyFill="1" applyBorder="1" applyAlignment="1">
      <alignment horizontal="center"/>
    </xf>
    <xf numFmtId="9" fontId="14" fillId="7" borderId="83" xfId="11" applyFont="1" applyFill="1" applyBorder="1" applyAlignment="1">
      <alignment horizontal="center"/>
    </xf>
    <xf numFmtId="0" fontId="28" fillId="0" borderId="78" xfId="7" applyFont="1" applyFill="1" applyBorder="1"/>
    <xf numFmtId="9" fontId="14" fillId="7" borderId="4" xfId="11" applyFont="1" applyFill="1" applyBorder="1" applyAlignment="1">
      <alignment horizontal="center"/>
    </xf>
    <xf numFmtId="9" fontId="14" fillId="7" borderId="93" xfId="11" applyFont="1" applyFill="1" applyBorder="1" applyAlignment="1">
      <alignment horizontal="center"/>
    </xf>
    <xf numFmtId="9" fontId="14" fillId="0" borderId="0" xfId="11" applyFont="1" applyFill="1" applyBorder="1" applyAlignment="1">
      <alignment horizontal="center"/>
    </xf>
    <xf numFmtId="0" fontId="43" fillId="0" borderId="0" xfId="7" applyFont="1"/>
    <xf numFmtId="0" fontId="44" fillId="0" borderId="0" xfId="7" applyFont="1"/>
    <xf numFmtId="0" fontId="42" fillId="0" borderId="0" xfId="7" applyFont="1"/>
    <xf numFmtId="0" fontId="27" fillId="9" borderId="101" xfId="7" applyFont="1" applyFill="1" applyBorder="1" applyAlignment="1">
      <alignment horizontal="center" vertical="center"/>
    </xf>
    <xf numFmtId="0" fontId="27" fillId="9" borderId="101" xfId="7" applyFont="1" applyFill="1" applyBorder="1" applyAlignment="1">
      <alignment horizontal="center" vertical="center" wrapText="1"/>
    </xf>
    <xf numFmtId="0" fontId="14" fillId="0" borderId="46" xfId="7" applyFont="1" applyFill="1" applyBorder="1" applyAlignment="1">
      <alignment horizontal="center" vertical="center"/>
    </xf>
    <xf numFmtId="0" fontId="14" fillId="0" borderId="31" xfId="7" applyFont="1" applyFill="1" applyBorder="1" applyAlignment="1">
      <alignment horizontal="right" vertical="center" wrapText="1" indent="6"/>
    </xf>
    <xf numFmtId="0" fontId="4" fillId="0" borderId="46" xfId="7" applyFill="1" applyBorder="1" applyAlignment="1">
      <alignment horizontal="center"/>
    </xf>
    <xf numFmtId="2" fontId="4" fillId="0" borderId="31" xfId="7" applyNumberFormat="1" applyFill="1" applyBorder="1" applyAlignment="1">
      <alignment horizontal="right" indent="6"/>
    </xf>
    <xf numFmtId="0" fontId="4" fillId="0" borderId="46" xfId="7" applyFont="1" applyFill="1" applyBorder="1" applyAlignment="1">
      <alignment horizontal="center"/>
    </xf>
    <xf numFmtId="0" fontId="4" fillId="0" borderId="0" xfId="7" applyFont="1" applyAlignment="1">
      <alignment wrapText="1"/>
    </xf>
    <xf numFmtId="0" fontId="13" fillId="0" borderId="134" xfId="7" applyFont="1" applyFill="1" applyBorder="1"/>
    <xf numFmtId="9" fontId="14" fillId="0" borderId="134" xfId="11" applyFont="1" applyFill="1" applyBorder="1" applyAlignment="1">
      <alignment horizontal="right" vertical="center" indent="6"/>
    </xf>
    <xf numFmtId="0" fontId="13" fillId="0" borderId="33" xfId="7" applyFont="1" applyFill="1" applyBorder="1"/>
    <xf numFmtId="9" fontId="14" fillId="0" borderId="33" xfId="11" applyFont="1" applyFill="1" applyBorder="1" applyAlignment="1">
      <alignment horizontal="right" vertical="center" indent="6"/>
    </xf>
    <xf numFmtId="0" fontId="41" fillId="0" borderId="0" xfId="7" applyFont="1"/>
    <xf numFmtId="0" fontId="31" fillId="2" borderId="0" xfId="7" applyFont="1" applyFill="1"/>
    <xf numFmtId="0" fontId="27" fillId="9" borderId="135" xfId="7" applyFont="1" applyFill="1" applyBorder="1" applyAlignment="1">
      <alignment horizontal="centerContinuous"/>
    </xf>
    <xf numFmtId="0" fontId="27" fillId="9" borderId="136" xfId="7" applyFont="1" applyFill="1" applyBorder="1" applyAlignment="1">
      <alignment horizontal="centerContinuous"/>
    </xf>
    <xf numFmtId="0" fontId="32" fillId="9" borderId="137" xfId="7" applyFont="1" applyFill="1" applyBorder="1" applyAlignment="1">
      <alignment horizontal="centerContinuous"/>
    </xf>
    <xf numFmtId="0" fontId="27" fillId="9" borderId="138" xfId="7" applyFont="1" applyFill="1" applyBorder="1" applyAlignment="1">
      <alignment horizontal="centerContinuous"/>
    </xf>
    <xf numFmtId="0" fontId="32" fillId="9" borderId="136" xfId="7" applyFont="1" applyFill="1" applyBorder="1" applyAlignment="1">
      <alignment horizontal="centerContinuous"/>
    </xf>
    <xf numFmtId="0" fontId="32" fillId="9" borderId="139" xfId="7" applyFont="1" applyFill="1" applyBorder="1" applyAlignment="1">
      <alignment horizontal="centerContinuous"/>
    </xf>
    <xf numFmtId="0" fontId="27" fillId="9" borderId="6" xfId="7" applyFont="1" applyFill="1" applyBorder="1" applyAlignment="1">
      <alignment horizontal="center"/>
    </xf>
    <xf numFmtId="0" fontId="34" fillId="9" borderId="114" xfId="7" applyFont="1" applyFill="1" applyBorder="1" applyAlignment="1">
      <alignment horizontal="center"/>
    </xf>
    <xf numFmtId="0" fontId="34" fillId="9" borderId="91" xfId="7" applyFont="1" applyFill="1" applyBorder="1" applyAlignment="1">
      <alignment horizontal="center"/>
    </xf>
    <xf numFmtId="0" fontId="34" fillId="9" borderId="90" xfId="7" applyFont="1" applyFill="1" applyBorder="1" applyAlignment="1">
      <alignment horizontal="center"/>
    </xf>
    <xf numFmtId="0" fontId="34" fillId="9" borderId="70" xfId="7" applyFont="1" applyFill="1" applyBorder="1" applyAlignment="1">
      <alignment horizontal="center"/>
    </xf>
    <xf numFmtId="0" fontId="34" fillId="9" borderId="7" xfId="7" applyFont="1" applyFill="1" applyBorder="1" applyAlignment="1">
      <alignment horizontal="center"/>
    </xf>
    <xf numFmtId="0" fontId="34" fillId="9" borderId="8" xfId="7" applyFont="1" applyFill="1" applyBorder="1" applyAlignment="1">
      <alignment horizontal="center"/>
    </xf>
    <xf numFmtId="170" fontId="14" fillId="7" borderId="4" xfId="7" applyNumberFormat="1" applyFont="1" applyFill="1" applyBorder="1" applyAlignment="1">
      <alignment horizontal="right" indent="1"/>
    </xf>
    <xf numFmtId="170" fontId="4" fillId="7" borderId="46" xfId="7" applyNumberFormat="1" applyFill="1" applyBorder="1" applyAlignment="1">
      <alignment horizontal="right" indent="1"/>
    </xf>
    <xf numFmtId="170" fontId="4" fillId="7" borderId="31" xfId="7" applyNumberFormat="1" applyFill="1" applyBorder="1" applyAlignment="1">
      <alignment horizontal="right" indent="1"/>
    </xf>
    <xf numFmtId="170" fontId="4" fillId="7" borderId="0" xfId="7" applyNumberFormat="1" applyFill="1" applyBorder="1" applyAlignment="1">
      <alignment horizontal="right" indent="1"/>
    </xf>
    <xf numFmtId="170" fontId="4" fillId="7" borderId="51" xfId="7" applyNumberFormat="1" applyFill="1" applyBorder="1" applyAlignment="1">
      <alignment horizontal="right" indent="1"/>
    </xf>
    <xf numFmtId="3" fontId="14" fillId="7" borderId="4" xfId="7" applyNumberFormat="1" applyFont="1" applyFill="1" applyBorder="1" applyAlignment="1">
      <alignment horizontal="right" indent="1"/>
    </xf>
    <xf numFmtId="3" fontId="4" fillId="7" borderId="46" xfId="7" applyNumberFormat="1" applyFill="1" applyBorder="1" applyAlignment="1">
      <alignment horizontal="right" indent="1"/>
    </xf>
    <xf numFmtId="3" fontId="4" fillId="7" borderId="31" xfId="7" applyNumberFormat="1" applyFill="1" applyBorder="1" applyAlignment="1">
      <alignment horizontal="right" indent="1"/>
    </xf>
    <xf numFmtId="3" fontId="4" fillId="7" borderId="0" xfId="7" applyNumberFormat="1" applyFill="1" applyBorder="1" applyAlignment="1">
      <alignment horizontal="right" indent="1"/>
    </xf>
    <xf numFmtId="3" fontId="4" fillId="7" borderId="51" xfId="7" applyNumberFormat="1" applyFill="1" applyBorder="1" applyAlignment="1">
      <alignment horizontal="right" indent="1"/>
    </xf>
    <xf numFmtId="3" fontId="4" fillId="7" borderId="45" xfId="7" applyNumberFormat="1" applyFill="1" applyBorder="1" applyAlignment="1">
      <alignment horizontal="right" indent="1"/>
    </xf>
    <xf numFmtId="3" fontId="14" fillId="0" borderId="4" xfId="7" applyNumberFormat="1" applyFont="1" applyFill="1" applyBorder="1" applyAlignment="1">
      <alignment horizontal="right" indent="1"/>
    </xf>
    <xf numFmtId="3" fontId="4" fillId="0" borderId="46" xfId="7" applyNumberFormat="1" applyFill="1" applyBorder="1" applyAlignment="1">
      <alignment horizontal="right" indent="1"/>
    </xf>
    <xf numFmtId="3" fontId="4" fillId="0" borderId="31" xfId="7" applyNumberFormat="1" applyFill="1" applyBorder="1" applyAlignment="1">
      <alignment horizontal="right" indent="1"/>
    </xf>
    <xf numFmtId="0" fontId="4" fillId="2" borderId="0" xfId="7" applyFill="1" applyAlignment="1">
      <alignment vertical="center"/>
    </xf>
    <xf numFmtId="0" fontId="4" fillId="7" borderId="88" xfId="7" applyFill="1" applyBorder="1" applyAlignment="1">
      <alignment horizontal="center"/>
    </xf>
    <xf numFmtId="3" fontId="14" fillId="7" borderId="6" xfId="7" applyNumberFormat="1" applyFont="1" applyFill="1" applyBorder="1" applyAlignment="1">
      <alignment horizontal="right" indent="1"/>
    </xf>
    <xf numFmtId="3" fontId="4" fillId="7" borderId="114" xfId="7" applyNumberFormat="1" applyFill="1" applyBorder="1" applyAlignment="1">
      <alignment horizontal="right" indent="1"/>
    </xf>
    <xf numFmtId="3" fontId="4" fillId="7" borderId="68" xfId="7" applyNumberFormat="1" applyFill="1" applyBorder="1" applyAlignment="1">
      <alignment horizontal="right" indent="1"/>
    </xf>
    <xf numFmtId="3" fontId="4" fillId="7" borderId="71" xfId="7" applyNumberFormat="1" applyFill="1" applyBorder="1" applyAlignment="1">
      <alignment horizontal="right" indent="1"/>
    </xf>
    <xf numFmtId="0" fontId="4" fillId="0" borderId="0" xfId="7" applyAlignment="1">
      <alignment vertical="center"/>
    </xf>
    <xf numFmtId="0" fontId="28" fillId="7" borderId="94" xfId="7" applyFont="1" applyFill="1" applyBorder="1" applyAlignment="1">
      <alignment vertical="center"/>
    </xf>
    <xf numFmtId="9" fontId="28" fillId="7" borderId="140" xfId="11" applyNumberFormat="1" applyFont="1" applyFill="1" applyBorder="1" applyAlignment="1">
      <alignment horizontal="right" vertical="center" indent="1"/>
    </xf>
    <xf numFmtId="0" fontId="28" fillId="7" borderId="141" xfId="7" applyFont="1" applyFill="1" applyBorder="1" applyAlignment="1">
      <alignment vertical="center"/>
    </xf>
    <xf numFmtId="9" fontId="28" fillId="7" borderId="79" xfId="11" applyFont="1" applyFill="1" applyBorder="1" applyAlignment="1">
      <alignment horizontal="right" vertical="center" indent="1"/>
    </xf>
    <xf numFmtId="179" fontId="4" fillId="2" borderId="0" xfId="11" applyNumberFormat="1" applyFont="1" applyFill="1"/>
    <xf numFmtId="175" fontId="4" fillId="2" borderId="0" xfId="7" applyNumberFormat="1" applyFill="1"/>
    <xf numFmtId="0" fontId="27" fillId="9" borderId="143" xfId="7" applyFont="1" applyFill="1" applyBorder="1" applyAlignment="1">
      <alignment horizontal="center"/>
    </xf>
    <xf numFmtId="0" fontId="27" fillId="9" borderId="120" xfId="7" applyFont="1" applyFill="1" applyBorder="1" applyAlignment="1">
      <alignment horizontal="center"/>
    </xf>
    <xf numFmtId="0" fontId="27" fillId="9" borderId="144" xfId="7" applyFont="1" applyFill="1" applyBorder="1" applyAlignment="1">
      <alignment horizontal="center"/>
    </xf>
    <xf numFmtId="0" fontId="4" fillId="7" borderId="84" xfId="7" applyFill="1" applyBorder="1"/>
    <xf numFmtId="3" fontId="14" fillId="7" borderId="45" xfId="7" applyNumberFormat="1" applyFont="1" applyFill="1" applyBorder="1" applyAlignment="1">
      <alignment horizontal="center"/>
    </xf>
    <xf numFmtId="3" fontId="28" fillId="7" borderId="31" xfId="7" applyNumberFormat="1" applyFont="1" applyFill="1" applyBorder="1" applyAlignment="1">
      <alignment horizontal="center"/>
    </xf>
    <xf numFmtId="3" fontId="4" fillId="7" borderId="0" xfId="7" applyNumberFormat="1" applyFill="1" applyBorder="1" applyAlignment="1">
      <alignment horizontal="center"/>
    </xf>
    <xf numFmtId="3" fontId="28" fillId="7" borderId="65" xfId="7" applyNumberFormat="1" applyFont="1" applyFill="1" applyBorder="1" applyAlignment="1">
      <alignment horizontal="center"/>
    </xf>
    <xf numFmtId="3" fontId="4" fillId="7" borderId="5" xfId="7" applyNumberFormat="1" applyFill="1" applyBorder="1" applyAlignment="1">
      <alignment horizontal="center"/>
    </xf>
    <xf numFmtId="3" fontId="4" fillId="7" borderId="46" xfId="7" applyNumberFormat="1" applyFill="1" applyBorder="1" applyAlignment="1">
      <alignment horizontal="center"/>
    </xf>
    <xf numFmtId="3" fontId="14" fillId="0" borderId="45" xfId="7" applyNumberFormat="1" applyFont="1" applyFill="1" applyBorder="1" applyAlignment="1">
      <alignment horizontal="center"/>
    </xf>
    <xf numFmtId="3" fontId="28" fillId="0" borderId="31" xfId="7" applyNumberFormat="1" applyFont="1" applyFill="1" applyBorder="1" applyAlignment="1">
      <alignment horizontal="center"/>
    </xf>
    <xf numFmtId="3" fontId="4" fillId="0" borderId="46" xfId="7" applyNumberFormat="1" applyFill="1" applyBorder="1" applyAlignment="1">
      <alignment horizontal="center"/>
    </xf>
    <xf numFmtId="3" fontId="4" fillId="0" borderId="31" xfId="7" applyNumberFormat="1" applyFill="1" applyBorder="1" applyAlignment="1">
      <alignment horizontal="center"/>
    </xf>
    <xf numFmtId="3" fontId="4" fillId="0" borderId="0" xfId="7" applyNumberFormat="1" applyFill="1" applyBorder="1" applyAlignment="1">
      <alignment horizontal="center"/>
    </xf>
    <xf numFmtId="3" fontId="28" fillId="0" borderId="65" xfId="7" applyNumberFormat="1" applyFont="1" applyFill="1" applyBorder="1" applyAlignment="1">
      <alignment horizontal="center"/>
    </xf>
    <xf numFmtId="3" fontId="4" fillId="0" borderId="5" xfId="7" applyNumberFormat="1" applyFill="1" applyBorder="1" applyAlignment="1">
      <alignment horizontal="center"/>
    </xf>
    <xf numFmtId="3" fontId="4" fillId="0" borderId="5" xfId="7" applyNumberFormat="1" applyFont="1" applyFill="1" applyBorder="1" applyAlignment="1">
      <alignment horizontal="center"/>
    </xf>
    <xf numFmtId="3" fontId="28" fillId="0" borderId="71" xfId="7" applyNumberFormat="1" applyFont="1" applyFill="1" applyBorder="1" applyAlignment="1">
      <alignment horizontal="center"/>
    </xf>
    <xf numFmtId="3" fontId="14" fillId="0" borderId="70" xfId="7" applyNumberFormat="1" applyFont="1" applyFill="1" applyBorder="1" applyAlignment="1">
      <alignment horizontal="center"/>
    </xf>
    <xf numFmtId="3" fontId="4" fillId="0" borderId="68" xfId="7" applyNumberFormat="1" applyFill="1" applyBorder="1" applyAlignment="1">
      <alignment horizontal="center"/>
    </xf>
    <xf numFmtId="3" fontId="28" fillId="0" borderId="69" xfId="7" applyNumberFormat="1" applyFont="1" applyFill="1" applyBorder="1" applyAlignment="1">
      <alignment horizontal="center"/>
    </xf>
    <xf numFmtId="3" fontId="4" fillId="0" borderId="114" xfId="7" applyNumberFormat="1" applyFill="1" applyBorder="1" applyAlignment="1">
      <alignment horizontal="center"/>
    </xf>
    <xf numFmtId="3" fontId="4" fillId="0" borderId="8" xfId="7" applyNumberFormat="1" applyFill="1" applyBorder="1" applyAlignment="1">
      <alignment horizontal="center"/>
    </xf>
    <xf numFmtId="9" fontId="28" fillId="2" borderId="2" xfId="11" applyFont="1" applyFill="1" applyBorder="1" applyAlignment="1">
      <alignment horizontal="center" vertical="center"/>
    </xf>
    <xf numFmtId="0" fontId="4" fillId="2" borderId="2" xfId="7" applyFill="1" applyBorder="1" applyAlignment="1">
      <alignment vertical="center"/>
    </xf>
    <xf numFmtId="0" fontId="28" fillId="0" borderId="96" xfId="7" applyFont="1" applyFill="1" applyBorder="1" applyAlignment="1">
      <alignment horizontal="left" wrapText="1"/>
    </xf>
    <xf numFmtId="9" fontId="28" fillId="0" borderId="74" xfId="11" applyFont="1" applyFill="1" applyBorder="1" applyAlignment="1">
      <alignment horizontal="center" vertical="center"/>
    </xf>
    <xf numFmtId="9" fontId="28" fillId="0" borderId="80" xfId="11" applyFont="1" applyFill="1" applyBorder="1" applyAlignment="1">
      <alignment horizontal="center" vertical="center"/>
    </xf>
    <xf numFmtId="9" fontId="28" fillId="2" borderId="0" xfId="11" applyFont="1" applyFill="1" applyBorder="1" applyAlignment="1">
      <alignment horizontal="center" vertical="center"/>
    </xf>
    <xf numFmtId="9" fontId="28" fillId="0" borderId="141" xfId="11" applyFont="1" applyFill="1" applyBorder="1" applyAlignment="1">
      <alignment horizontal="center" vertical="center"/>
    </xf>
    <xf numFmtId="0" fontId="4" fillId="2" borderId="0" xfId="7" applyFill="1" applyBorder="1" applyAlignment="1">
      <alignment vertical="center"/>
    </xf>
    <xf numFmtId="9" fontId="28" fillId="0" borderId="79" xfId="11" applyFont="1" applyFill="1" applyBorder="1" applyAlignment="1">
      <alignment horizontal="center" vertical="center"/>
    </xf>
    <xf numFmtId="0" fontId="28" fillId="0" borderId="99" xfId="7" applyFont="1" applyFill="1" applyBorder="1" applyAlignment="1">
      <alignment horizontal="left" wrapText="1"/>
    </xf>
    <xf numFmtId="9" fontId="28" fillId="0" borderId="6" xfId="11" applyFont="1" applyFill="1" applyBorder="1" applyAlignment="1">
      <alignment horizontal="center" vertical="center"/>
    </xf>
    <xf numFmtId="9" fontId="28" fillId="0" borderId="71" xfId="11" applyFont="1" applyFill="1" applyBorder="1" applyAlignment="1">
      <alignment horizontal="center" vertical="center"/>
    </xf>
    <xf numFmtId="9" fontId="28" fillId="0" borderId="88" xfId="11" applyFont="1" applyFill="1" applyBorder="1" applyAlignment="1">
      <alignment horizontal="center" vertical="center"/>
    </xf>
    <xf numFmtId="9" fontId="4" fillId="2" borderId="0" xfId="11" applyFill="1" applyBorder="1" applyAlignment="1">
      <alignment vertical="center"/>
    </xf>
    <xf numFmtId="9" fontId="28" fillId="0" borderId="69" xfId="11" applyFont="1" applyFill="1" applyBorder="1" applyAlignment="1">
      <alignment horizontal="center" vertical="center"/>
    </xf>
    <xf numFmtId="9" fontId="28" fillId="0" borderId="70" xfId="11" applyFont="1" applyFill="1" applyBorder="1" applyAlignment="1">
      <alignment horizontal="center" vertical="center"/>
    </xf>
    <xf numFmtId="9" fontId="28" fillId="2" borderId="0" xfId="11" applyFont="1" applyFill="1" applyAlignment="1">
      <alignment horizontal="center"/>
    </xf>
    <xf numFmtId="9" fontId="28" fillId="2" borderId="0" xfId="11" applyNumberFormat="1" applyFont="1" applyFill="1" applyAlignment="1">
      <alignment horizontal="center"/>
    </xf>
    <xf numFmtId="9" fontId="14" fillId="2" borderId="0" xfId="11" applyFont="1" applyFill="1" applyAlignment="1">
      <alignment horizontal="center"/>
    </xf>
    <xf numFmtId="9" fontId="4" fillId="2" borderId="0" xfId="11" applyFill="1"/>
    <xf numFmtId="3" fontId="4" fillId="2" borderId="0" xfId="7" applyNumberFormat="1" applyFill="1" applyBorder="1"/>
    <xf numFmtId="3" fontId="4" fillId="2" borderId="0" xfId="7" applyNumberFormat="1" applyFill="1"/>
    <xf numFmtId="3" fontId="4" fillId="7" borderId="4" xfId="7" applyNumberFormat="1" applyFont="1" applyFill="1" applyBorder="1" applyAlignment="1">
      <alignment horizontal="center"/>
    </xf>
    <xf numFmtId="3" fontId="14" fillId="7" borderId="65" xfId="7" applyNumberFormat="1" applyFont="1" applyFill="1" applyBorder="1" applyAlignment="1">
      <alignment horizontal="center"/>
    </xf>
    <xf numFmtId="3" fontId="4" fillId="0" borderId="4" xfId="7" applyNumberFormat="1" applyFont="1" applyFill="1" applyBorder="1" applyAlignment="1">
      <alignment horizontal="center"/>
    </xf>
    <xf numFmtId="3" fontId="14" fillId="0" borderId="4" xfId="7" applyNumberFormat="1" applyFont="1" applyFill="1" applyBorder="1" applyAlignment="1">
      <alignment horizontal="center"/>
    </xf>
    <xf numFmtId="3" fontId="4" fillId="0" borderId="51" xfId="7" applyNumberFormat="1" applyFill="1" applyBorder="1" applyAlignment="1">
      <alignment horizontal="center"/>
    </xf>
    <xf numFmtId="3" fontId="4" fillId="0" borderId="71" xfId="7" applyNumberFormat="1" applyFill="1" applyBorder="1" applyAlignment="1">
      <alignment horizontal="center"/>
    </xf>
    <xf numFmtId="0" fontId="28" fillId="0" borderId="94" xfId="7" applyFont="1" applyFill="1" applyBorder="1" applyAlignment="1">
      <alignment horizontal="left" vertical="center" wrapText="1"/>
    </xf>
    <xf numFmtId="9" fontId="28" fillId="0" borderId="110" xfId="11" applyFont="1" applyFill="1" applyBorder="1" applyAlignment="1">
      <alignment horizontal="center"/>
    </xf>
    <xf numFmtId="0" fontId="4" fillId="2" borderId="2" xfId="7" applyFill="1" applyBorder="1"/>
    <xf numFmtId="0" fontId="28" fillId="0" borderId="141" xfId="7" applyFont="1" applyFill="1" applyBorder="1" applyAlignment="1">
      <alignment horizontal="left" vertical="center" wrapText="1"/>
    </xf>
    <xf numFmtId="9" fontId="28" fillId="0" borderId="97" xfId="11" applyFont="1" applyFill="1" applyBorder="1" applyAlignment="1">
      <alignment horizontal="center"/>
    </xf>
    <xf numFmtId="0" fontId="27" fillId="9" borderId="61" xfId="7" applyFont="1" applyFill="1" applyBorder="1" applyAlignment="1">
      <alignment horizontal="center"/>
    </xf>
    <xf numFmtId="0" fontId="34" fillId="9" borderId="64" xfId="7" applyFont="1" applyFill="1" applyBorder="1" applyAlignment="1">
      <alignment horizontal="center"/>
    </xf>
    <xf numFmtId="0" fontId="34" fillId="9" borderId="61" xfId="7" applyFont="1" applyFill="1" applyBorder="1" applyAlignment="1">
      <alignment horizontal="center"/>
    </xf>
    <xf numFmtId="0" fontId="32" fillId="9" borderId="145" xfId="7" applyFont="1" applyFill="1" applyBorder="1" applyAlignment="1">
      <alignment horizontal="center"/>
    </xf>
    <xf numFmtId="170" fontId="27" fillId="9" borderId="52" xfId="7" applyNumberFormat="1" applyFont="1" applyFill="1" applyBorder="1"/>
    <xf numFmtId="170" fontId="32" fillId="9" borderId="146" xfId="7" applyNumberFormat="1" applyFont="1" applyFill="1" applyBorder="1"/>
    <xf numFmtId="170" fontId="32" fillId="9" borderId="52" xfId="7" applyNumberFormat="1" applyFont="1" applyFill="1" applyBorder="1"/>
    <xf numFmtId="0" fontId="4" fillId="7" borderId="132" xfId="7" applyFont="1" applyFill="1" applyBorder="1" applyAlignment="1">
      <alignment horizontal="center"/>
    </xf>
    <xf numFmtId="170" fontId="14" fillId="7" borderId="61" xfId="7" applyNumberFormat="1" applyFont="1" applyFill="1" applyBorder="1" applyAlignment="1">
      <alignment horizontal="right" indent="1"/>
    </xf>
    <xf numFmtId="170" fontId="4" fillId="7" borderId="30" xfId="7" applyNumberFormat="1" applyFont="1" applyFill="1" applyBorder="1" applyAlignment="1">
      <alignment horizontal="right" indent="1"/>
    </xf>
    <xf numFmtId="170" fontId="4" fillId="7" borderId="64" xfId="7" applyNumberFormat="1" applyFont="1" applyFill="1" applyBorder="1" applyAlignment="1">
      <alignment horizontal="right" indent="1"/>
    </xf>
    <xf numFmtId="170" fontId="4" fillId="7" borderId="61" xfId="7" applyNumberFormat="1" applyFont="1" applyFill="1" applyBorder="1" applyAlignment="1">
      <alignment horizontal="right" indent="1"/>
    </xf>
    <xf numFmtId="170" fontId="4" fillId="7" borderId="48" xfId="7" applyNumberFormat="1" applyFont="1" applyFill="1" applyBorder="1" applyAlignment="1">
      <alignment horizontal="right" indent="1"/>
    </xf>
    <xf numFmtId="170" fontId="4" fillId="7" borderId="31" xfId="7" applyNumberFormat="1" applyFont="1" applyFill="1" applyBorder="1" applyAlignment="1">
      <alignment horizontal="right" indent="1"/>
    </xf>
    <xf numFmtId="170" fontId="4" fillId="7" borderId="5" xfId="7" applyNumberFormat="1" applyFont="1" applyFill="1" applyBorder="1" applyAlignment="1">
      <alignment horizontal="right" indent="1"/>
    </xf>
    <xf numFmtId="170" fontId="4" fillId="7" borderId="4" xfId="7" applyNumberFormat="1" applyFont="1" applyFill="1" applyBorder="1" applyAlignment="1">
      <alignment horizontal="right" indent="1"/>
    </xf>
    <xf numFmtId="170" fontId="4" fillId="7" borderId="0" xfId="7" applyNumberFormat="1" applyFont="1" applyFill="1" applyBorder="1" applyAlignment="1">
      <alignment horizontal="right" indent="1"/>
    </xf>
    <xf numFmtId="172" fontId="4" fillId="10" borderId="0" xfId="7" applyNumberFormat="1" applyFill="1"/>
    <xf numFmtId="172" fontId="4" fillId="7" borderId="31" xfId="7" applyNumberFormat="1" applyFont="1" applyFill="1" applyBorder="1" applyAlignment="1">
      <alignment horizontal="right" indent="1"/>
    </xf>
    <xf numFmtId="0" fontId="4" fillId="10" borderId="0" xfId="7" applyFill="1" applyBorder="1"/>
    <xf numFmtId="0" fontId="4" fillId="2" borderId="93" xfId="7" applyFont="1" applyFill="1" applyBorder="1" applyAlignment="1">
      <alignment horizontal="center"/>
    </xf>
    <xf numFmtId="170" fontId="14" fillId="2" borderId="4" xfId="7" applyNumberFormat="1" applyFont="1" applyFill="1" applyBorder="1"/>
    <xf numFmtId="170" fontId="4" fillId="2" borderId="31" xfId="7" applyNumberFormat="1" applyFont="1" applyFill="1" applyBorder="1"/>
    <xf numFmtId="170" fontId="4" fillId="2" borderId="5" xfId="7" applyNumberFormat="1" applyFont="1" applyFill="1" applyBorder="1"/>
    <xf numFmtId="170" fontId="4" fillId="2" borderId="0" xfId="7" applyNumberFormat="1" applyFont="1" applyFill="1" applyBorder="1"/>
    <xf numFmtId="170" fontId="4" fillId="2" borderId="46" xfId="7" applyNumberFormat="1" applyFont="1" applyFill="1" applyBorder="1"/>
    <xf numFmtId="172" fontId="4" fillId="2" borderId="31" xfId="7" applyNumberFormat="1" applyFont="1" applyFill="1" applyBorder="1"/>
    <xf numFmtId="0" fontId="28" fillId="7" borderId="141" xfId="7" applyFont="1" applyFill="1" applyBorder="1"/>
    <xf numFmtId="9" fontId="28" fillId="7" borderId="74" xfId="11" applyNumberFormat="1" applyFont="1" applyFill="1" applyBorder="1" applyAlignment="1">
      <alignment horizontal="right" indent="1"/>
    </xf>
    <xf numFmtId="9" fontId="28" fillId="7" borderId="33" xfId="11" applyNumberFormat="1" applyFont="1" applyFill="1" applyBorder="1" applyAlignment="1">
      <alignment horizontal="right" indent="1"/>
    </xf>
    <xf numFmtId="9" fontId="28" fillId="7" borderId="79" xfId="11" applyNumberFormat="1" applyFont="1" applyFill="1" applyBorder="1" applyAlignment="1">
      <alignment horizontal="right" indent="1"/>
    </xf>
    <xf numFmtId="9" fontId="28" fillId="7" borderId="78" xfId="11" applyNumberFormat="1" applyFont="1" applyFill="1" applyBorder="1" applyAlignment="1">
      <alignment horizontal="right" indent="1"/>
    </xf>
    <xf numFmtId="1" fontId="28" fillId="7" borderId="33" xfId="11" applyNumberFormat="1" applyFont="1" applyFill="1" applyBorder="1" applyAlignment="1">
      <alignment horizontal="right" indent="1"/>
    </xf>
    <xf numFmtId="0" fontId="28" fillId="7" borderId="99" xfId="7" applyFont="1" applyFill="1" applyBorder="1"/>
    <xf numFmtId="9" fontId="28" fillId="7" borderId="81" xfId="11" applyFont="1" applyFill="1" applyBorder="1" applyAlignment="1">
      <alignment horizontal="right" indent="1"/>
    </xf>
    <xf numFmtId="9" fontId="28" fillId="7" borderId="100" xfId="11" applyFont="1" applyFill="1" applyBorder="1" applyAlignment="1">
      <alignment horizontal="right" indent="1"/>
    </xf>
    <xf numFmtId="9" fontId="28" fillId="7" borderId="148" xfId="11" applyFont="1" applyFill="1" applyBorder="1" applyAlignment="1">
      <alignment horizontal="right" indent="1"/>
    </xf>
    <xf numFmtId="9" fontId="28" fillId="7" borderId="118" xfId="11" applyFont="1" applyFill="1" applyBorder="1" applyAlignment="1">
      <alignment horizontal="right" indent="1"/>
    </xf>
    <xf numFmtId="0" fontId="45" fillId="10" borderId="0" xfId="7" applyFont="1" applyFill="1" applyBorder="1" applyAlignment="1">
      <alignment horizontal="center"/>
    </xf>
    <xf numFmtId="0" fontId="27" fillId="9" borderId="89" xfId="7" applyFont="1" applyFill="1" applyBorder="1" applyAlignment="1">
      <alignment horizontal="center"/>
    </xf>
    <xf numFmtId="0" fontId="4" fillId="7" borderId="84" xfId="7" applyFill="1" applyBorder="1" applyAlignment="1">
      <alignment horizontal="right" indent="1"/>
    </xf>
    <xf numFmtId="0" fontId="4" fillId="7" borderId="115" xfId="7" applyFill="1" applyBorder="1" applyAlignment="1">
      <alignment horizontal="right" indent="1"/>
    </xf>
    <xf numFmtId="0" fontId="4" fillId="7" borderId="35" xfId="7" applyFill="1" applyBorder="1" applyAlignment="1">
      <alignment horizontal="right" indent="1"/>
    </xf>
    <xf numFmtId="0" fontId="4" fillId="7" borderId="2" xfId="7" applyFill="1" applyBorder="1" applyAlignment="1">
      <alignment horizontal="right" indent="1"/>
    </xf>
    <xf numFmtId="0" fontId="4" fillId="7" borderId="83" xfId="7" applyFill="1" applyBorder="1" applyAlignment="1">
      <alignment horizontal="right" indent="1"/>
    </xf>
    <xf numFmtId="10" fontId="0" fillId="0" borderId="0" xfId="11" applyNumberFormat="1" applyFont="1"/>
    <xf numFmtId="170" fontId="14" fillId="7" borderId="45" xfId="7" applyNumberFormat="1" applyFont="1" applyFill="1" applyBorder="1" applyAlignment="1">
      <alignment horizontal="right" indent="1"/>
    </xf>
    <xf numFmtId="170" fontId="28" fillId="7" borderId="46" xfId="7" applyNumberFormat="1" applyFont="1" applyFill="1" applyBorder="1" applyAlignment="1">
      <alignment horizontal="right" indent="1"/>
    </xf>
    <xf numFmtId="170" fontId="28" fillId="2" borderId="93" xfId="7" applyNumberFormat="1" applyFont="1" applyFill="1" applyBorder="1" applyAlignment="1">
      <alignment horizontal="right" indent="1"/>
    </xf>
    <xf numFmtId="170" fontId="4" fillId="7" borderId="45" xfId="7" applyNumberFormat="1" applyFill="1" applyBorder="1" applyAlignment="1">
      <alignment horizontal="right" indent="1"/>
    </xf>
    <xf numFmtId="10" fontId="4" fillId="13" borderId="0" xfId="7" applyNumberFormat="1" applyFill="1"/>
    <xf numFmtId="10" fontId="4" fillId="0" borderId="0" xfId="7" applyNumberFormat="1"/>
    <xf numFmtId="180" fontId="4" fillId="0" borderId="0" xfId="7" applyNumberFormat="1"/>
    <xf numFmtId="173" fontId="4" fillId="0" borderId="0" xfId="7" applyNumberFormat="1"/>
    <xf numFmtId="10" fontId="14" fillId="0" borderId="0" xfId="11" applyNumberFormat="1" applyFont="1" applyAlignment="1">
      <alignment horizontal="center"/>
    </xf>
    <xf numFmtId="10" fontId="14" fillId="0" borderId="0" xfId="11" applyNumberFormat="1" applyFont="1" applyFill="1" applyAlignment="1">
      <alignment horizontal="center"/>
    </xf>
    <xf numFmtId="180" fontId="4" fillId="0" borderId="0" xfId="7" applyNumberFormat="1" applyFill="1"/>
    <xf numFmtId="173" fontId="4" fillId="0" borderId="0" xfId="7" applyNumberFormat="1" applyFill="1"/>
    <xf numFmtId="170" fontId="28" fillId="7" borderId="0" xfId="7" applyNumberFormat="1" applyFont="1" applyFill="1" applyBorder="1" applyAlignment="1">
      <alignment horizontal="right" indent="1"/>
    </xf>
    <xf numFmtId="0" fontId="4" fillId="0" borderId="93" xfId="7" applyFont="1" applyFill="1" applyBorder="1" applyAlignment="1">
      <alignment horizontal="center"/>
    </xf>
    <xf numFmtId="170" fontId="14" fillId="0" borderId="45" xfId="7" applyNumberFormat="1" applyFont="1" applyFill="1" applyBorder="1" applyAlignment="1">
      <alignment horizontal="right" indent="1"/>
    </xf>
    <xf numFmtId="170" fontId="28" fillId="0" borderId="0" xfId="7" applyNumberFormat="1" applyFont="1" applyFill="1" applyBorder="1" applyAlignment="1">
      <alignment horizontal="right" indent="1"/>
    </xf>
    <xf numFmtId="170" fontId="4" fillId="0" borderId="31" xfId="7" applyNumberFormat="1" applyFill="1" applyBorder="1" applyAlignment="1">
      <alignment horizontal="right" indent="1"/>
    </xf>
    <xf numFmtId="170" fontId="4" fillId="0" borderId="0" xfId="7" applyNumberFormat="1" applyFill="1" applyBorder="1" applyAlignment="1">
      <alignment horizontal="right" indent="1"/>
    </xf>
    <xf numFmtId="170" fontId="4" fillId="0" borderId="46" xfId="7" applyNumberFormat="1" applyFill="1" applyBorder="1" applyAlignment="1">
      <alignment horizontal="right" indent="1"/>
    </xf>
    <xf numFmtId="170" fontId="4" fillId="0" borderId="45" xfId="7" applyNumberFormat="1" applyFill="1" applyBorder="1" applyAlignment="1">
      <alignment horizontal="right" indent="1"/>
    </xf>
    <xf numFmtId="170" fontId="28" fillId="0" borderId="93" xfId="7" applyNumberFormat="1" applyFont="1" applyFill="1" applyBorder="1" applyAlignment="1">
      <alignment horizontal="right" indent="1"/>
    </xf>
    <xf numFmtId="170" fontId="14" fillId="2" borderId="45" xfId="7" applyNumberFormat="1" applyFont="1" applyFill="1" applyBorder="1" applyAlignment="1">
      <alignment horizontal="right" indent="1"/>
    </xf>
    <xf numFmtId="170" fontId="28" fillId="2" borderId="0" xfId="7" applyNumberFormat="1" applyFont="1" applyFill="1" applyBorder="1" applyAlignment="1">
      <alignment horizontal="right" indent="1"/>
    </xf>
    <xf numFmtId="170" fontId="4" fillId="2" borderId="31" xfId="7" applyNumberFormat="1" applyFill="1" applyBorder="1" applyAlignment="1">
      <alignment horizontal="right" indent="1"/>
    </xf>
    <xf numFmtId="170" fontId="4" fillId="2" borderId="0" xfId="7" applyNumberFormat="1" applyFill="1" applyBorder="1" applyAlignment="1">
      <alignment horizontal="right" indent="1"/>
    </xf>
    <xf numFmtId="170" fontId="4" fillId="2" borderId="46" xfId="7" applyNumberFormat="1" applyFill="1" applyBorder="1" applyAlignment="1">
      <alignment horizontal="right" indent="1"/>
    </xf>
    <xf numFmtId="170" fontId="4" fillId="2" borderId="45" xfId="7" applyNumberFormat="1" applyFill="1" applyBorder="1" applyAlignment="1">
      <alignment horizontal="right" indent="1"/>
    </xf>
    <xf numFmtId="0" fontId="4" fillId="7" borderId="0" xfId="7" applyFill="1" applyAlignment="1">
      <alignment horizontal="right"/>
    </xf>
    <xf numFmtId="10" fontId="4" fillId="0" borderId="0" xfId="7" applyNumberFormat="1" applyFill="1"/>
    <xf numFmtId="9" fontId="21" fillId="2" borderId="2" xfId="11" applyFont="1" applyFill="1" applyBorder="1" applyAlignment="1">
      <alignment horizontal="right" indent="1"/>
    </xf>
    <xf numFmtId="9" fontId="28" fillId="7" borderId="77" xfId="11" applyNumberFormat="1" applyFont="1" applyFill="1" applyBorder="1" applyAlignment="1">
      <alignment horizontal="right" indent="1"/>
    </xf>
    <xf numFmtId="9" fontId="21" fillId="2" borderId="0" xfId="11" applyFont="1" applyFill="1" applyBorder="1" applyAlignment="1">
      <alignment horizontal="right" indent="1"/>
    </xf>
    <xf numFmtId="0" fontId="4" fillId="0" borderId="0" xfId="7" applyAlignment="1">
      <alignment horizontal="center" wrapText="1"/>
    </xf>
    <xf numFmtId="9" fontId="28" fillId="7" borderId="81" xfId="11" applyNumberFormat="1" applyFont="1" applyFill="1" applyBorder="1" applyAlignment="1">
      <alignment horizontal="right" indent="1"/>
    </xf>
    <xf numFmtId="9" fontId="28" fillId="7" borderId="100" xfId="11" applyNumberFormat="1" applyFont="1" applyFill="1" applyBorder="1" applyAlignment="1">
      <alignment horizontal="right" indent="1"/>
    </xf>
    <xf numFmtId="9" fontId="28" fillId="7" borderId="106" xfId="11" applyNumberFormat="1" applyFont="1" applyFill="1" applyBorder="1" applyAlignment="1">
      <alignment horizontal="right" indent="1"/>
    </xf>
    <xf numFmtId="10" fontId="14" fillId="2" borderId="0" xfId="11" applyNumberFormat="1" applyFont="1" applyFill="1" applyAlignment="1">
      <alignment horizontal="center"/>
    </xf>
    <xf numFmtId="171" fontId="4" fillId="2" borderId="0" xfId="11" applyNumberFormat="1" applyFont="1" applyFill="1" applyAlignment="1">
      <alignment horizontal="center"/>
    </xf>
    <xf numFmtId="0" fontId="4" fillId="2" borderId="0" xfId="7" applyFont="1" applyFill="1"/>
    <xf numFmtId="171" fontId="4" fillId="2" borderId="0" xfId="7" applyNumberFormat="1" applyFill="1"/>
    <xf numFmtId="170" fontId="4" fillId="2" borderId="0" xfId="7" applyNumberFormat="1" applyFont="1" applyFill="1"/>
    <xf numFmtId="0" fontId="4" fillId="7" borderId="45" xfId="7" applyFill="1" applyBorder="1" applyAlignment="1">
      <alignment horizontal="right" indent="1"/>
    </xf>
    <xf numFmtId="0" fontId="4" fillId="7" borderId="0" xfId="7" applyFill="1" applyBorder="1" applyAlignment="1">
      <alignment horizontal="right" indent="1"/>
    </xf>
    <xf numFmtId="0" fontId="4" fillId="7" borderId="31" xfId="7" applyFill="1" applyBorder="1" applyAlignment="1">
      <alignment horizontal="right" indent="1"/>
    </xf>
    <xf numFmtId="0" fontId="4" fillId="7" borderId="51" xfId="7" applyFill="1" applyBorder="1" applyAlignment="1">
      <alignment horizontal="right" indent="1"/>
    </xf>
    <xf numFmtId="9" fontId="4" fillId="2" borderId="0" xfId="11" applyNumberFormat="1" applyFont="1" applyFill="1"/>
    <xf numFmtId="170" fontId="4" fillId="0" borderId="51" xfId="7" applyNumberFormat="1" applyFill="1" applyBorder="1" applyAlignment="1">
      <alignment horizontal="right" indent="1"/>
    </xf>
    <xf numFmtId="9" fontId="4" fillId="2" borderId="0" xfId="7" applyNumberFormat="1" applyFill="1"/>
    <xf numFmtId="171" fontId="21" fillId="7" borderId="149" xfId="11" applyNumberFormat="1" applyFont="1" applyFill="1" applyBorder="1" applyAlignment="1">
      <alignment horizontal="right" indent="1"/>
    </xf>
    <xf numFmtId="9" fontId="21" fillId="7" borderId="107" xfId="11" applyFont="1" applyFill="1" applyBorder="1" applyAlignment="1">
      <alignment horizontal="right" indent="1"/>
    </xf>
    <xf numFmtId="0" fontId="45" fillId="0" borderId="0" xfId="7" applyFont="1" applyFill="1" applyBorder="1" applyAlignment="1">
      <alignment horizontal="center"/>
    </xf>
    <xf numFmtId="0" fontId="27" fillId="9" borderId="26" xfId="7" applyFont="1" applyFill="1" applyBorder="1" applyAlignment="1">
      <alignment horizontal="center" vertical="center"/>
    </xf>
    <xf numFmtId="0" fontId="34" fillId="9" borderId="101" xfId="7" applyFont="1" applyFill="1" applyBorder="1" applyAlignment="1">
      <alignment horizontal="center" vertical="center"/>
    </xf>
    <xf numFmtId="0" fontId="34" fillId="9" borderId="24" xfId="7" applyFont="1" applyFill="1" applyBorder="1" applyAlignment="1">
      <alignment horizontal="center" vertical="center"/>
    </xf>
    <xf numFmtId="0" fontId="34" fillId="9" borderId="26" xfId="7" applyFont="1" applyFill="1" applyBorder="1" applyAlignment="1">
      <alignment horizontal="center" vertical="center"/>
    </xf>
    <xf numFmtId="0" fontId="34" fillId="9" borderId="23" xfId="7" applyFont="1" applyFill="1" applyBorder="1" applyAlignment="1">
      <alignment horizontal="center" vertical="center"/>
    </xf>
    <xf numFmtId="0" fontId="34" fillId="9" borderId="123" xfId="7" applyFont="1" applyFill="1" applyBorder="1" applyAlignment="1">
      <alignment horizontal="center" vertical="center"/>
    </xf>
    <xf numFmtId="0" fontId="4" fillId="0" borderId="132" xfId="7" applyFont="1" applyFill="1" applyBorder="1" applyAlignment="1">
      <alignment horizontal="center"/>
    </xf>
    <xf numFmtId="170" fontId="14" fillId="0" borderId="61" xfId="7" applyNumberFormat="1" applyFont="1" applyFill="1" applyBorder="1"/>
    <xf numFmtId="170" fontId="4" fillId="0" borderId="30" xfId="7" applyNumberFormat="1" applyFont="1" applyFill="1" applyBorder="1"/>
    <xf numFmtId="170" fontId="4" fillId="0" borderId="48" xfId="7" applyNumberFormat="1" applyFont="1" applyFill="1" applyBorder="1"/>
    <xf numFmtId="170" fontId="4" fillId="0" borderId="61" xfId="7" applyNumberFormat="1" applyFont="1" applyFill="1" applyBorder="1"/>
    <xf numFmtId="170" fontId="4" fillId="0" borderId="49" xfId="7" applyNumberFormat="1" applyFont="1" applyFill="1" applyBorder="1"/>
    <xf numFmtId="170" fontId="4" fillId="0" borderId="64" xfId="7" applyNumberFormat="1" applyFont="1" applyFill="1" applyBorder="1"/>
    <xf numFmtId="0" fontId="4" fillId="0" borderId="93" xfId="7" applyFill="1" applyBorder="1" applyAlignment="1">
      <alignment horizontal="center"/>
    </xf>
    <xf numFmtId="170" fontId="14" fillId="0" borderId="4" xfId="7" applyNumberFormat="1" applyFont="1" applyFill="1" applyBorder="1"/>
    <xf numFmtId="170" fontId="4" fillId="0" borderId="4" xfId="7" applyNumberFormat="1" applyFill="1" applyBorder="1"/>
    <xf numFmtId="170" fontId="4" fillId="0" borderId="5" xfId="7" applyNumberFormat="1" applyFill="1" applyBorder="1"/>
    <xf numFmtId="170" fontId="14" fillId="7" borderId="4" xfId="7" applyNumberFormat="1" applyFont="1" applyFill="1" applyBorder="1"/>
    <xf numFmtId="0" fontId="13" fillId="7" borderId="141" xfId="7" applyFont="1" applyFill="1" applyBorder="1"/>
    <xf numFmtId="9" fontId="13" fillId="7" borderId="74" xfId="11" applyNumberFormat="1" applyFont="1" applyFill="1" applyBorder="1" applyAlignment="1">
      <alignment horizontal="center" vertical="center"/>
    </xf>
    <xf numFmtId="9" fontId="13" fillId="7" borderId="33" xfId="11" applyNumberFormat="1" applyFont="1" applyFill="1" applyBorder="1" applyAlignment="1">
      <alignment horizontal="center" vertical="center"/>
    </xf>
    <xf numFmtId="9" fontId="13" fillId="7" borderId="79" xfId="11" applyNumberFormat="1" applyFont="1" applyFill="1" applyBorder="1" applyAlignment="1">
      <alignment horizontal="center" vertical="center"/>
    </xf>
    <xf numFmtId="9" fontId="13" fillId="7" borderId="77" xfId="11" applyNumberFormat="1" applyFont="1" applyFill="1" applyBorder="1" applyAlignment="1">
      <alignment horizontal="center" vertical="center"/>
    </xf>
    <xf numFmtId="9" fontId="13" fillId="7" borderId="81" xfId="11" applyFont="1" applyFill="1" applyBorder="1" applyAlignment="1">
      <alignment horizontal="center" vertical="center"/>
    </xf>
    <xf numFmtId="9" fontId="13" fillId="7" borderId="100" xfId="11" applyFont="1" applyFill="1" applyBorder="1" applyAlignment="1">
      <alignment horizontal="center" vertical="center"/>
    </xf>
    <xf numFmtId="9" fontId="13" fillId="7" borderId="148" xfId="11" applyFont="1" applyFill="1" applyBorder="1" applyAlignment="1">
      <alignment horizontal="center" vertical="center"/>
    </xf>
    <xf numFmtId="9" fontId="13" fillId="7" borderId="106" xfId="11" applyFont="1" applyFill="1" applyBorder="1" applyAlignment="1">
      <alignment horizontal="center" vertical="center"/>
    </xf>
    <xf numFmtId="179" fontId="4" fillId="0" borderId="0" xfId="11" applyNumberFormat="1" applyFont="1"/>
    <xf numFmtId="0" fontId="27" fillId="9" borderId="42" xfId="7" applyFont="1" applyFill="1" applyBorder="1" applyAlignment="1">
      <alignment horizontal="center"/>
    </xf>
    <xf numFmtId="0" fontId="27" fillId="9" borderId="1" xfId="7" applyFont="1" applyFill="1" applyBorder="1" applyAlignment="1">
      <alignment horizontal="center"/>
    </xf>
    <xf numFmtId="0" fontId="4" fillId="7" borderId="1" xfId="7" applyFill="1" applyBorder="1"/>
    <xf numFmtId="170" fontId="4" fillId="13" borderId="0" xfId="7" applyNumberFormat="1" applyFill="1" applyBorder="1" applyAlignment="1">
      <alignment horizontal="center"/>
    </xf>
    <xf numFmtId="0" fontId="4" fillId="7" borderId="51" xfId="7" applyFont="1" applyFill="1" applyBorder="1" applyAlignment="1">
      <alignment horizontal="center"/>
    </xf>
    <xf numFmtId="170" fontId="14" fillId="7" borderId="4" xfId="7" applyNumberFormat="1" applyFont="1" applyFill="1" applyBorder="1" applyAlignment="1"/>
    <xf numFmtId="170" fontId="4" fillId="7" borderId="0" xfId="7" applyNumberFormat="1" applyFont="1" applyFill="1" applyBorder="1"/>
    <xf numFmtId="170" fontId="4" fillId="7" borderId="5" xfId="7" applyNumberFormat="1" applyFont="1" applyFill="1" applyBorder="1"/>
    <xf numFmtId="170" fontId="14" fillId="7" borderId="4" xfId="7" applyNumberFormat="1" applyFont="1" applyFill="1" applyBorder="1" applyAlignment="1">
      <alignment horizontal="center"/>
    </xf>
    <xf numFmtId="170" fontId="28" fillId="7" borderId="65" xfId="7" applyNumberFormat="1" applyFont="1" applyFill="1" applyBorder="1" applyAlignment="1">
      <alignment horizontal="center"/>
    </xf>
    <xf numFmtId="170" fontId="4" fillId="7" borderId="45" xfId="7" applyNumberFormat="1" applyFill="1" applyBorder="1" applyAlignment="1">
      <alignment horizontal="center"/>
    </xf>
    <xf numFmtId="170" fontId="4" fillId="7" borderId="0" xfId="7" applyNumberFormat="1" applyFill="1" applyBorder="1" applyAlignment="1">
      <alignment horizontal="center"/>
    </xf>
    <xf numFmtId="170" fontId="4" fillId="7" borderId="31" xfId="7" applyNumberFormat="1" applyFill="1" applyBorder="1" applyAlignment="1">
      <alignment horizontal="center"/>
    </xf>
    <xf numFmtId="170" fontId="4" fillId="7" borderId="45" xfId="7" applyNumberFormat="1" applyFont="1" applyFill="1" applyBorder="1" applyAlignment="1"/>
    <xf numFmtId="170" fontId="4" fillId="7" borderId="0" xfId="7" applyNumberFormat="1" applyFont="1" applyFill="1" applyBorder="1" applyAlignment="1"/>
    <xf numFmtId="170" fontId="4" fillId="7" borderId="31" xfId="7" applyNumberFormat="1" applyFont="1" applyFill="1" applyBorder="1" applyAlignment="1"/>
    <xf numFmtId="170" fontId="4" fillId="7" borderId="5" xfId="7" applyNumberFormat="1" applyFont="1" applyFill="1" applyBorder="1" applyAlignment="1"/>
    <xf numFmtId="0" fontId="4" fillId="0" borderId="51" xfId="7" applyFont="1" applyFill="1" applyBorder="1" applyAlignment="1">
      <alignment horizontal="center"/>
    </xf>
    <xf numFmtId="170" fontId="14" fillId="0" borderId="4" xfId="7" applyNumberFormat="1" applyFont="1" applyFill="1" applyBorder="1" applyAlignment="1"/>
    <xf numFmtId="170" fontId="4" fillId="0" borderId="45" xfId="7" applyNumberFormat="1" applyFont="1" applyFill="1" applyBorder="1" applyAlignment="1"/>
    <xf numFmtId="170" fontId="4" fillId="0" borderId="0" xfId="7" applyNumberFormat="1" applyFont="1" applyFill="1" applyBorder="1" applyAlignment="1"/>
    <xf numFmtId="170" fontId="4" fillId="0" borderId="31" xfId="7" applyNumberFormat="1" applyFont="1" applyFill="1" applyBorder="1" applyAlignment="1"/>
    <xf numFmtId="170" fontId="4" fillId="0" borderId="5" xfId="7" applyNumberFormat="1" applyFont="1" applyFill="1" applyBorder="1" applyAlignment="1"/>
    <xf numFmtId="170" fontId="14" fillId="0" borderId="4" xfId="7" applyNumberFormat="1" applyFont="1" applyFill="1" applyBorder="1" applyAlignment="1">
      <alignment horizontal="center"/>
    </xf>
    <xf numFmtId="170" fontId="28" fillId="0" borderId="65" xfId="7" applyNumberFormat="1" applyFont="1" applyFill="1" applyBorder="1" applyAlignment="1">
      <alignment horizontal="center"/>
    </xf>
    <xf numFmtId="170" fontId="4" fillId="0" borderId="45" xfId="7" applyNumberFormat="1" applyFill="1" applyBorder="1" applyAlignment="1">
      <alignment horizontal="center"/>
    </xf>
    <xf numFmtId="170" fontId="4" fillId="0" borderId="0" xfId="7" applyNumberFormat="1" applyFill="1" applyBorder="1" applyAlignment="1">
      <alignment horizontal="center"/>
    </xf>
    <xf numFmtId="170" fontId="4" fillId="0" borderId="31" xfId="7" applyNumberFormat="1" applyFill="1" applyBorder="1" applyAlignment="1">
      <alignment horizontal="center"/>
    </xf>
    <xf numFmtId="0" fontId="4" fillId="0" borderId="71" xfId="7" applyFill="1" applyBorder="1"/>
    <xf numFmtId="170" fontId="14" fillId="0" borderId="6" xfId="7" applyNumberFormat="1" applyFont="1" applyFill="1" applyBorder="1" applyAlignment="1"/>
    <xf numFmtId="170" fontId="4" fillId="0" borderId="70" xfId="7" applyNumberFormat="1" applyFill="1" applyBorder="1" applyAlignment="1"/>
    <xf numFmtId="170" fontId="4" fillId="0" borderId="7" xfId="7" applyNumberFormat="1" applyFill="1" applyBorder="1" applyAlignment="1"/>
    <xf numFmtId="170" fontId="4" fillId="0" borderId="68" xfId="7" applyNumberFormat="1" applyFill="1" applyBorder="1" applyAlignment="1"/>
    <xf numFmtId="170" fontId="4" fillId="0" borderId="8" xfId="7" applyNumberFormat="1" applyFill="1" applyBorder="1" applyAlignment="1"/>
    <xf numFmtId="0" fontId="4" fillId="0" borderId="0" xfId="17"/>
    <xf numFmtId="0" fontId="28" fillId="0" borderId="94" xfId="7" applyFont="1" applyFill="1" applyBorder="1" applyAlignment="1">
      <alignment horizontal="left" wrapText="1"/>
    </xf>
    <xf numFmtId="9" fontId="28" fillId="0" borderId="94" xfId="11" applyFont="1" applyFill="1" applyBorder="1" applyAlignment="1">
      <alignment horizontal="center"/>
    </xf>
    <xf numFmtId="9" fontId="28" fillId="0" borderId="121" xfId="11" applyFont="1" applyFill="1" applyBorder="1" applyAlignment="1">
      <alignment horizontal="center"/>
    </xf>
    <xf numFmtId="9" fontId="28" fillId="0" borderId="32" xfId="11" applyFont="1" applyFill="1" applyBorder="1" applyAlignment="1">
      <alignment horizontal="center"/>
    </xf>
    <xf numFmtId="9" fontId="28" fillId="0" borderId="147" xfId="11" applyFont="1" applyFill="1" applyBorder="1" applyAlignment="1">
      <alignment horizontal="center"/>
    </xf>
    <xf numFmtId="0" fontId="28" fillId="0" borderId="141" xfId="7" applyFont="1" applyFill="1" applyBorder="1" applyAlignment="1">
      <alignment horizontal="left" wrapText="1"/>
    </xf>
    <xf numFmtId="9" fontId="28" fillId="0" borderId="141" xfId="11" applyFont="1" applyFill="1" applyBorder="1" applyAlignment="1">
      <alignment horizontal="center"/>
    </xf>
    <xf numFmtId="9" fontId="28" fillId="0" borderId="33" xfId="11" applyFont="1" applyFill="1" applyBorder="1" applyAlignment="1">
      <alignment horizontal="center"/>
    </xf>
    <xf numFmtId="9" fontId="28" fillId="0" borderId="150" xfId="11" applyFont="1" applyFill="1" applyBorder="1" applyAlignment="1">
      <alignment horizontal="center"/>
    </xf>
    <xf numFmtId="0" fontId="4" fillId="7" borderId="51" xfId="7" applyFill="1" applyBorder="1"/>
    <xf numFmtId="170" fontId="14" fillId="7" borderId="93" xfId="7" applyNumberFormat="1" applyFont="1" applyFill="1" applyBorder="1" applyAlignment="1"/>
    <xf numFmtId="170" fontId="14" fillId="7" borderId="93" xfId="7" applyNumberFormat="1" applyFont="1" applyFill="1" applyBorder="1" applyAlignment="1">
      <alignment horizontal="center"/>
    </xf>
    <xf numFmtId="170" fontId="4" fillId="7" borderId="65" xfId="7" applyNumberFormat="1" applyFill="1" applyBorder="1" applyAlignment="1">
      <alignment horizontal="center"/>
    </xf>
    <xf numFmtId="170" fontId="4" fillId="7" borderId="65" xfId="7" applyNumberFormat="1" applyFill="1" applyBorder="1" applyAlignment="1"/>
    <xf numFmtId="170" fontId="14" fillId="0" borderId="93" xfId="7" applyNumberFormat="1" applyFont="1" applyFill="1" applyBorder="1" applyAlignment="1"/>
    <xf numFmtId="170" fontId="4" fillId="0" borderId="65" xfId="7" applyNumberFormat="1" applyFill="1" applyBorder="1" applyAlignment="1"/>
    <xf numFmtId="170" fontId="14" fillId="0" borderId="88" xfId="7" applyNumberFormat="1" applyFont="1" applyFill="1" applyBorder="1" applyAlignment="1"/>
    <xf numFmtId="170" fontId="4" fillId="0" borderId="69" xfId="7" applyNumberFormat="1" applyFill="1" applyBorder="1" applyAlignment="1"/>
    <xf numFmtId="9" fontId="21" fillId="0" borderId="2" xfId="11" applyFont="1" applyFill="1" applyBorder="1"/>
    <xf numFmtId="9" fontId="28" fillId="0" borderId="96" xfId="11" applyFont="1" applyFill="1" applyBorder="1" applyAlignment="1">
      <alignment horizontal="center"/>
    </xf>
    <xf numFmtId="9" fontId="28" fillId="0" borderId="122" xfId="11" applyFont="1" applyFill="1" applyBorder="1" applyAlignment="1">
      <alignment horizontal="center"/>
    </xf>
    <xf numFmtId="9" fontId="28" fillId="0" borderId="98" xfId="11" applyFont="1" applyFill="1" applyBorder="1" applyAlignment="1">
      <alignment horizontal="center"/>
    </xf>
    <xf numFmtId="9" fontId="21" fillId="0" borderId="0" xfId="11" applyFont="1" applyFill="1" applyBorder="1"/>
    <xf numFmtId="9" fontId="28" fillId="0" borderId="99" xfId="11" applyFont="1" applyFill="1" applyBorder="1" applyAlignment="1">
      <alignment horizontal="center"/>
    </xf>
    <xf numFmtId="9" fontId="28" fillId="0" borderId="106" xfId="11" applyFont="1" applyFill="1" applyBorder="1" applyAlignment="1">
      <alignment horizontal="center"/>
    </xf>
    <xf numFmtId="9" fontId="28" fillId="0" borderId="100" xfId="11" applyFont="1" applyFill="1" applyBorder="1" applyAlignment="1">
      <alignment horizontal="center"/>
    </xf>
    <xf numFmtId="170" fontId="4" fillId="0" borderId="0" xfId="7" applyNumberFormat="1" applyFont="1" applyFill="1" applyBorder="1"/>
    <xf numFmtId="170" fontId="4" fillId="0" borderId="4" xfId="7" applyNumberFormat="1" applyFont="1" applyFill="1" applyBorder="1"/>
    <xf numFmtId="170" fontId="4" fillId="0" borderId="46" xfId="7" applyNumberFormat="1" applyFont="1" applyFill="1" applyBorder="1"/>
    <xf numFmtId="170" fontId="4" fillId="0" borderId="5" xfId="7" applyNumberFormat="1" applyFont="1" applyFill="1" applyBorder="1"/>
    <xf numFmtId="170" fontId="4" fillId="7" borderId="4" xfId="7" applyNumberFormat="1" applyFill="1" applyBorder="1" applyAlignment="1">
      <alignment horizontal="center"/>
    </xf>
    <xf numFmtId="170" fontId="4" fillId="7" borderId="46" xfId="7" applyNumberFormat="1" applyFill="1" applyBorder="1" applyAlignment="1">
      <alignment horizontal="center"/>
    </xf>
    <xf numFmtId="172" fontId="4" fillId="7" borderId="31" xfId="7" applyNumberFormat="1" applyFill="1" applyBorder="1" applyAlignment="1">
      <alignment horizontal="center"/>
    </xf>
    <xf numFmtId="0" fontId="4" fillId="2" borderId="93" xfId="7" applyFill="1" applyBorder="1" applyAlignment="1">
      <alignment horizontal="center"/>
    </xf>
    <xf numFmtId="170" fontId="14" fillId="2" borderId="4" xfId="7" applyNumberFormat="1" applyFont="1" applyFill="1" applyBorder="1" applyAlignment="1">
      <alignment horizontal="center"/>
    </xf>
    <xf numFmtId="170" fontId="4" fillId="2" borderId="31" xfId="7" applyNumberFormat="1" applyFill="1" applyBorder="1" applyAlignment="1">
      <alignment horizontal="center"/>
    </xf>
    <xf numFmtId="170" fontId="4" fillId="2" borderId="0" xfId="7" applyNumberFormat="1" applyFill="1" applyBorder="1" applyAlignment="1">
      <alignment horizontal="center"/>
    </xf>
    <xf numFmtId="170" fontId="4" fillId="2" borderId="4" xfId="7" applyNumberFormat="1" applyFill="1" applyBorder="1" applyAlignment="1">
      <alignment horizontal="center"/>
    </xf>
    <xf numFmtId="170" fontId="4" fillId="2" borderId="68" xfId="7" applyNumberFormat="1" applyFill="1" applyBorder="1" applyAlignment="1">
      <alignment horizontal="center"/>
    </xf>
    <xf numFmtId="170" fontId="4" fillId="2" borderId="46" xfId="7" applyNumberFormat="1" applyFill="1" applyBorder="1" applyAlignment="1">
      <alignment horizontal="center"/>
    </xf>
    <xf numFmtId="172" fontId="4" fillId="2" borderId="31" xfId="7" applyNumberFormat="1" applyFill="1" applyBorder="1" applyAlignment="1">
      <alignment horizontal="center"/>
    </xf>
    <xf numFmtId="170" fontId="4" fillId="2" borderId="5" xfId="7" applyNumberFormat="1" applyFill="1" applyBorder="1" applyAlignment="1">
      <alignment horizontal="center"/>
    </xf>
    <xf numFmtId="9" fontId="28" fillId="7" borderId="74" xfId="11" applyNumberFormat="1" applyFont="1" applyFill="1" applyBorder="1" applyAlignment="1">
      <alignment horizontal="center"/>
    </xf>
    <xf numFmtId="9" fontId="28" fillId="7" borderId="33" xfId="11" applyNumberFormat="1" applyFont="1" applyFill="1" applyBorder="1" applyAlignment="1">
      <alignment horizontal="center"/>
    </xf>
    <xf numFmtId="9" fontId="28" fillId="7" borderId="77" xfId="11" applyNumberFormat="1" applyFont="1" applyFill="1" applyBorder="1" applyAlignment="1">
      <alignment horizontal="center"/>
    </xf>
    <xf numFmtId="9" fontId="28" fillId="7" borderId="81" xfId="11" applyFont="1" applyFill="1" applyBorder="1" applyAlignment="1">
      <alignment horizontal="center"/>
    </xf>
    <xf numFmtId="9" fontId="28" fillId="7" borderId="100" xfId="11" applyFont="1" applyFill="1" applyBorder="1" applyAlignment="1">
      <alignment horizontal="center"/>
    </xf>
    <xf numFmtId="9" fontId="28" fillId="7" borderId="106" xfId="11" applyFont="1" applyFill="1" applyBorder="1" applyAlignment="1">
      <alignment horizontal="center"/>
    </xf>
    <xf numFmtId="181" fontId="4" fillId="2" borderId="0" xfId="7" applyNumberFormat="1" applyFill="1"/>
    <xf numFmtId="0" fontId="4" fillId="2" borderId="0" xfId="7" applyFont="1" applyFill="1" applyAlignment="1">
      <alignment horizontal="right"/>
    </xf>
    <xf numFmtId="0" fontId="28" fillId="5" borderId="0" xfId="7" applyFont="1" applyFill="1" applyBorder="1" applyAlignment="1">
      <alignment horizontal="center"/>
    </xf>
    <xf numFmtId="0" fontId="14" fillId="5" borderId="0" xfId="7" applyFont="1" applyFill="1" applyBorder="1" applyAlignment="1">
      <alignment horizontal="center"/>
    </xf>
    <xf numFmtId="165" fontId="0" fillId="13" borderId="0" xfId="4" applyFont="1" applyFill="1" applyBorder="1" applyAlignment="1">
      <alignment horizontal="center"/>
    </xf>
    <xf numFmtId="165" fontId="0" fillId="7" borderId="0" xfId="4" applyFont="1" applyFill="1" applyBorder="1" applyAlignment="1">
      <alignment horizontal="center"/>
    </xf>
    <xf numFmtId="9" fontId="28" fillId="13" borderId="0" xfId="11" applyFont="1" applyFill="1" applyBorder="1" applyAlignment="1">
      <alignment horizontal="center"/>
    </xf>
    <xf numFmtId="170" fontId="4" fillId="0" borderId="46" xfId="7" applyNumberFormat="1" applyFont="1" applyFill="1" applyBorder="1" applyAlignment="1">
      <alignment horizontal="center"/>
    </xf>
    <xf numFmtId="170" fontId="4" fillId="0" borderId="31" xfId="7" applyNumberFormat="1" applyFont="1" applyFill="1" applyBorder="1" applyAlignment="1">
      <alignment horizontal="center"/>
    </xf>
    <xf numFmtId="170" fontId="4" fillId="0" borderId="45" xfId="7" applyNumberFormat="1" applyFont="1" applyFill="1" applyBorder="1" applyAlignment="1">
      <alignment horizontal="center"/>
    </xf>
    <xf numFmtId="170" fontId="14" fillId="0" borderId="0" xfId="7" applyNumberFormat="1" applyFont="1" applyFill="1" applyBorder="1" applyAlignment="1">
      <alignment horizontal="center"/>
    </xf>
    <xf numFmtId="0" fontId="4" fillId="7" borderId="88" xfId="7" applyFill="1" applyBorder="1"/>
    <xf numFmtId="170" fontId="14" fillId="7" borderId="6" xfId="7" applyNumberFormat="1" applyFont="1" applyFill="1" applyBorder="1" applyAlignment="1">
      <alignment horizontal="center"/>
    </xf>
    <xf numFmtId="170" fontId="28" fillId="7" borderId="69" xfId="7" applyNumberFormat="1" applyFont="1" applyFill="1" applyBorder="1" applyAlignment="1">
      <alignment horizontal="center"/>
    </xf>
    <xf numFmtId="170" fontId="4" fillId="7" borderId="70" xfId="7" applyNumberFormat="1" applyFill="1" applyBorder="1" applyAlignment="1">
      <alignment horizontal="center"/>
    </xf>
    <xf numFmtId="170" fontId="4" fillId="7" borderId="7" xfId="7" applyNumberFormat="1" applyFill="1" applyBorder="1" applyAlignment="1">
      <alignment horizontal="center"/>
    </xf>
    <xf numFmtId="170" fontId="4" fillId="7" borderId="68" xfId="7" applyNumberFormat="1" applyFill="1" applyBorder="1" applyAlignment="1">
      <alignment horizontal="center"/>
    </xf>
    <xf numFmtId="170" fontId="4" fillId="7" borderId="8" xfId="7" applyNumberFormat="1" applyFill="1" applyBorder="1" applyAlignment="1">
      <alignment horizontal="center"/>
    </xf>
    <xf numFmtId="9" fontId="28" fillId="7" borderId="149" xfId="11" applyNumberFormat="1" applyFont="1" applyFill="1" applyBorder="1" applyAlignment="1">
      <alignment horizontal="center"/>
    </xf>
    <xf numFmtId="0" fontId="28" fillId="7" borderId="96" xfId="7" applyFont="1" applyFill="1" applyBorder="1" applyAlignment="1">
      <alignment horizontal="left" wrapText="1"/>
    </xf>
    <xf numFmtId="9" fontId="28" fillId="7" borderId="96" xfId="11" applyNumberFormat="1" applyFont="1" applyFill="1" applyBorder="1" applyAlignment="1">
      <alignment horizontal="center"/>
    </xf>
    <xf numFmtId="9" fontId="28" fillId="7" borderId="129" xfId="11" applyNumberFormat="1" applyFont="1" applyFill="1" applyBorder="1" applyAlignment="1">
      <alignment horizontal="center"/>
    </xf>
    <xf numFmtId="9" fontId="28" fillId="7" borderId="122" xfId="11" applyNumberFormat="1" applyFont="1" applyFill="1" applyBorder="1" applyAlignment="1">
      <alignment horizontal="center"/>
    </xf>
    <xf numFmtId="9" fontId="28" fillId="13" borderId="0" xfId="11" applyNumberFormat="1" applyFont="1" applyFill="1" applyBorder="1" applyAlignment="1">
      <alignment horizontal="center"/>
    </xf>
    <xf numFmtId="171" fontId="28" fillId="7" borderId="0" xfId="11" applyNumberFormat="1" applyFont="1" applyFill="1" applyBorder="1" applyAlignment="1">
      <alignment horizontal="center"/>
    </xf>
    <xf numFmtId="0" fontId="28" fillId="7" borderId="99" xfId="7" applyFont="1" applyFill="1" applyBorder="1" applyAlignment="1">
      <alignment horizontal="left" wrapText="1"/>
    </xf>
    <xf numFmtId="9" fontId="28" fillId="7" borderId="99" xfId="11" applyNumberFormat="1" applyFont="1" applyFill="1" applyBorder="1" applyAlignment="1">
      <alignment horizontal="center"/>
    </xf>
    <xf numFmtId="9" fontId="28" fillId="7" borderId="81" xfId="11" applyNumberFormat="1" applyFont="1" applyFill="1" applyBorder="1" applyAlignment="1">
      <alignment horizontal="center"/>
    </xf>
    <xf numFmtId="9" fontId="28" fillId="7" borderId="106" xfId="11" applyNumberFormat="1" applyFont="1" applyFill="1" applyBorder="1" applyAlignment="1">
      <alignment horizontal="center"/>
    </xf>
    <xf numFmtId="9" fontId="28" fillId="7" borderId="107" xfId="11" applyNumberFormat="1" applyFont="1" applyFill="1" applyBorder="1" applyAlignment="1">
      <alignment horizontal="center"/>
    </xf>
    <xf numFmtId="165" fontId="4" fillId="0" borderId="0" xfId="7" applyNumberFormat="1" applyBorder="1"/>
    <xf numFmtId="170" fontId="14" fillId="7" borderId="88" xfId="7" applyNumberFormat="1" applyFont="1" applyFill="1" applyBorder="1" applyAlignment="1">
      <alignment horizontal="center"/>
    </xf>
    <xf numFmtId="170" fontId="4" fillId="7" borderId="69" xfId="7" applyNumberFormat="1" applyFill="1" applyBorder="1" applyAlignment="1">
      <alignment horizontal="center"/>
    </xf>
    <xf numFmtId="0" fontId="13" fillId="7" borderId="96" xfId="7" applyFont="1" applyFill="1" applyBorder="1" applyAlignment="1">
      <alignment horizontal="left" wrapText="1"/>
    </xf>
    <xf numFmtId="171" fontId="21" fillId="7" borderId="149" xfId="11" applyNumberFormat="1" applyFont="1" applyFill="1" applyBorder="1" applyAlignment="1">
      <alignment horizontal="center"/>
    </xf>
    <xf numFmtId="166" fontId="4" fillId="0" borderId="0" xfId="7" applyNumberFormat="1"/>
    <xf numFmtId="0" fontId="13" fillId="7" borderId="99" xfId="7" applyFont="1" applyFill="1" applyBorder="1" applyAlignment="1">
      <alignment horizontal="left" wrapText="1"/>
    </xf>
    <xf numFmtId="9" fontId="28" fillId="7" borderId="99" xfId="11" applyFont="1" applyFill="1" applyBorder="1" applyAlignment="1">
      <alignment horizontal="center"/>
    </xf>
    <xf numFmtId="9" fontId="21" fillId="7" borderId="107" xfId="11" applyFont="1" applyFill="1" applyBorder="1" applyAlignment="1">
      <alignment horizontal="center"/>
    </xf>
    <xf numFmtId="0" fontId="4" fillId="4" borderId="0" xfId="7" applyFill="1" applyBorder="1"/>
    <xf numFmtId="0" fontId="4" fillId="4" borderId="45" xfId="7" applyFill="1" applyBorder="1"/>
    <xf numFmtId="0" fontId="4" fillId="4" borderId="0" xfId="7" applyFill="1"/>
    <xf numFmtId="0" fontId="4" fillId="4" borderId="46" xfId="7" applyFill="1" applyBorder="1"/>
    <xf numFmtId="1" fontId="4" fillId="4" borderId="151" xfId="7" applyNumberFormat="1" applyFill="1" applyBorder="1"/>
    <xf numFmtId="1" fontId="4" fillId="4" borderId="0" xfId="7" applyNumberFormat="1" applyFill="1" applyBorder="1"/>
    <xf numFmtId="1" fontId="4" fillId="4" borderId="152" xfId="7" applyNumberFormat="1" applyFill="1" applyBorder="1"/>
    <xf numFmtId="0" fontId="4" fillId="4" borderId="153" xfId="7" applyFill="1" applyBorder="1"/>
    <xf numFmtId="1" fontId="4" fillId="4" borderId="154" xfId="7" applyNumberFormat="1" applyFill="1" applyBorder="1"/>
    <xf numFmtId="1" fontId="4" fillId="4" borderId="155" xfId="7" applyNumberFormat="1" applyFill="1" applyBorder="1"/>
    <xf numFmtId="1" fontId="4" fillId="4" borderId="156" xfId="7" applyNumberFormat="1" applyFill="1" applyBorder="1"/>
    <xf numFmtId="0" fontId="4" fillId="4" borderId="59" xfId="7" applyFill="1" applyBorder="1"/>
    <xf numFmtId="0" fontId="4" fillId="4" borderId="55" xfId="7" applyFill="1" applyBorder="1"/>
    <xf numFmtId="0" fontId="4" fillId="4" borderId="57" xfId="7" applyFill="1" applyBorder="1"/>
    <xf numFmtId="10" fontId="0" fillId="4" borderId="59" xfId="11" applyNumberFormat="1" applyFont="1" applyFill="1" applyBorder="1"/>
    <xf numFmtId="0" fontId="14" fillId="0" borderId="31" xfId="7" applyFont="1" applyFill="1" applyBorder="1" applyAlignment="1">
      <alignment horizontal="center" vertical="center" wrapText="1"/>
    </xf>
    <xf numFmtId="0" fontId="4" fillId="10" borderId="46" xfId="7" applyFill="1" applyBorder="1" applyAlignment="1">
      <alignment horizontal="center"/>
    </xf>
    <xf numFmtId="0" fontId="4" fillId="10" borderId="31" xfId="7" applyFill="1" applyBorder="1" applyAlignment="1">
      <alignment horizontal="center"/>
    </xf>
    <xf numFmtId="172" fontId="4" fillId="0" borderId="31" xfId="7" applyNumberFormat="1" applyFill="1" applyBorder="1" applyAlignment="1">
      <alignment horizontal="center"/>
    </xf>
    <xf numFmtId="0" fontId="4" fillId="0" borderId="31" xfId="7" applyFill="1" applyBorder="1" applyAlignment="1">
      <alignment horizontal="center"/>
    </xf>
    <xf numFmtId="172" fontId="4" fillId="10" borderId="31" xfId="7" applyNumberFormat="1" applyFill="1" applyBorder="1" applyAlignment="1">
      <alignment horizontal="center"/>
    </xf>
    <xf numFmtId="172" fontId="4" fillId="0" borderId="31" xfId="7" applyNumberFormat="1" applyFont="1" applyFill="1" applyBorder="1" applyAlignment="1">
      <alignment horizontal="center"/>
    </xf>
    <xf numFmtId="0" fontId="4" fillId="10" borderId="46" xfId="7" applyFont="1" applyFill="1" applyBorder="1" applyAlignment="1">
      <alignment horizontal="center"/>
    </xf>
    <xf numFmtId="172" fontId="4" fillId="10" borderId="31" xfId="7" applyNumberFormat="1" applyFont="1" applyFill="1" applyBorder="1" applyAlignment="1">
      <alignment horizontal="center"/>
    </xf>
    <xf numFmtId="0" fontId="4" fillId="7" borderId="114" xfId="7" applyFont="1" applyFill="1" applyBorder="1" applyAlignment="1">
      <alignment horizontal="center"/>
    </xf>
    <xf numFmtId="172" fontId="4" fillId="7" borderId="68" xfId="7" applyNumberFormat="1" applyFont="1" applyFill="1" applyBorder="1" applyAlignment="1">
      <alignment horizontal="center"/>
    </xf>
    <xf numFmtId="0" fontId="28" fillId="7" borderId="98" xfId="7" applyFont="1" applyFill="1" applyBorder="1" applyAlignment="1">
      <alignment vertical="center"/>
    </xf>
    <xf numFmtId="9" fontId="14" fillId="7" borderId="31" xfId="11" applyNumberFormat="1" applyFont="1" applyFill="1" applyBorder="1" applyAlignment="1">
      <alignment horizontal="center" vertical="center"/>
    </xf>
    <xf numFmtId="0" fontId="28" fillId="10" borderId="98" xfId="7" applyFont="1" applyFill="1" applyBorder="1" applyAlignment="1">
      <alignment vertical="center"/>
    </xf>
    <xf numFmtId="9" fontId="14" fillId="10" borderId="33" xfId="11" applyFont="1" applyFill="1" applyBorder="1" applyAlignment="1">
      <alignment horizontal="center" vertical="center"/>
    </xf>
    <xf numFmtId="0" fontId="28" fillId="7" borderId="33" xfId="7" applyFont="1" applyFill="1" applyBorder="1" applyAlignment="1">
      <alignment vertical="center"/>
    </xf>
    <xf numFmtId="9" fontId="14" fillId="7" borderId="33" xfId="11" applyFont="1" applyFill="1" applyBorder="1" applyAlignment="1">
      <alignment horizontal="center" vertical="center"/>
    </xf>
    <xf numFmtId="0" fontId="13" fillId="10" borderId="56" xfId="7" applyFont="1" applyFill="1" applyBorder="1" applyAlignment="1">
      <alignment vertical="center"/>
    </xf>
    <xf numFmtId="9" fontId="14" fillId="10" borderId="56" xfId="11" applyFont="1" applyFill="1" applyBorder="1" applyAlignment="1">
      <alignment horizontal="center" vertical="center"/>
    </xf>
    <xf numFmtId="0" fontId="31" fillId="0" borderId="0" xfId="7" applyFont="1" applyBorder="1"/>
    <xf numFmtId="0" fontId="5" fillId="0" borderId="0" xfId="7" applyFont="1" applyBorder="1"/>
    <xf numFmtId="0" fontId="4" fillId="0" borderId="7" xfId="7" applyBorder="1"/>
    <xf numFmtId="0" fontId="32" fillId="9" borderId="1" xfId="7" applyFont="1" applyFill="1" applyBorder="1" applyAlignment="1">
      <alignment horizontal="center"/>
    </xf>
    <xf numFmtId="0" fontId="27" fillId="9" borderId="158" xfId="7" applyFont="1" applyFill="1" applyBorder="1" applyAlignment="1">
      <alignment horizontal="center"/>
    </xf>
    <xf numFmtId="0" fontId="14" fillId="0" borderId="4" xfId="7" applyFont="1" applyFill="1" applyBorder="1" applyAlignment="1">
      <alignment horizontal="center"/>
    </xf>
    <xf numFmtId="0" fontId="14" fillId="0" borderId="159" xfId="7" applyFont="1" applyFill="1" applyBorder="1" applyAlignment="1">
      <alignment horizontal="center"/>
    </xf>
    <xf numFmtId="0" fontId="14" fillId="0" borderId="51" xfId="7" applyFont="1" applyFill="1" applyBorder="1" applyAlignment="1">
      <alignment horizontal="center"/>
    </xf>
    <xf numFmtId="0" fontId="14" fillId="0" borderId="93" xfId="7" applyFont="1" applyFill="1" applyBorder="1" applyAlignment="1">
      <alignment horizontal="center"/>
    </xf>
    <xf numFmtId="0" fontId="4" fillId="14" borderId="4" xfId="7" applyFill="1" applyBorder="1" applyAlignment="1">
      <alignment horizontal="center"/>
    </xf>
    <xf numFmtId="170" fontId="14" fillId="14" borderId="4" xfId="7" applyNumberFormat="1" applyFont="1" applyFill="1" applyBorder="1"/>
    <xf numFmtId="170" fontId="14" fillId="14" borderId="159" xfId="7" applyNumberFormat="1" applyFont="1" applyFill="1" applyBorder="1"/>
    <xf numFmtId="170" fontId="28" fillId="14" borderId="4" xfId="7" applyNumberFormat="1" applyFont="1" applyFill="1" applyBorder="1"/>
    <xf numFmtId="170" fontId="28" fillId="14" borderId="51" xfId="7" applyNumberFormat="1" applyFont="1" applyFill="1" applyBorder="1"/>
    <xf numFmtId="170" fontId="28" fillId="14" borderId="93" xfId="7" applyNumberFormat="1" applyFont="1" applyFill="1" applyBorder="1"/>
    <xf numFmtId="0" fontId="4" fillId="0" borderId="4" xfId="7" applyFill="1" applyBorder="1" applyAlignment="1">
      <alignment horizontal="center"/>
    </xf>
    <xf numFmtId="170" fontId="14" fillId="0" borderId="159" xfId="7" applyNumberFormat="1" applyFont="1" applyFill="1" applyBorder="1"/>
    <xf numFmtId="170" fontId="28" fillId="0" borderId="4" xfId="7" applyNumberFormat="1" applyFont="1" applyFill="1" applyBorder="1"/>
    <xf numFmtId="170" fontId="28" fillId="0" borderId="51" xfId="7" applyNumberFormat="1" applyFont="1" applyFill="1" applyBorder="1"/>
    <xf numFmtId="170" fontId="28" fillId="0" borderId="93" xfId="7" applyNumberFormat="1" applyFont="1" applyFill="1" applyBorder="1"/>
    <xf numFmtId="0" fontId="4" fillId="14" borderId="93" xfId="7" applyFill="1" applyBorder="1" applyAlignment="1">
      <alignment horizontal="center"/>
    </xf>
    <xf numFmtId="0" fontId="4" fillId="14" borderId="4" xfId="7" applyFont="1" applyFill="1" applyBorder="1" applyAlignment="1">
      <alignment horizontal="center"/>
    </xf>
    <xf numFmtId="170" fontId="14" fillId="7" borderId="6" xfId="7" applyNumberFormat="1" applyFont="1" applyFill="1" applyBorder="1"/>
    <xf numFmtId="170" fontId="14" fillId="7" borderId="158" xfId="7" applyNumberFormat="1" applyFont="1" applyFill="1" applyBorder="1"/>
    <xf numFmtId="170" fontId="28" fillId="7" borderId="6" xfId="7" applyNumberFormat="1" applyFont="1" applyFill="1" applyBorder="1"/>
    <xf numFmtId="170" fontId="28" fillId="7" borderId="71" xfId="7" applyNumberFormat="1" applyFont="1" applyFill="1" applyBorder="1"/>
    <xf numFmtId="170" fontId="28" fillId="7" borderId="88" xfId="7" applyNumberFormat="1" applyFont="1" applyFill="1" applyBorder="1"/>
    <xf numFmtId="9" fontId="28" fillId="14" borderId="1" xfId="11" applyNumberFormat="1" applyFont="1" applyFill="1" applyBorder="1" applyAlignment="1">
      <alignment horizontal="center" vertical="center"/>
    </xf>
    <xf numFmtId="9" fontId="28" fillId="14" borderId="160" xfId="11" applyFont="1" applyFill="1" applyBorder="1" applyAlignment="1">
      <alignment horizontal="center" vertical="center"/>
    </xf>
    <xf numFmtId="9" fontId="21" fillId="14" borderId="110" xfId="11" applyFont="1" applyFill="1" applyBorder="1" applyAlignment="1">
      <alignment horizontal="center" vertical="center"/>
    </xf>
    <xf numFmtId="9" fontId="21" fillId="14" borderId="42" xfId="11" applyFont="1" applyFill="1" applyBorder="1" applyAlignment="1">
      <alignment horizontal="center" vertical="center"/>
    </xf>
    <xf numFmtId="9" fontId="21" fillId="14" borderId="83" xfId="11" applyFont="1" applyFill="1" applyBorder="1" applyAlignment="1">
      <alignment horizontal="center" vertical="center"/>
    </xf>
    <xf numFmtId="0" fontId="13" fillId="0" borderId="141" xfId="7" applyFont="1" applyFill="1" applyBorder="1"/>
    <xf numFmtId="9" fontId="28" fillId="7" borderId="74" xfId="11" applyFont="1" applyFill="1" applyBorder="1" applyAlignment="1">
      <alignment horizontal="center" vertical="center"/>
    </xf>
    <xf numFmtId="9" fontId="28" fillId="7" borderId="161" xfId="11" applyFont="1" applyFill="1" applyBorder="1" applyAlignment="1">
      <alignment horizontal="center" vertical="center"/>
    </xf>
    <xf numFmtId="9" fontId="21" fillId="7" borderId="78" xfId="11" applyFont="1" applyFill="1" applyBorder="1" applyAlignment="1">
      <alignment horizontal="center" vertical="center"/>
    </xf>
    <xf numFmtId="9" fontId="21" fillId="7" borderId="80" xfId="11" applyFont="1" applyFill="1" applyBorder="1" applyAlignment="1">
      <alignment horizontal="center" vertical="center"/>
    </xf>
    <xf numFmtId="9" fontId="21" fillId="7" borderId="141" xfId="11" applyNumberFormat="1" applyFont="1" applyFill="1" applyBorder="1" applyAlignment="1">
      <alignment horizontal="center" vertical="center"/>
    </xf>
    <xf numFmtId="0" fontId="13" fillId="14" borderId="141" xfId="7" applyFont="1" applyFill="1" applyBorder="1"/>
    <xf numFmtId="9" fontId="28" fillId="14" borderId="74" xfId="11" applyNumberFormat="1" applyFont="1" applyFill="1" applyBorder="1" applyAlignment="1">
      <alignment horizontal="center" vertical="center"/>
    </xf>
    <xf numFmtId="9" fontId="28" fillId="14" borderId="161" xfId="11" applyFont="1" applyFill="1" applyBorder="1" applyAlignment="1">
      <alignment horizontal="center" vertical="center"/>
    </xf>
    <xf numFmtId="9" fontId="21" fillId="14" borderId="78" xfId="11" applyFont="1" applyFill="1" applyBorder="1" applyAlignment="1">
      <alignment horizontal="center" vertical="center"/>
    </xf>
    <xf numFmtId="9" fontId="21" fillId="14" borderId="80" xfId="11" applyFont="1" applyFill="1" applyBorder="1" applyAlignment="1">
      <alignment horizontal="center" vertical="center"/>
    </xf>
    <xf numFmtId="9" fontId="21" fillId="14" borderId="141" xfId="11" applyFont="1" applyFill="1" applyBorder="1" applyAlignment="1">
      <alignment horizontal="center" vertical="center"/>
    </xf>
    <xf numFmtId="9" fontId="28" fillId="7" borderId="6" xfId="11" applyFont="1" applyFill="1" applyBorder="1" applyAlignment="1">
      <alignment horizontal="center" vertical="center"/>
    </xf>
    <xf numFmtId="9" fontId="28" fillId="7" borderId="158" xfId="11" applyFont="1" applyFill="1" applyBorder="1" applyAlignment="1">
      <alignment horizontal="center" vertical="center"/>
    </xf>
    <xf numFmtId="9" fontId="21" fillId="7" borderId="69" xfId="11" applyFont="1" applyFill="1" applyBorder="1" applyAlignment="1">
      <alignment horizontal="center" vertical="center"/>
    </xf>
    <xf numFmtId="9" fontId="21" fillId="7" borderId="71" xfId="11" applyFont="1" applyFill="1" applyBorder="1" applyAlignment="1">
      <alignment horizontal="center" vertical="center"/>
    </xf>
    <xf numFmtId="9" fontId="21" fillId="7" borderId="88" xfId="11" applyFont="1" applyFill="1" applyBorder="1" applyAlignment="1">
      <alignment horizontal="center" vertical="center"/>
    </xf>
    <xf numFmtId="0" fontId="42" fillId="2" borderId="0" xfId="7" applyFont="1" applyFill="1" applyAlignment="1">
      <alignment horizontal="left"/>
    </xf>
    <xf numFmtId="0" fontId="10" fillId="2" borderId="0" xfId="7" applyFont="1" applyFill="1" applyAlignment="1">
      <alignment horizontal="left"/>
    </xf>
    <xf numFmtId="2" fontId="4" fillId="0" borderId="0" xfId="7" applyNumberFormat="1"/>
    <xf numFmtId="0" fontId="32" fillId="9" borderId="1" xfId="7" applyFont="1" applyFill="1" applyBorder="1"/>
    <xf numFmtId="0" fontId="6" fillId="9" borderId="1" xfId="7" applyFont="1" applyFill="1" applyBorder="1" applyAlignment="1">
      <alignment horizontal="center"/>
    </xf>
    <xf numFmtId="0" fontId="27" fillId="9" borderId="4" xfId="7" applyFont="1" applyFill="1" applyBorder="1" applyAlignment="1">
      <alignment horizontal="center" vertical="center"/>
    </xf>
    <xf numFmtId="0" fontId="6" fillId="9" borderId="4" xfId="7" applyFont="1" applyFill="1" applyBorder="1" applyAlignment="1">
      <alignment horizontal="center"/>
    </xf>
    <xf numFmtId="0" fontId="32" fillId="9" borderId="6" xfId="7" applyFont="1" applyFill="1" applyBorder="1" applyAlignment="1">
      <alignment horizontal="center" vertical="center"/>
    </xf>
    <xf numFmtId="0" fontId="6" fillId="9" borderId="6" xfId="7" applyFont="1" applyFill="1" applyBorder="1" applyAlignment="1">
      <alignment horizontal="center"/>
    </xf>
    <xf numFmtId="0" fontId="4" fillId="7" borderId="93" xfId="7" applyFill="1" applyBorder="1" applyAlignment="1">
      <alignment horizontal="center" vertical="center"/>
    </xf>
    <xf numFmtId="170" fontId="4" fillId="7" borderId="4" xfId="7" applyNumberFormat="1" applyFill="1" applyBorder="1" applyAlignment="1">
      <alignment horizontal="right" vertical="center" indent="1"/>
    </xf>
    <xf numFmtId="170" fontId="4" fillId="7" borderId="46" xfId="7" applyNumberFormat="1" applyFill="1" applyBorder="1" applyAlignment="1">
      <alignment horizontal="right" vertical="center" indent="1"/>
    </xf>
    <xf numFmtId="170" fontId="4" fillId="7" borderId="93" xfId="7" applyNumberFormat="1" applyFill="1" applyBorder="1" applyAlignment="1">
      <alignment horizontal="right" vertical="center" indent="1"/>
    </xf>
    <xf numFmtId="170" fontId="4" fillId="7" borderId="4" xfId="7" applyNumberFormat="1" applyFill="1" applyBorder="1" applyAlignment="1">
      <alignment horizontal="right" indent="1"/>
    </xf>
    <xf numFmtId="170" fontId="10" fillId="7" borderId="93" xfId="7" applyNumberFormat="1" applyFont="1" applyFill="1" applyBorder="1" applyAlignment="1">
      <alignment horizontal="right" indent="1"/>
    </xf>
    <xf numFmtId="0" fontId="4" fillId="14" borderId="93" xfId="7" applyFill="1" applyBorder="1" applyAlignment="1">
      <alignment horizontal="center" vertical="center"/>
    </xf>
    <xf numFmtId="170" fontId="4" fillId="14" borderId="4" xfId="7" applyNumberFormat="1" applyFill="1" applyBorder="1" applyAlignment="1">
      <alignment horizontal="right" vertical="center" indent="1"/>
    </xf>
    <xf numFmtId="170" fontId="4" fillId="14" borderId="46" xfId="7" applyNumberFormat="1" applyFill="1" applyBorder="1" applyAlignment="1">
      <alignment horizontal="right" vertical="center" indent="1"/>
    </xf>
    <xf numFmtId="170" fontId="4" fillId="14" borderId="93" xfId="7" applyNumberFormat="1" applyFill="1" applyBorder="1" applyAlignment="1">
      <alignment horizontal="right" vertical="center" indent="1"/>
    </xf>
    <xf numFmtId="170" fontId="4" fillId="14" borderId="4" xfId="7" applyNumberFormat="1" applyFill="1" applyBorder="1" applyAlignment="1">
      <alignment horizontal="right" indent="1"/>
    </xf>
    <xf numFmtId="170" fontId="10" fillId="14" borderId="93" xfId="7" applyNumberFormat="1" applyFont="1" applyFill="1" applyBorder="1" applyAlignment="1">
      <alignment horizontal="right" indent="1"/>
    </xf>
    <xf numFmtId="0" fontId="4" fillId="7" borderId="93" xfId="7" applyNumberFormat="1" applyFill="1" applyBorder="1" applyAlignment="1">
      <alignment horizontal="center" vertical="center"/>
    </xf>
    <xf numFmtId="0" fontId="4" fillId="14" borderId="93" xfId="7" applyNumberFormat="1" applyFill="1" applyBorder="1" applyAlignment="1">
      <alignment horizontal="center" vertical="center"/>
    </xf>
    <xf numFmtId="0" fontId="4" fillId="0" borderId="93" xfId="7" applyNumberFormat="1" applyFill="1" applyBorder="1" applyAlignment="1">
      <alignment horizontal="center" vertical="center"/>
    </xf>
    <xf numFmtId="170" fontId="4" fillId="0" borderId="4" xfId="7" applyNumberFormat="1" applyFill="1" applyBorder="1" applyAlignment="1">
      <alignment horizontal="right" vertical="center" indent="1"/>
    </xf>
    <xf numFmtId="170" fontId="4" fillId="0" borderId="46" xfId="7" applyNumberFormat="1" applyFill="1" applyBorder="1" applyAlignment="1">
      <alignment horizontal="right" vertical="center" indent="1"/>
    </xf>
    <xf numFmtId="170" fontId="4" fillId="0" borderId="93" xfId="7" applyNumberFormat="1" applyFill="1" applyBorder="1" applyAlignment="1">
      <alignment horizontal="right" vertical="center" indent="1"/>
    </xf>
    <xf numFmtId="170" fontId="4" fillId="0" borderId="4" xfId="7" applyNumberFormat="1" applyFill="1" applyBorder="1" applyAlignment="1">
      <alignment horizontal="right" indent="1"/>
    </xf>
    <xf numFmtId="170" fontId="10" fillId="0" borderId="93" xfId="7" applyNumberFormat="1" applyFont="1" applyFill="1" applyBorder="1" applyAlignment="1">
      <alignment horizontal="right" indent="1"/>
    </xf>
    <xf numFmtId="0" fontId="4" fillId="14" borderId="93" xfId="7" applyNumberFormat="1" applyFont="1" applyFill="1" applyBorder="1" applyAlignment="1">
      <alignment horizontal="center" vertical="center"/>
    </xf>
    <xf numFmtId="170" fontId="4" fillId="14" borderId="31" xfId="7" applyNumberFormat="1" applyFill="1" applyBorder="1" applyAlignment="1">
      <alignment horizontal="right" vertical="center" indent="1"/>
    </xf>
    <xf numFmtId="170" fontId="4" fillId="14" borderId="0" xfId="7" applyNumberFormat="1" applyFill="1" applyBorder="1" applyAlignment="1">
      <alignment horizontal="right" vertical="center" indent="1"/>
    </xf>
    <xf numFmtId="0" fontId="4" fillId="7" borderId="88" xfId="7" applyFill="1" applyBorder="1" applyAlignment="1">
      <alignment horizontal="center" vertical="center"/>
    </xf>
    <xf numFmtId="170" fontId="4" fillId="7" borderId="6" xfId="7" applyNumberFormat="1" applyFill="1" applyBorder="1" applyAlignment="1">
      <alignment horizontal="right" vertical="center" indent="1"/>
    </xf>
    <xf numFmtId="170" fontId="4" fillId="7" borderId="114" xfId="7" applyNumberFormat="1" applyFill="1" applyBorder="1" applyAlignment="1">
      <alignment horizontal="right" vertical="center" indent="1"/>
    </xf>
    <xf numFmtId="170" fontId="4" fillId="7" borderId="88" xfId="7" applyNumberFormat="1" applyFill="1" applyBorder="1" applyAlignment="1">
      <alignment horizontal="right" vertical="center" indent="1"/>
    </xf>
    <xf numFmtId="170" fontId="4" fillId="7" borderId="6" xfId="7" applyNumberFormat="1" applyFill="1" applyBorder="1" applyAlignment="1">
      <alignment horizontal="right" indent="1"/>
    </xf>
    <xf numFmtId="170" fontId="10" fillId="7" borderId="88" xfId="7" applyNumberFormat="1" applyFont="1" applyFill="1" applyBorder="1" applyAlignment="1">
      <alignment horizontal="right" indent="1"/>
    </xf>
    <xf numFmtId="0" fontId="13" fillId="14" borderId="94" xfId="7" applyFont="1" applyFill="1" applyBorder="1" applyAlignment="1">
      <alignment vertical="center"/>
    </xf>
    <xf numFmtId="9" fontId="28" fillId="14" borderId="116" xfId="11" applyNumberFormat="1" applyFont="1" applyFill="1" applyBorder="1" applyAlignment="1">
      <alignment horizontal="right" vertical="center" indent="1"/>
    </xf>
    <xf numFmtId="9" fontId="28" fillId="14" borderId="32" xfId="11" applyNumberFormat="1" applyFont="1" applyFill="1" applyBorder="1" applyAlignment="1">
      <alignment horizontal="right" vertical="center" indent="1"/>
    </xf>
    <xf numFmtId="9" fontId="28" fillId="14" borderId="121" xfId="11" applyNumberFormat="1" applyFont="1" applyFill="1" applyBorder="1" applyAlignment="1">
      <alignment horizontal="right" vertical="center" indent="1"/>
    </xf>
    <xf numFmtId="9" fontId="28" fillId="14" borderId="94" xfId="11" applyNumberFormat="1" applyFont="1" applyFill="1" applyBorder="1" applyAlignment="1">
      <alignment horizontal="right" vertical="center" indent="1"/>
    </xf>
    <xf numFmtId="0" fontId="13" fillId="7" borderId="141" xfId="7" applyFont="1" applyFill="1" applyBorder="1" applyAlignment="1">
      <alignment vertical="center"/>
    </xf>
    <xf numFmtId="9" fontId="28" fillId="7" borderId="74" xfId="11" applyNumberFormat="1" applyFont="1" applyFill="1" applyBorder="1" applyAlignment="1">
      <alignment horizontal="right" vertical="center" indent="1"/>
    </xf>
    <xf numFmtId="9" fontId="28" fillId="7" borderId="33" xfId="11" applyNumberFormat="1" applyFont="1" applyFill="1" applyBorder="1" applyAlignment="1">
      <alignment horizontal="right" vertical="center" indent="1"/>
    </xf>
    <xf numFmtId="9" fontId="28" fillId="7" borderId="77" xfId="11" applyNumberFormat="1" applyFont="1" applyFill="1" applyBorder="1" applyAlignment="1">
      <alignment horizontal="right" vertical="center" indent="1"/>
    </xf>
    <xf numFmtId="9" fontId="28" fillId="7" borderId="141" xfId="11" applyNumberFormat="1" applyFont="1" applyFill="1" applyBorder="1" applyAlignment="1">
      <alignment horizontal="right" vertical="center" indent="1"/>
    </xf>
    <xf numFmtId="0" fontId="13" fillId="14" borderId="141" xfId="7" applyFont="1" applyFill="1" applyBorder="1" applyAlignment="1">
      <alignment vertical="center"/>
    </xf>
    <xf numFmtId="9" fontId="28" fillId="14" borderId="74" xfId="11" applyNumberFormat="1" applyFont="1" applyFill="1" applyBorder="1" applyAlignment="1">
      <alignment horizontal="right" vertical="center" indent="1"/>
    </xf>
    <xf numFmtId="9" fontId="28" fillId="14" borderId="33" xfId="11" applyNumberFormat="1" applyFont="1" applyFill="1" applyBorder="1" applyAlignment="1">
      <alignment horizontal="right" vertical="center" indent="1"/>
    </xf>
    <xf numFmtId="9" fontId="28" fillId="14" borderId="77" xfId="11" applyNumberFormat="1" applyFont="1" applyFill="1" applyBorder="1" applyAlignment="1">
      <alignment horizontal="right" vertical="center" indent="1"/>
    </xf>
    <xf numFmtId="9" fontId="28" fillId="14" borderId="141" xfId="11" applyNumberFormat="1" applyFont="1" applyFill="1" applyBorder="1" applyAlignment="1">
      <alignment horizontal="right" vertical="center" indent="1"/>
    </xf>
    <xf numFmtId="170" fontId="4" fillId="0" borderId="0" xfId="7" applyNumberFormat="1" applyFill="1" applyBorder="1" applyAlignment="1">
      <alignment vertical="center"/>
    </xf>
    <xf numFmtId="0" fontId="13" fillId="7" borderId="88" xfId="7" applyFont="1" applyFill="1" applyBorder="1" applyAlignment="1">
      <alignment vertical="center"/>
    </xf>
    <xf numFmtId="9" fontId="28" fillId="7" borderId="6" xfId="11" applyNumberFormat="1" applyFont="1" applyFill="1" applyBorder="1" applyAlignment="1">
      <alignment horizontal="right" vertical="center" indent="1"/>
    </xf>
    <xf numFmtId="9" fontId="28" fillId="7" borderId="68" xfId="11" applyNumberFormat="1" applyFont="1" applyFill="1" applyBorder="1" applyAlignment="1">
      <alignment horizontal="right" vertical="center" indent="1"/>
    </xf>
    <xf numFmtId="9" fontId="28" fillId="7" borderId="7" xfId="11" applyNumberFormat="1" applyFont="1" applyFill="1" applyBorder="1" applyAlignment="1">
      <alignment horizontal="right" vertical="center" indent="1"/>
    </xf>
    <xf numFmtId="9" fontId="28" fillId="7" borderId="88" xfId="11" applyNumberFormat="1" applyFont="1" applyFill="1" applyBorder="1" applyAlignment="1">
      <alignment horizontal="right" vertical="center" indent="1"/>
    </xf>
    <xf numFmtId="0" fontId="47" fillId="2" borderId="0" xfId="7" applyFont="1" applyFill="1"/>
    <xf numFmtId="0" fontId="48" fillId="2" borderId="0" xfId="7" applyFont="1" applyFill="1"/>
    <xf numFmtId="0" fontId="4" fillId="2" borderId="0" xfId="7" applyFill="1" applyBorder="1" applyAlignment="1">
      <alignment horizontal="right"/>
    </xf>
    <xf numFmtId="0" fontId="49" fillId="0" borderId="0" xfId="7" applyFont="1"/>
    <xf numFmtId="0" fontId="47" fillId="0" borderId="0" xfId="7" applyFont="1"/>
    <xf numFmtId="0" fontId="26" fillId="0" borderId="0" xfId="7" applyFont="1" applyAlignment="1">
      <alignment horizontal="left"/>
    </xf>
    <xf numFmtId="0" fontId="10" fillId="0" borderId="0" xfId="7" applyFont="1" applyAlignment="1">
      <alignment horizontal="left" indent="2"/>
    </xf>
    <xf numFmtId="0" fontId="10" fillId="0" borderId="0" xfId="7" applyFont="1" applyAlignment="1">
      <alignment horizontal="left"/>
    </xf>
    <xf numFmtId="170" fontId="4" fillId="7" borderId="4" xfId="7" applyNumberFormat="1" applyFill="1" applyBorder="1" applyAlignment="1">
      <alignment vertical="center"/>
    </xf>
    <xf numFmtId="170" fontId="4" fillId="7" borderId="46" xfId="7" applyNumberFormat="1" applyFill="1" applyBorder="1" applyAlignment="1">
      <alignment vertical="center"/>
    </xf>
    <xf numFmtId="170" fontId="4" fillId="7" borderId="93" xfId="7" applyNumberFormat="1" applyFill="1" applyBorder="1" applyAlignment="1">
      <alignment vertical="center"/>
    </xf>
    <xf numFmtId="0" fontId="4" fillId="0" borderId="0" xfId="7" applyFont="1" applyAlignment="1">
      <alignment horizontal="center"/>
    </xf>
    <xf numFmtId="4" fontId="4" fillId="0" borderId="0" xfId="7" applyNumberFormat="1" applyAlignment="1">
      <alignment horizontal="center"/>
    </xf>
    <xf numFmtId="0" fontId="4" fillId="0" borderId="93" xfId="7" applyNumberFormat="1" applyFont="1" applyFill="1" applyBorder="1" applyAlignment="1">
      <alignment horizontal="center" vertical="center"/>
    </xf>
    <xf numFmtId="10" fontId="7" fillId="0" borderId="0" xfId="11" applyNumberFormat="1" applyFont="1" applyBorder="1" applyAlignment="1">
      <alignment horizontal="center"/>
    </xf>
    <xf numFmtId="170" fontId="4" fillId="7" borderId="6" xfId="7" applyNumberFormat="1" applyFill="1" applyBorder="1" applyAlignment="1">
      <alignment vertical="center"/>
    </xf>
    <xf numFmtId="170" fontId="4" fillId="7" borderId="114" xfId="7" applyNumberFormat="1" applyFill="1" applyBorder="1" applyAlignment="1">
      <alignment vertical="center"/>
    </xf>
    <xf numFmtId="170" fontId="4" fillId="7" borderId="88" xfId="7" applyNumberFormat="1" applyFill="1" applyBorder="1" applyAlignment="1">
      <alignment vertical="center"/>
    </xf>
    <xf numFmtId="0" fontId="4" fillId="0" borderId="0" xfId="7" applyNumberFormat="1" applyAlignment="1">
      <alignment horizontal="center"/>
    </xf>
    <xf numFmtId="0" fontId="4" fillId="0" borderId="0" xfId="11" applyNumberFormat="1" applyFont="1" applyBorder="1" applyAlignment="1">
      <alignment horizontal="center"/>
    </xf>
    <xf numFmtId="0" fontId="48" fillId="0" borderId="0" xfId="7" applyFont="1"/>
    <xf numFmtId="0" fontId="4" fillId="0" borderId="0" xfId="7" applyFill="1" applyBorder="1" applyAlignment="1">
      <alignment horizontal="right"/>
    </xf>
    <xf numFmtId="0" fontId="4" fillId="0" borderId="0" xfId="7" applyAlignment="1"/>
    <xf numFmtId="170" fontId="4" fillId="0" borderId="0" xfId="7" applyNumberFormat="1" applyAlignment="1">
      <alignment horizontal="right"/>
    </xf>
    <xf numFmtId="182" fontId="4" fillId="0" borderId="0" xfId="7" applyNumberFormat="1"/>
    <xf numFmtId="0" fontId="28" fillId="14" borderId="94" xfId="7" applyFont="1" applyFill="1" applyBorder="1" applyAlignment="1">
      <alignment vertical="center"/>
    </xf>
    <xf numFmtId="171" fontId="28" fillId="14" borderId="116" xfId="11" applyNumberFormat="1" applyFont="1" applyFill="1" applyBorder="1" applyAlignment="1">
      <alignment horizontal="right" vertical="center" indent="1"/>
    </xf>
    <xf numFmtId="171" fontId="28" fillId="14" borderId="94" xfId="11" applyNumberFormat="1" applyFont="1" applyFill="1" applyBorder="1" applyAlignment="1">
      <alignment horizontal="right" vertical="center" indent="1"/>
    </xf>
    <xf numFmtId="0" fontId="28" fillId="14" borderId="141" xfId="7" applyFont="1" applyFill="1" applyBorder="1" applyAlignment="1">
      <alignment vertical="center"/>
    </xf>
    <xf numFmtId="0" fontId="28" fillId="7" borderId="88" xfId="7" applyFont="1" applyFill="1" applyBorder="1" applyAlignment="1">
      <alignment vertical="center"/>
    </xf>
    <xf numFmtId="0" fontId="27" fillId="9" borderId="1" xfId="7" applyFont="1" applyFill="1" applyBorder="1" applyAlignment="1">
      <alignment horizontal="center"/>
    </xf>
    <xf numFmtId="0" fontId="27" fillId="9" borderId="110" xfId="7" applyFont="1" applyFill="1" applyBorder="1" applyAlignment="1">
      <alignment horizontal="center" vertical="center"/>
    </xf>
    <xf numFmtId="0" fontId="27" fillId="9" borderId="35" xfId="7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 vertical="center" wrapText="1"/>
    </xf>
    <xf numFmtId="49" fontId="5" fillId="0" borderId="0" xfId="1" applyNumberFormat="1" applyFont="1" applyBorder="1" applyAlignment="1">
      <alignment horizontal="center"/>
    </xf>
    <xf numFmtId="0" fontId="6" fillId="3" borderId="0" xfId="1" applyFont="1" applyFill="1" applyBorder="1" applyAlignment="1">
      <alignment horizontal="right" vertical="center" wrapText="1"/>
    </xf>
    <xf numFmtId="0" fontId="6" fillId="3" borderId="0" xfId="1" applyFont="1" applyFill="1" applyBorder="1" applyAlignment="1">
      <alignment horizontal="right" vertical="center"/>
    </xf>
    <xf numFmtId="172" fontId="4" fillId="0" borderId="0" xfId="1" applyNumberFormat="1" applyFont="1" applyFill="1" applyBorder="1" applyAlignment="1">
      <alignment horizontal="center"/>
    </xf>
    <xf numFmtId="0" fontId="17" fillId="7" borderId="0" xfId="7" applyFont="1" applyFill="1" applyBorder="1" applyAlignment="1">
      <alignment horizontal="center" vertical="top"/>
    </xf>
    <xf numFmtId="0" fontId="4" fillId="7" borderId="0" xfId="7" applyFill="1" applyBorder="1" applyAlignment="1">
      <alignment horizontal="center" vertical="top"/>
    </xf>
    <xf numFmtId="0" fontId="27" fillId="9" borderId="1" xfId="7" applyFont="1" applyFill="1" applyBorder="1" applyAlignment="1">
      <alignment horizontal="center"/>
    </xf>
    <xf numFmtId="0" fontId="27" fillId="9" borderId="4" xfId="7" applyFont="1" applyFill="1" applyBorder="1" applyAlignment="1">
      <alignment horizontal="center"/>
    </xf>
    <xf numFmtId="0" fontId="27" fillId="9" borderId="37" xfId="7" applyFont="1" applyFill="1" applyBorder="1" applyAlignment="1">
      <alignment horizontal="center"/>
    </xf>
    <xf numFmtId="0" fontId="32" fillId="9" borderId="38" xfId="7" applyFont="1" applyFill="1" applyBorder="1" applyAlignment="1">
      <alignment horizontal="center"/>
    </xf>
    <xf numFmtId="0" fontId="32" fillId="9" borderId="39" xfId="7" applyFont="1" applyFill="1" applyBorder="1" applyAlignment="1">
      <alignment horizontal="center"/>
    </xf>
    <xf numFmtId="0" fontId="27" fillId="9" borderId="40" xfId="7" applyFont="1" applyFill="1" applyBorder="1" applyAlignment="1">
      <alignment horizontal="center"/>
    </xf>
    <xf numFmtId="0" fontId="32" fillId="9" borderId="41" xfId="7" applyFont="1" applyFill="1" applyBorder="1" applyAlignment="1">
      <alignment horizontal="center"/>
    </xf>
    <xf numFmtId="0" fontId="27" fillId="9" borderId="42" xfId="7" applyFont="1" applyFill="1" applyBorder="1" applyAlignment="1">
      <alignment horizontal="center" vertical="center" wrapText="1"/>
    </xf>
    <xf numFmtId="0" fontId="32" fillId="9" borderId="51" xfId="7" applyFont="1" applyFill="1" applyBorder="1" applyAlignment="1">
      <alignment wrapText="1"/>
    </xf>
    <xf numFmtId="0" fontId="32" fillId="9" borderId="60" xfId="7" applyFont="1" applyFill="1" applyBorder="1" applyAlignment="1">
      <alignment wrapText="1"/>
    </xf>
    <xf numFmtId="4" fontId="34" fillId="9" borderId="23" xfId="7" applyNumberFormat="1" applyFont="1" applyFill="1" applyBorder="1" applyAlignment="1">
      <alignment horizontal="center"/>
    </xf>
    <xf numFmtId="4" fontId="34" fillId="9" borderId="24" xfId="7" applyNumberFormat="1" applyFont="1" applyFill="1" applyBorder="1" applyAlignment="1">
      <alignment horizontal="center"/>
    </xf>
    <xf numFmtId="0" fontId="6" fillId="9" borderId="111" xfId="7" applyFont="1" applyFill="1" applyBorder="1" applyAlignment="1">
      <alignment horizontal="center"/>
    </xf>
    <xf numFmtId="0" fontId="6" fillId="9" borderId="112" xfId="7" applyFont="1" applyFill="1" applyBorder="1" applyAlignment="1">
      <alignment horizontal="center"/>
    </xf>
    <xf numFmtId="0" fontId="6" fillId="9" borderId="113" xfId="7" applyFont="1" applyFill="1" applyBorder="1" applyAlignment="1">
      <alignment horizontal="center"/>
    </xf>
    <xf numFmtId="0" fontId="32" fillId="9" borderId="112" xfId="7" applyFont="1" applyFill="1" applyBorder="1" applyAlignment="1">
      <alignment horizontal="center"/>
    </xf>
    <xf numFmtId="0" fontId="32" fillId="9" borderId="113" xfId="7" applyFont="1" applyFill="1" applyBorder="1" applyAlignment="1">
      <alignment horizontal="center"/>
    </xf>
    <xf numFmtId="0" fontId="27" fillId="9" borderId="111" xfId="7" applyFont="1" applyFill="1" applyBorder="1" applyAlignment="1">
      <alignment horizontal="center" vertical="center"/>
    </xf>
    <xf numFmtId="0" fontId="32" fillId="9" borderId="112" xfId="7" applyFont="1" applyFill="1" applyBorder="1" applyAlignment="1">
      <alignment horizontal="center" vertical="center"/>
    </xf>
    <xf numFmtId="0" fontId="32" fillId="9" borderId="113" xfId="7" applyFont="1" applyFill="1" applyBorder="1" applyAlignment="1">
      <alignment horizontal="center" vertical="center"/>
    </xf>
    <xf numFmtId="4" fontId="34" fillId="9" borderId="25" xfId="7" applyNumberFormat="1" applyFont="1" applyFill="1" applyBorder="1" applyAlignment="1">
      <alignment horizontal="center"/>
    </xf>
    <xf numFmtId="0" fontId="27" fillId="9" borderId="112" xfId="7" applyFont="1" applyFill="1" applyBorder="1" applyAlignment="1">
      <alignment horizontal="center" vertical="center"/>
    </xf>
    <xf numFmtId="0" fontId="27" fillId="9" borderId="113" xfId="7" applyFont="1" applyFill="1" applyBorder="1" applyAlignment="1">
      <alignment horizontal="center" vertical="center"/>
    </xf>
    <xf numFmtId="0" fontId="31" fillId="0" borderId="0" xfId="7" applyFont="1" applyAlignment="1">
      <alignment horizontal="center"/>
    </xf>
    <xf numFmtId="4" fontId="34" fillId="9" borderId="123" xfId="7" applyNumberFormat="1" applyFont="1" applyFill="1" applyBorder="1" applyAlignment="1">
      <alignment horizontal="center"/>
    </xf>
    <xf numFmtId="0" fontId="34" fillId="9" borderId="86" xfId="7" applyFont="1" applyFill="1" applyBorder="1" applyAlignment="1">
      <alignment horizontal="center"/>
    </xf>
    <xf numFmtId="0" fontId="34" fillId="9" borderId="38" xfId="7" applyFont="1" applyFill="1" applyBorder="1" applyAlignment="1">
      <alignment horizontal="center"/>
    </xf>
    <xf numFmtId="0" fontId="34" fillId="9" borderId="41" xfId="7" applyFont="1" applyFill="1" applyBorder="1" applyAlignment="1">
      <alignment horizontal="center"/>
    </xf>
    <xf numFmtId="0" fontId="34" fillId="9" borderId="85" xfId="7" applyFont="1" applyFill="1" applyBorder="1" applyAlignment="1">
      <alignment horizontal="center"/>
    </xf>
    <xf numFmtId="0" fontId="34" fillId="9" borderId="87" xfId="7" applyFont="1" applyFill="1" applyBorder="1" applyAlignment="1">
      <alignment horizontal="center"/>
    </xf>
    <xf numFmtId="0" fontId="34" fillId="9" borderId="39" xfId="7" applyFont="1" applyFill="1" applyBorder="1" applyAlignment="1">
      <alignment horizontal="center"/>
    </xf>
    <xf numFmtId="0" fontId="14" fillId="0" borderId="0" xfId="7" applyFont="1" applyFill="1" applyBorder="1" applyAlignment="1">
      <alignment horizontal="center"/>
    </xf>
    <xf numFmtId="0" fontId="10" fillId="0" borderId="0" xfId="7" applyFont="1" applyAlignment="1">
      <alignment horizontal="center"/>
    </xf>
    <xf numFmtId="0" fontId="27" fillId="9" borderId="83" xfId="7" applyFont="1" applyFill="1" applyBorder="1" applyAlignment="1">
      <alignment horizontal="center" vertical="center" wrapText="1"/>
    </xf>
    <xf numFmtId="0" fontId="27" fillId="9" borderId="88" xfId="7" applyFont="1" applyFill="1" applyBorder="1" applyAlignment="1">
      <alignment horizontal="center" vertical="center" wrapText="1"/>
    </xf>
    <xf numFmtId="0" fontId="27" fillId="9" borderId="38" xfId="7" applyFont="1" applyFill="1" applyBorder="1" applyAlignment="1">
      <alignment horizontal="center"/>
    </xf>
    <xf numFmtId="0" fontId="27" fillId="9" borderId="83" xfId="7" applyFont="1" applyFill="1" applyBorder="1" applyAlignment="1">
      <alignment horizontal="center" vertical="center"/>
    </xf>
    <xf numFmtId="0" fontId="27" fillId="9" borderId="88" xfId="7" applyFont="1" applyFill="1" applyBorder="1" applyAlignment="1">
      <alignment horizontal="center" vertical="center"/>
    </xf>
    <xf numFmtId="0" fontId="27" fillId="9" borderId="110" xfId="7" applyFont="1" applyFill="1" applyBorder="1" applyAlignment="1">
      <alignment horizontal="center" vertical="center"/>
    </xf>
    <xf numFmtId="0" fontId="27" fillId="9" borderId="69" xfId="7" applyFont="1" applyFill="1" applyBorder="1" applyAlignment="1">
      <alignment horizontal="center" vertical="center"/>
    </xf>
    <xf numFmtId="0" fontId="27" fillId="9" borderId="86" xfId="7" applyFont="1" applyFill="1" applyBorder="1" applyAlignment="1">
      <alignment horizontal="center"/>
    </xf>
    <xf numFmtId="0" fontId="27" fillId="9" borderId="119" xfId="7" applyFont="1" applyFill="1" applyBorder="1" applyAlignment="1">
      <alignment horizontal="center"/>
    </xf>
    <xf numFmtId="0" fontId="27" fillId="9" borderId="85" xfId="7" applyFont="1" applyFill="1" applyBorder="1" applyAlignment="1">
      <alignment horizontal="center"/>
    </xf>
    <xf numFmtId="0" fontId="27" fillId="9" borderId="35" xfId="7" applyFont="1" applyFill="1" applyBorder="1" applyAlignment="1">
      <alignment horizontal="center"/>
    </xf>
    <xf numFmtId="0" fontId="27" fillId="9" borderId="87" xfId="7" applyFont="1" applyFill="1" applyBorder="1" applyAlignment="1">
      <alignment horizontal="center"/>
    </xf>
    <xf numFmtId="0" fontId="27" fillId="9" borderId="39" xfId="7" applyFont="1" applyFill="1" applyBorder="1" applyAlignment="1">
      <alignment horizontal="center"/>
    </xf>
    <xf numFmtId="0" fontId="27" fillId="9" borderId="132" xfId="7" applyFont="1" applyFill="1" applyBorder="1" applyAlignment="1">
      <alignment horizontal="center"/>
    </xf>
    <xf numFmtId="0" fontId="27" fillId="9" borderId="93" xfId="7" applyFont="1" applyFill="1" applyBorder="1" applyAlignment="1">
      <alignment horizontal="center"/>
    </xf>
    <xf numFmtId="0" fontId="27" fillId="9" borderId="61" xfId="7" applyFont="1" applyFill="1" applyBorder="1" applyAlignment="1">
      <alignment horizontal="center"/>
    </xf>
    <xf numFmtId="0" fontId="27" fillId="9" borderId="48" xfId="7" applyFont="1" applyFill="1" applyBorder="1" applyAlignment="1">
      <alignment horizontal="center"/>
    </xf>
    <xf numFmtId="0" fontId="27" fillId="9" borderId="64" xfId="7" applyFont="1" applyFill="1" applyBorder="1" applyAlignment="1">
      <alignment horizontal="center"/>
    </xf>
    <xf numFmtId="0" fontId="27" fillId="9" borderId="132" xfId="7" applyFont="1" applyFill="1" applyBorder="1" applyAlignment="1">
      <alignment horizontal="center" vertical="center"/>
    </xf>
    <xf numFmtId="0" fontId="27" fillId="9" borderId="145" xfId="7" applyFont="1" applyFill="1" applyBorder="1" applyAlignment="1">
      <alignment horizontal="center" vertical="center"/>
    </xf>
    <xf numFmtId="0" fontId="27" fillId="9" borderId="61" xfId="7" applyFont="1" applyFill="1" applyBorder="1" applyAlignment="1">
      <alignment horizontal="center" vertical="center"/>
    </xf>
    <xf numFmtId="0" fontId="27" fillId="9" borderId="48" xfId="7" applyFont="1" applyFill="1" applyBorder="1" applyAlignment="1">
      <alignment horizontal="center" vertical="center"/>
    </xf>
    <xf numFmtId="0" fontId="27" fillId="9" borderId="49" xfId="7" applyFont="1" applyFill="1" applyBorder="1" applyAlignment="1">
      <alignment horizontal="center" vertical="center"/>
    </xf>
    <xf numFmtId="0" fontId="27" fillId="9" borderId="64" xfId="7" applyFont="1" applyFill="1" applyBorder="1" applyAlignment="1">
      <alignment horizontal="center" vertical="center"/>
    </xf>
    <xf numFmtId="0" fontId="34" fillId="9" borderId="40" xfId="7" applyFont="1" applyFill="1" applyBorder="1" applyAlignment="1">
      <alignment horizontal="center"/>
    </xf>
    <xf numFmtId="0" fontId="34" fillId="9" borderId="119" xfId="7" applyFont="1" applyFill="1" applyBorder="1" applyAlignment="1">
      <alignment horizontal="center"/>
    </xf>
    <xf numFmtId="0" fontId="27" fillId="9" borderId="49" xfId="7" applyFont="1" applyFill="1" applyBorder="1" applyAlignment="1">
      <alignment horizontal="center"/>
    </xf>
    <xf numFmtId="0" fontId="27" fillId="9" borderId="157" xfId="7" applyFont="1" applyFill="1" applyBorder="1" applyAlignment="1">
      <alignment horizontal="center" vertical="center"/>
    </xf>
    <xf numFmtId="0" fontId="46" fillId="9" borderId="111" xfId="7" applyFont="1" applyFill="1" applyBorder="1" applyAlignment="1">
      <alignment horizontal="center"/>
    </xf>
    <xf numFmtId="0" fontId="46" fillId="9" borderId="112" xfId="7" applyFont="1" applyFill="1" applyBorder="1" applyAlignment="1">
      <alignment horizontal="center"/>
    </xf>
    <xf numFmtId="0" fontId="46" fillId="9" borderId="113" xfId="7" applyFont="1" applyFill="1" applyBorder="1" applyAlignment="1">
      <alignment horizontal="center"/>
    </xf>
    <xf numFmtId="0" fontId="46" fillId="9" borderId="83" xfId="7" applyFont="1" applyFill="1" applyBorder="1" applyAlignment="1">
      <alignment horizontal="center" vertical="center" wrapText="1"/>
    </xf>
    <xf numFmtId="0" fontId="46" fillId="9" borderId="93" xfId="7" applyFont="1" applyFill="1" applyBorder="1" applyAlignment="1">
      <alignment horizontal="center" vertical="center" wrapText="1"/>
    </xf>
    <xf numFmtId="0" fontId="46" fillId="9" borderId="88" xfId="7" applyFont="1" applyFill="1" applyBorder="1" applyAlignment="1">
      <alignment horizontal="center" vertical="center" wrapText="1"/>
    </xf>
    <xf numFmtId="0" fontId="27" fillId="9" borderId="4" xfId="7" applyFont="1" applyFill="1" applyBorder="1" applyAlignment="1">
      <alignment horizontal="center" vertical="center"/>
    </xf>
    <xf numFmtId="0" fontId="27" fillId="9" borderId="6" xfId="7" applyFont="1" applyFill="1" applyBorder="1" applyAlignment="1">
      <alignment horizontal="center" vertical="center"/>
    </xf>
    <xf numFmtId="0" fontId="27" fillId="9" borderId="35" xfId="7" applyFont="1" applyFill="1" applyBorder="1" applyAlignment="1">
      <alignment horizontal="center" vertical="center"/>
    </xf>
    <xf numFmtId="0" fontId="27" fillId="9" borderId="68" xfId="7" applyFont="1" applyFill="1" applyBorder="1" applyAlignment="1">
      <alignment horizontal="center" vertical="center"/>
    </xf>
    <xf numFmtId="0" fontId="27" fillId="9" borderId="0" xfId="7" applyFont="1" applyFill="1" applyBorder="1" applyAlignment="1">
      <alignment horizontal="center" vertical="center" wrapText="1"/>
    </xf>
    <xf numFmtId="0" fontId="27" fillId="9" borderId="7" xfId="7" applyFont="1" applyFill="1" applyBorder="1" applyAlignment="1">
      <alignment horizontal="center" vertical="center" wrapText="1"/>
    </xf>
    <xf numFmtId="0" fontId="27" fillId="9" borderId="93" xfId="7" applyFont="1" applyFill="1" applyBorder="1" applyAlignment="1">
      <alignment horizontal="center" vertical="center" wrapText="1"/>
    </xf>
    <xf numFmtId="0" fontId="32" fillId="9" borderId="88" xfId="7" applyFont="1" applyFill="1" applyBorder="1"/>
    <xf numFmtId="0" fontId="2" fillId="0" borderId="0" xfId="7" applyFont="1" applyAlignment="1">
      <alignment wrapText="1"/>
    </xf>
    <xf numFmtId="0" fontId="2" fillId="2" borderId="0" xfId="7" applyFont="1" applyFill="1" applyAlignment="1">
      <alignment wrapText="1"/>
    </xf>
    <xf numFmtId="170" fontId="2" fillId="7" borderId="45" xfId="7" applyNumberFormat="1" applyFont="1" applyFill="1" applyBorder="1" applyAlignment="1">
      <alignment horizontal="right" wrapText="1" indent="1"/>
    </xf>
    <xf numFmtId="3" fontId="2" fillId="7" borderId="65" xfId="7" applyNumberFormat="1" applyFont="1" applyFill="1" applyBorder="1" applyAlignment="1">
      <alignment horizontal="center" wrapText="1"/>
    </xf>
    <xf numFmtId="176" fontId="2" fillId="7" borderId="93" xfId="7" applyNumberFormat="1" applyFont="1" applyFill="1" applyBorder="1" applyAlignment="1">
      <alignment horizontal="center" wrapText="1"/>
    </xf>
    <xf numFmtId="176" fontId="2" fillId="7" borderId="4" xfId="7" applyNumberFormat="1" applyFont="1" applyFill="1" applyBorder="1" applyAlignment="1">
      <alignment horizontal="center" wrapText="1"/>
    </xf>
    <xf numFmtId="0" fontId="50" fillId="2" borderId="0" xfId="1" applyFont="1" applyFill="1" applyAlignment="1"/>
    <xf numFmtId="0" fontId="35" fillId="2" borderId="0" xfId="1" applyFont="1" applyFill="1" applyAlignment="1"/>
    <xf numFmtId="0" fontId="38" fillId="16" borderId="1" xfId="1" applyFont="1" applyFill="1" applyBorder="1"/>
    <xf numFmtId="0" fontId="38" fillId="16" borderId="2" xfId="1" applyFont="1" applyFill="1" applyBorder="1"/>
    <xf numFmtId="0" fontId="38" fillId="16" borderId="9" xfId="1" applyFont="1" applyFill="1" applyBorder="1" applyAlignment="1">
      <alignment horizontal="center"/>
    </xf>
    <xf numFmtId="0" fontId="38" fillId="16" borderId="10" xfId="1" applyFont="1" applyFill="1" applyBorder="1" applyAlignment="1"/>
    <xf numFmtId="0" fontId="38" fillId="16" borderId="10" xfId="1" applyFont="1" applyFill="1" applyBorder="1" applyAlignment="1">
      <alignment horizontal="center"/>
    </xf>
    <xf numFmtId="0" fontId="38" fillId="16" borderId="3" xfId="1" applyFont="1" applyFill="1" applyBorder="1" applyAlignment="1">
      <alignment horizontal="center"/>
    </xf>
    <xf numFmtId="0" fontId="38" fillId="16" borderId="11" xfId="1" applyFont="1" applyFill="1" applyBorder="1"/>
    <xf numFmtId="0" fontId="27" fillId="16" borderId="12" xfId="1" applyFont="1" applyFill="1" applyBorder="1"/>
    <xf numFmtId="0" fontId="27" fillId="16" borderId="12" xfId="1" applyFont="1" applyFill="1" applyBorder="1" applyAlignment="1">
      <alignment horizontal="right"/>
    </xf>
    <xf numFmtId="16" fontId="38" fillId="16" borderId="13" xfId="1" quotePrefix="1" applyNumberFormat="1" applyFont="1" applyFill="1" applyBorder="1" applyAlignment="1">
      <alignment horizontal="center"/>
    </xf>
    <xf numFmtId="16" fontId="38" fillId="16" borderId="14" xfId="1" quotePrefix="1" applyNumberFormat="1" applyFont="1" applyFill="1" applyBorder="1" applyAlignment="1">
      <alignment horizontal="center"/>
    </xf>
    <xf numFmtId="0" fontId="32" fillId="0" borderId="0" xfId="1" applyFont="1"/>
    <xf numFmtId="0" fontId="38" fillId="16" borderId="16" xfId="1" applyFont="1" applyFill="1" applyBorder="1"/>
    <xf numFmtId="3" fontId="27" fillId="16" borderId="17" xfId="1" applyNumberFormat="1" applyFont="1" applyFill="1" applyBorder="1"/>
    <xf numFmtId="170" fontId="38" fillId="16" borderId="18" xfId="1" applyNumberFormat="1" applyFont="1" applyFill="1" applyBorder="1" applyAlignment="1">
      <alignment horizontal="center"/>
    </xf>
    <xf numFmtId="171" fontId="38" fillId="16" borderId="19" xfId="15" applyNumberFormat="1" applyFont="1" applyFill="1" applyBorder="1" applyAlignment="1">
      <alignment horizontal="center"/>
    </xf>
    <xf numFmtId="170" fontId="38" fillId="16" borderId="19" xfId="1" applyNumberFormat="1" applyFont="1" applyFill="1" applyBorder="1" applyAlignment="1">
      <alignment horizontal="center"/>
    </xf>
    <xf numFmtId="171" fontId="38" fillId="16" borderId="20" xfId="15" applyNumberFormat="1" applyFont="1" applyFill="1" applyBorder="1" applyAlignment="1">
      <alignment horizontal="center"/>
    </xf>
    <xf numFmtId="3" fontId="38" fillId="6" borderId="0" xfId="1" applyNumberFormat="1" applyFont="1" applyFill="1" applyBorder="1"/>
    <xf numFmtId="0" fontId="38" fillId="16" borderId="26" xfId="1" applyFont="1" applyFill="1" applyBorder="1"/>
    <xf numFmtId="3" fontId="27" fillId="16" borderId="24" xfId="1" applyNumberFormat="1" applyFont="1" applyFill="1" applyBorder="1"/>
    <xf numFmtId="3" fontId="27" fillId="16" borderId="27" xfId="1" applyNumberFormat="1" applyFont="1" applyFill="1" applyBorder="1"/>
    <xf numFmtId="0" fontId="38" fillId="16" borderId="4" xfId="1" applyFont="1" applyFill="1" applyBorder="1"/>
    <xf numFmtId="172" fontId="27" fillId="16" borderId="0" xfId="1" applyNumberFormat="1" applyFont="1" applyFill="1" applyBorder="1"/>
    <xf numFmtId="1" fontId="27" fillId="16" borderId="0" xfId="1" applyNumberFormat="1" applyFont="1" applyFill="1" applyBorder="1"/>
    <xf numFmtId="3" fontId="27" fillId="16" borderId="0" xfId="1" applyNumberFormat="1" applyFont="1" applyFill="1" applyBorder="1"/>
    <xf numFmtId="0" fontId="27" fillId="16" borderId="0" xfId="1" applyFont="1" applyFill="1" applyBorder="1"/>
    <xf numFmtId="0" fontId="38" fillId="16" borderId="21" xfId="1" applyFont="1" applyFill="1" applyBorder="1"/>
    <xf numFmtId="0" fontId="38" fillId="16" borderId="22" xfId="1" applyFont="1" applyFill="1" applyBorder="1"/>
    <xf numFmtId="170" fontId="38" fillId="16" borderId="22" xfId="1" applyNumberFormat="1" applyFont="1" applyFill="1" applyBorder="1" applyAlignment="1">
      <alignment horizontal="center"/>
    </xf>
    <xf numFmtId="0" fontId="38" fillId="16" borderId="5" xfId="1" applyFont="1" applyFill="1" applyBorder="1"/>
    <xf numFmtId="0" fontId="4" fillId="18" borderId="4" xfId="7" applyFill="1" applyBorder="1" applyAlignment="1">
      <alignment horizontal="center"/>
    </xf>
    <xf numFmtId="170" fontId="4" fillId="18" borderId="43" xfId="7" applyNumberFormat="1" applyFill="1" applyBorder="1" applyAlignment="1">
      <alignment horizontal="center"/>
    </xf>
    <xf numFmtId="170" fontId="4" fillId="18" borderId="44" xfId="7" applyNumberFormat="1" applyFill="1" applyBorder="1" applyAlignment="1">
      <alignment horizontal="center"/>
    </xf>
    <xf numFmtId="170" fontId="4" fillId="18" borderId="0" xfId="7" applyNumberFormat="1" applyFill="1" applyBorder="1"/>
    <xf numFmtId="170" fontId="4" fillId="18" borderId="31" xfId="7" applyNumberFormat="1" applyFill="1" applyBorder="1"/>
    <xf numFmtId="170" fontId="4" fillId="18" borderId="5" xfId="7" applyNumberFormat="1" applyFill="1" applyBorder="1"/>
    <xf numFmtId="170" fontId="4" fillId="18" borderId="65" xfId="7" applyNumberFormat="1" applyFill="1" applyBorder="1"/>
    <xf numFmtId="170" fontId="4" fillId="18" borderId="46" xfId="7" applyNumberFormat="1" applyFill="1" applyBorder="1"/>
    <xf numFmtId="170" fontId="4" fillId="18" borderId="45" xfId="7" applyNumberFormat="1" applyFill="1" applyBorder="1"/>
    <xf numFmtId="172" fontId="4" fillId="11" borderId="51" xfId="7" applyNumberFormat="1" applyFont="1" applyFill="1" applyBorder="1"/>
    <xf numFmtId="0" fontId="27" fillId="9" borderId="162" xfId="7" applyFont="1" applyFill="1" applyBorder="1" applyAlignment="1">
      <alignment horizontal="center"/>
    </xf>
    <xf numFmtId="0" fontId="27" fillId="9" borderId="163" xfId="7" applyFont="1" applyFill="1" applyBorder="1" applyAlignment="1">
      <alignment horizontal="center"/>
    </xf>
    <xf numFmtId="172" fontId="4" fillId="18" borderId="31" xfId="7" applyNumberFormat="1" applyFill="1" applyBorder="1"/>
    <xf numFmtId="0" fontId="4" fillId="11" borderId="4" xfId="7" applyFill="1" applyBorder="1" applyAlignment="1">
      <alignment horizontal="center"/>
    </xf>
    <xf numFmtId="170" fontId="4" fillId="11" borderId="0" xfId="7" applyNumberFormat="1" applyFill="1" applyBorder="1"/>
    <xf numFmtId="170" fontId="4" fillId="11" borderId="31" xfId="7" applyNumberFormat="1" applyFill="1" applyBorder="1"/>
    <xf numFmtId="172" fontId="4" fillId="11" borderId="31" xfId="7" applyNumberFormat="1" applyFill="1" applyBorder="1"/>
    <xf numFmtId="170" fontId="4" fillId="11" borderId="45" xfId="7" applyNumberFormat="1" applyFill="1" applyBorder="1"/>
    <xf numFmtId="0" fontId="35" fillId="11" borderId="4" xfId="7" applyFont="1" applyFill="1" applyBorder="1" applyAlignment="1">
      <alignment horizontal="center"/>
    </xf>
    <xf numFmtId="170" fontId="35" fillId="18" borderId="43" xfId="7" applyNumberFormat="1" applyFont="1" applyFill="1" applyBorder="1" applyAlignment="1">
      <alignment horizontal="center"/>
    </xf>
    <xf numFmtId="170" fontId="35" fillId="18" borderId="44" xfId="7" applyNumberFormat="1" applyFont="1" applyFill="1" applyBorder="1" applyAlignment="1">
      <alignment horizontal="center"/>
    </xf>
    <xf numFmtId="170" fontId="35" fillId="18" borderId="0" xfId="7" applyNumberFormat="1" applyFont="1" applyFill="1" applyBorder="1"/>
    <xf numFmtId="170" fontId="35" fillId="18" borderId="31" xfId="7" applyNumberFormat="1" applyFont="1" applyFill="1" applyBorder="1"/>
    <xf numFmtId="170" fontId="35" fillId="18" borderId="65" xfId="7" applyNumberFormat="1" applyFont="1" applyFill="1" applyBorder="1"/>
    <xf numFmtId="170" fontId="35" fillId="11" borderId="0" xfId="7" applyNumberFormat="1" applyFont="1" applyFill="1" applyBorder="1"/>
    <xf numFmtId="170" fontId="35" fillId="11" borderId="31" xfId="7" applyNumberFormat="1" applyFont="1" applyFill="1" applyBorder="1"/>
    <xf numFmtId="172" fontId="35" fillId="11" borderId="31" xfId="7" applyNumberFormat="1" applyFont="1" applyFill="1" applyBorder="1"/>
    <xf numFmtId="170" fontId="35" fillId="11" borderId="45" xfId="7" applyNumberFormat="1" applyFont="1" applyFill="1" applyBorder="1"/>
    <xf numFmtId="172" fontId="35" fillId="11" borderId="51" xfId="7" applyNumberFormat="1" applyFont="1" applyFill="1" applyBorder="1"/>
    <xf numFmtId="0" fontId="13" fillId="11" borderId="4" xfId="7" applyFont="1" applyFill="1" applyBorder="1"/>
    <xf numFmtId="171" fontId="13" fillId="11" borderId="72" xfId="11" applyNumberFormat="1" applyFont="1" applyFill="1" applyBorder="1" applyAlignment="1">
      <alignment horizontal="center"/>
    </xf>
    <xf numFmtId="9" fontId="28" fillId="11" borderId="73" xfId="11" applyFont="1" applyFill="1" applyBorder="1" applyAlignment="1">
      <alignment horizontal="center"/>
    </xf>
    <xf numFmtId="9" fontId="21" fillId="11" borderId="0" xfId="11" applyNumberFormat="1" applyFont="1" applyFill="1" applyBorder="1" applyAlignment="1">
      <alignment horizontal="center"/>
    </xf>
    <xf numFmtId="9" fontId="21" fillId="11" borderId="31" xfId="11" applyFont="1" applyFill="1" applyBorder="1" applyAlignment="1">
      <alignment horizontal="center"/>
    </xf>
    <xf numFmtId="9" fontId="28" fillId="11" borderId="65" xfId="11" applyNumberFormat="1" applyFont="1" applyFill="1" applyBorder="1" applyAlignment="1">
      <alignment horizontal="center"/>
    </xf>
    <xf numFmtId="171" fontId="21" fillId="11" borderId="0" xfId="11" applyNumberFormat="1" applyFont="1" applyFill="1" applyBorder="1" applyAlignment="1">
      <alignment horizontal="center"/>
    </xf>
    <xf numFmtId="9" fontId="4" fillId="11" borderId="33" xfId="11" applyFont="1" applyFill="1" applyBorder="1" applyAlignment="1">
      <alignment horizontal="center"/>
    </xf>
    <xf numFmtId="9" fontId="21" fillId="11" borderId="45" xfId="11" applyNumberFormat="1" applyFont="1" applyFill="1" applyBorder="1" applyAlignment="1">
      <alignment horizontal="center"/>
    </xf>
    <xf numFmtId="9" fontId="21" fillId="11" borderId="51" xfId="11" applyFont="1" applyFill="1" applyBorder="1" applyAlignment="1">
      <alignment horizontal="center"/>
    </xf>
    <xf numFmtId="9" fontId="13" fillId="11" borderId="43" xfId="11" applyFont="1" applyFill="1" applyBorder="1" applyAlignment="1">
      <alignment horizontal="center"/>
    </xf>
    <xf numFmtId="9" fontId="28" fillId="11" borderId="76" xfId="11" applyFont="1" applyFill="1" applyBorder="1" applyAlignment="1">
      <alignment horizontal="center"/>
    </xf>
    <xf numFmtId="9" fontId="21" fillId="11" borderId="77" xfId="11" applyFont="1" applyFill="1" applyBorder="1" applyAlignment="1">
      <alignment horizontal="center"/>
    </xf>
    <xf numFmtId="9" fontId="21" fillId="11" borderId="33" xfId="11" applyFont="1" applyFill="1" applyBorder="1" applyAlignment="1">
      <alignment horizontal="center"/>
    </xf>
    <xf numFmtId="171" fontId="28" fillId="11" borderId="78" xfId="11" applyNumberFormat="1" applyFont="1" applyFill="1" applyBorder="1" applyAlignment="1">
      <alignment horizontal="center"/>
    </xf>
    <xf numFmtId="9" fontId="28" fillId="11" borderId="78" xfId="11" applyFont="1" applyFill="1" applyBorder="1" applyAlignment="1">
      <alignment horizontal="center"/>
    </xf>
    <xf numFmtId="9" fontId="21" fillId="11" borderId="79" xfId="11" applyFont="1" applyFill="1" applyBorder="1" applyAlignment="1">
      <alignment horizontal="center"/>
    </xf>
    <xf numFmtId="9" fontId="21" fillId="11" borderId="80" xfId="11" applyFont="1" applyFill="1" applyBorder="1" applyAlignment="1">
      <alignment horizontal="center"/>
    </xf>
    <xf numFmtId="176" fontId="4" fillId="19" borderId="93" xfId="7" applyNumberFormat="1" applyFill="1" applyBorder="1" applyAlignment="1">
      <alignment horizontal="center"/>
    </xf>
    <xf numFmtId="170" fontId="14" fillId="19" borderId="45" xfId="7" applyNumberFormat="1" applyFont="1" applyFill="1" applyBorder="1"/>
    <xf numFmtId="170" fontId="4" fillId="19" borderId="45" xfId="7" applyNumberFormat="1" applyFill="1" applyBorder="1"/>
    <xf numFmtId="170" fontId="4" fillId="19" borderId="46" xfId="7" applyNumberFormat="1" applyFill="1" applyBorder="1"/>
    <xf numFmtId="172" fontId="4" fillId="19" borderId="31" xfId="7" quotePrefix="1" applyNumberFormat="1" applyFill="1" applyBorder="1" applyAlignment="1">
      <alignment horizontal="center"/>
    </xf>
    <xf numFmtId="172" fontId="4" fillId="19" borderId="46" xfId="7" applyNumberFormat="1" applyFill="1" applyBorder="1"/>
    <xf numFmtId="170" fontId="4" fillId="19" borderId="51" xfId="7" applyNumberFormat="1" applyFont="1" applyFill="1" applyBorder="1"/>
    <xf numFmtId="170" fontId="4" fillId="19" borderId="31" xfId="7" applyNumberFormat="1" applyFill="1" applyBorder="1"/>
    <xf numFmtId="172" fontId="4" fillId="19" borderId="31" xfId="7" applyNumberFormat="1" applyFill="1" applyBorder="1" applyAlignment="1">
      <alignment horizontal="right"/>
    </xf>
    <xf numFmtId="172" fontId="4" fillId="19" borderId="31" xfId="7" applyNumberFormat="1" applyFill="1" applyBorder="1"/>
    <xf numFmtId="0" fontId="13" fillId="19" borderId="94" xfId="7" applyFont="1" applyFill="1" applyBorder="1"/>
    <xf numFmtId="9" fontId="28" fillId="19" borderId="95" xfId="11" applyNumberFormat="1" applyFont="1" applyFill="1" applyBorder="1" applyAlignment="1">
      <alignment horizontal="center"/>
    </xf>
    <xf numFmtId="9" fontId="28" fillId="19" borderId="32" xfId="11" applyNumberFormat="1" applyFont="1" applyFill="1" applyBorder="1" applyAlignment="1">
      <alignment horizontal="center"/>
    </xf>
    <xf numFmtId="0" fontId="13" fillId="19" borderId="96" xfId="7" applyFont="1" applyFill="1" applyBorder="1"/>
    <xf numFmtId="9" fontId="28" fillId="19" borderId="97" xfId="11" applyNumberFormat="1" applyFont="1" applyFill="1" applyBorder="1" applyAlignment="1">
      <alignment horizontal="center"/>
    </xf>
    <xf numFmtId="9" fontId="28" fillId="19" borderId="98" xfId="11" applyNumberFormat="1" applyFont="1" applyFill="1" applyBorder="1" applyAlignment="1">
      <alignment horizontal="center"/>
    </xf>
    <xf numFmtId="176" fontId="4" fillId="19" borderId="93" xfId="7" applyNumberFormat="1" applyFont="1" applyFill="1" applyBorder="1" applyAlignment="1">
      <alignment horizontal="center"/>
    </xf>
    <xf numFmtId="170" fontId="4" fillId="19" borderId="45" xfId="7" applyNumberFormat="1" applyFont="1" applyFill="1" applyBorder="1"/>
    <xf numFmtId="170" fontId="4" fillId="19" borderId="31" xfId="7" applyNumberFormat="1" applyFont="1" applyFill="1" applyBorder="1"/>
    <xf numFmtId="172" fontId="4" fillId="19" borderId="46" xfId="7" applyNumberFormat="1" applyFont="1" applyFill="1" applyBorder="1"/>
    <xf numFmtId="176" fontId="14" fillId="19" borderId="93" xfId="7" applyNumberFormat="1" applyFont="1" applyFill="1" applyBorder="1" applyAlignment="1">
      <alignment horizontal="center"/>
    </xf>
    <xf numFmtId="172" fontId="4" fillId="19" borderId="31" xfId="7" applyNumberFormat="1" applyFont="1" applyFill="1" applyBorder="1"/>
    <xf numFmtId="9" fontId="13" fillId="19" borderId="95" xfId="11" applyNumberFormat="1" applyFont="1" applyFill="1" applyBorder="1" applyAlignment="1">
      <alignment horizontal="center"/>
    </xf>
    <xf numFmtId="9" fontId="13" fillId="19" borderId="32" xfId="11" applyNumberFormat="1" applyFont="1" applyFill="1" applyBorder="1" applyAlignment="1">
      <alignment horizontal="center"/>
    </xf>
    <xf numFmtId="171" fontId="13" fillId="19" borderId="102" xfId="11" applyNumberFormat="1" applyFont="1" applyFill="1" applyBorder="1" applyAlignment="1">
      <alignment horizontal="center"/>
    </xf>
    <xf numFmtId="9" fontId="13" fillId="19" borderId="103" xfId="11" applyNumberFormat="1" applyFont="1" applyFill="1" applyBorder="1" applyAlignment="1">
      <alignment horizontal="center"/>
    </xf>
    <xf numFmtId="9" fontId="13" fillId="19" borderId="102" xfId="11" applyNumberFormat="1" applyFont="1" applyFill="1" applyBorder="1" applyAlignment="1">
      <alignment horizontal="center"/>
    </xf>
    <xf numFmtId="9" fontId="13" fillId="19" borderId="97" xfId="11" applyNumberFormat="1" applyFont="1" applyFill="1" applyBorder="1" applyAlignment="1">
      <alignment horizontal="center"/>
    </xf>
    <xf numFmtId="9" fontId="13" fillId="19" borderId="98" xfId="11" applyNumberFormat="1" applyFont="1" applyFill="1" applyBorder="1" applyAlignment="1">
      <alignment horizontal="center"/>
    </xf>
    <xf numFmtId="9" fontId="13" fillId="19" borderId="104" xfId="11" applyNumberFormat="1" applyFont="1" applyFill="1" applyBorder="1" applyAlignment="1">
      <alignment horizontal="center"/>
    </xf>
    <xf numFmtId="9" fontId="13" fillId="19" borderId="105" xfId="11" applyNumberFormat="1" applyFont="1" applyFill="1" applyBorder="1" applyAlignment="1">
      <alignment horizontal="center"/>
    </xf>
    <xf numFmtId="176" fontId="4" fillId="19" borderId="4" xfId="7" applyNumberFormat="1" applyFont="1" applyFill="1" applyBorder="1" applyAlignment="1">
      <alignment horizontal="center"/>
    </xf>
    <xf numFmtId="170" fontId="14" fillId="19" borderId="65" xfId="7" applyNumberFormat="1" applyFont="1" applyFill="1" applyBorder="1" applyAlignment="1"/>
    <xf numFmtId="170" fontId="28" fillId="19" borderId="31" xfId="7" applyNumberFormat="1" applyFont="1" applyFill="1" applyBorder="1" applyAlignment="1"/>
    <xf numFmtId="170" fontId="4" fillId="19" borderId="0" xfId="7" applyNumberFormat="1" applyFill="1"/>
    <xf numFmtId="170" fontId="4" fillId="19" borderId="0" xfId="7" applyNumberFormat="1" applyFill="1" applyBorder="1"/>
    <xf numFmtId="4" fontId="14" fillId="19" borderId="65" xfId="7" applyNumberFormat="1" applyFont="1" applyFill="1" applyBorder="1" applyAlignment="1"/>
    <xf numFmtId="4" fontId="28" fillId="19" borderId="31" xfId="7" applyNumberFormat="1" applyFont="1" applyFill="1" applyBorder="1" applyAlignment="1"/>
    <xf numFmtId="4" fontId="4" fillId="19" borderId="46" xfId="7" applyNumberFormat="1" applyFill="1" applyBorder="1" applyAlignment="1"/>
    <xf numFmtId="4" fontId="4" fillId="19" borderId="56" xfId="7" applyNumberFormat="1" applyFill="1" applyBorder="1" applyAlignment="1"/>
    <xf numFmtId="4" fontId="4" fillId="19" borderId="0" xfId="7" applyNumberFormat="1" applyFill="1" applyBorder="1" applyAlignment="1"/>
    <xf numFmtId="170" fontId="4" fillId="19" borderId="46" xfId="7" applyNumberFormat="1" applyFill="1" applyBorder="1" applyAlignment="1"/>
    <xf numFmtId="170" fontId="4" fillId="19" borderId="31" xfId="7" applyNumberFormat="1" applyFill="1" applyBorder="1" applyAlignment="1"/>
    <xf numFmtId="170" fontId="4" fillId="19" borderId="0" xfId="7" applyNumberFormat="1" applyFill="1" applyBorder="1" applyAlignment="1"/>
    <xf numFmtId="0" fontId="13" fillId="19" borderId="74" xfId="7" applyFont="1" applyFill="1" applyBorder="1" applyAlignment="1">
      <alignment horizontal="center" wrapText="1"/>
    </xf>
    <xf numFmtId="9" fontId="28" fillId="19" borderId="78" xfId="11" applyFont="1" applyFill="1" applyBorder="1" applyAlignment="1">
      <alignment horizontal="center"/>
    </xf>
    <xf numFmtId="9" fontId="28" fillId="19" borderId="117" xfId="11" applyFont="1" applyFill="1" applyBorder="1" applyAlignment="1">
      <alignment horizontal="center"/>
    </xf>
    <xf numFmtId="9" fontId="21" fillId="19" borderId="117" xfId="11" applyFont="1" applyFill="1" applyBorder="1"/>
    <xf numFmtId="9" fontId="21" fillId="19" borderId="117" xfId="11" quotePrefix="1" applyFont="1" applyFill="1" applyBorder="1" applyAlignment="1">
      <alignment horizontal="right"/>
    </xf>
    <xf numFmtId="9" fontId="21" fillId="19" borderId="80" xfId="11" quotePrefix="1" applyFont="1" applyFill="1" applyBorder="1" applyAlignment="1">
      <alignment horizontal="right"/>
    </xf>
    <xf numFmtId="0" fontId="13" fillId="19" borderId="81" xfId="7" applyFont="1" applyFill="1" applyBorder="1" applyAlignment="1">
      <alignment horizontal="center" wrapText="1"/>
    </xf>
    <xf numFmtId="9" fontId="28" fillId="19" borderId="118" xfId="11" applyFont="1" applyFill="1" applyBorder="1" applyAlignment="1">
      <alignment horizontal="center"/>
    </xf>
    <xf numFmtId="9" fontId="28" fillId="19" borderId="108" xfId="11" applyFont="1" applyFill="1" applyBorder="1" applyAlignment="1">
      <alignment horizontal="center"/>
    </xf>
    <xf numFmtId="9" fontId="21" fillId="19" borderId="108" xfId="11" applyFont="1" applyFill="1" applyBorder="1"/>
    <xf numFmtId="9" fontId="21" fillId="19" borderId="108" xfId="11" quotePrefix="1" applyFont="1" applyFill="1" applyBorder="1" applyAlignment="1">
      <alignment horizontal="right"/>
    </xf>
    <xf numFmtId="9" fontId="21" fillId="19" borderId="109" xfId="11" quotePrefix="1" applyFont="1" applyFill="1" applyBorder="1" applyAlignment="1">
      <alignment horizontal="right"/>
    </xf>
    <xf numFmtId="9" fontId="21" fillId="19" borderId="80" xfId="11" applyFont="1" applyFill="1" applyBorder="1"/>
    <xf numFmtId="9" fontId="21" fillId="19" borderId="108" xfId="11" applyNumberFormat="1" applyFont="1" applyFill="1" applyBorder="1"/>
    <xf numFmtId="9" fontId="21" fillId="19" borderId="109" xfId="11" applyFont="1" applyFill="1" applyBorder="1"/>
    <xf numFmtId="170" fontId="28" fillId="19" borderId="65" xfId="7" applyNumberFormat="1" applyFont="1" applyFill="1" applyBorder="1" applyAlignment="1"/>
    <xf numFmtId="170" fontId="4" fillId="19" borderId="51" xfId="7" applyNumberFormat="1" applyFill="1" applyBorder="1"/>
    <xf numFmtId="170" fontId="4" fillId="19" borderId="51" xfId="7" applyNumberFormat="1" applyFill="1" applyBorder="1" applyAlignment="1"/>
    <xf numFmtId="9" fontId="21" fillId="19" borderId="74" xfId="11" applyFont="1" applyFill="1" applyBorder="1"/>
    <xf numFmtId="9" fontId="21" fillId="19" borderId="33" xfId="11" applyFont="1" applyFill="1" applyBorder="1"/>
    <xf numFmtId="9" fontId="21" fillId="19" borderId="81" xfId="11" applyFont="1" applyFill="1" applyBorder="1"/>
    <xf numFmtId="9" fontId="21" fillId="19" borderId="100" xfId="11" applyFont="1" applyFill="1" applyBorder="1"/>
    <xf numFmtId="4" fontId="28" fillId="19" borderId="65" xfId="7" applyNumberFormat="1" applyFont="1" applyFill="1" applyBorder="1" applyAlignment="1"/>
    <xf numFmtId="4" fontId="4" fillId="19" borderId="31" xfId="7" applyNumberFormat="1" applyFill="1" applyBorder="1" applyAlignment="1"/>
    <xf numFmtId="9" fontId="21" fillId="19" borderId="118" xfId="11" applyFont="1" applyFill="1" applyBorder="1"/>
    <xf numFmtId="170" fontId="4" fillId="19" borderId="5" xfId="7" applyNumberFormat="1" applyFill="1" applyBorder="1" applyAlignment="1"/>
    <xf numFmtId="4" fontId="4" fillId="19" borderId="5" xfId="7" applyNumberFormat="1" applyFill="1" applyBorder="1" applyAlignment="1"/>
    <xf numFmtId="178" fontId="14" fillId="19" borderId="45" xfId="7" applyNumberFormat="1" applyFont="1" applyFill="1" applyBorder="1"/>
    <xf numFmtId="178" fontId="4" fillId="19" borderId="45" xfId="7" applyNumberFormat="1" applyFill="1" applyBorder="1"/>
    <xf numFmtId="178" fontId="4" fillId="19" borderId="46" xfId="7" applyNumberFormat="1" applyFill="1" applyBorder="1"/>
    <xf numFmtId="178" fontId="4" fillId="19" borderId="31" xfId="7" quotePrefix="1" applyNumberFormat="1" applyFill="1" applyBorder="1" applyAlignment="1">
      <alignment horizontal="center"/>
    </xf>
    <xf numFmtId="178" fontId="4" fillId="19" borderId="31" xfId="7" applyNumberFormat="1" applyFill="1" applyBorder="1"/>
    <xf numFmtId="178" fontId="4" fillId="19" borderId="0" xfId="7" applyNumberFormat="1" applyFill="1" applyBorder="1"/>
    <xf numFmtId="178" fontId="4" fillId="19" borderId="51" xfId="7" applyNumberFormat="1" applyFont="1" applyFill="1" applyBorder="1"/>
    <xf numFmtId="178" fontId="4" fillId="19" borderId="31" xfId="7" applyNumberFormat="1" applyFill="1" applyBorder="1" applyAlignment="1">
      <alignment horizontal="right"/>
    </xf>
    <xf numFmtId="9" fontId="21" fillId="19" borderId="32" xfId="11" applyNumberFormat="1" applyFont="1" applyFill="1" applyBorder="1" applyAlignment="1">
      <alignment horizontal="center"/>
    </xf>
    <xf numFmtId="9" fontId="21" fillId="19" borderId="103" xfId="11" applyNumberFormat="1" applyFont="1" applyFill="1" applyBorder="1" applyAlignment="1">
      <alignment horizontal="center"/>
    </xf>
    <xf numFmtId="9" fontId="21" fillId="19" borderId="98" xfId="11" applyNumberFormat="1" applyFont="1" applyFill="1" applyBorder="1" applyAlignment="1">
      <alignment horizontal="center"/>
    </xf>
    <xf numFmtId="9" fontId="21" fillId="19" borderId="105" xfId="11" applyNumberFormat="1" applyFont="1" applyFill="1" applyBorder="1" applyAlignment="1">
      <alignment horizontal="center"/>
    </xf>
    <xf numFmtId="9" fontId="21" fillId="19" borderId="95" xfId="11" applyNumberFormat="1" applyFont="1" applyFill="1" applyBorder="1" applyAlignment="1">
      <alignment horizontal="center"/>
    </xf>
    <xf numFmtId="9" fontId="21" fillId="19" borderId="97" xfId="11" applyNumberFormat="1" applyFont="1" applyFill="1" applyBorder="1" applyAlignment="1">
      <alignment horizontal="center"/>
    </xf>
    <xf numFmtId="178" fontId="14" fillId="14" borderId="45" xfId="7" applyNumberFormat="1" applyFont="1" applyFill="1" applyBorder="1"/>
    <xf numFmtId="178" fontId="4" fillId="14" borderId="45" xfId="7" applyNumberFormat="1" applyFill="1" applyBorder="1"/>
    <xf numFmtId="178" fontId="4" fillId="14" borderId="31" xfId="7" applyNumberFormat="1" applyFill="1" applyBorder="1"/>
    <xf numFmtId="178" fontId="4" fillId="14" borderId="0" xfId="7" applyNumberFormat="1" applyFill="1" applyBorder="1"/>
    <xf numFmtId="178" fontId="4" fillId="14" borderId="46" xfId="7" applyNumberFormat="1" applyFill="1" applyBorder="1"/>
    <xf numFmtId="178" fontId="4" fillId="14" borderId="65" xfId="7" applyNumberFormat="1" applyFill="1" applyBorder="1"/>
    <xf numFmtId="178" fontId="4" fillId="14" borderId="5" xfId="7" applyNumberFormat="1" applyFill="1" applyBorder="1"/>
    <xf numFmtId="178" fontId="4" fillId="14" borderId="51" xfId="7" applyNumberFormat="1" applyFont="1" applyFill="1" applyBorder="1"/>
    <xf numFmtId="178" fontId="4" fillId="14" borderId="51" xfId="7" applyNumberFormat="1" applyFill="1" applyBorder="1"/>
    <xf numFmtId="176" fontId="14" fillId="14" borderId="93" xfId="7" applyNumberFormat="1" applyFont="1" applyFill="1" applyBorder="1" applyAlignment="1">
      <alignment horizontal="center"/>
    </xf>
    <xf numFmtId="9" fontId="28" fillId="14" borderId="121" xfId="11" applyNumberFormat="1" applyFont="1" applyFill="1" applyBorder="1" applyAlignment="1">
      <alignment horizontal="center"/>
    </xf>
    <xf numFmtId="9" fontId="28" fillId="14" borderId="122" xfId="11" applyNumberFormat="1" applyFont="1" applyFill="1" applyBorder="1" applyAlignment="1">
      <alignment horizontal="center"/>
    </xf>
    <xf numFmtId="9" fontId="21" fillId="14" borderId="98" xfId="11" quotePrefix="1" applyFont="1" applyFill="1" applyBorder="1" applyAlignment="1">
      <alignment horizontal="right"/>
    </xf>
    <xf numFmtId="9" fontId="21" fillId="14" borderId="105" xfId="11" quotePrefix="1" applyFont="1" applyFill="1" applyBorder="1" applyAlignment="1">
      <alignment horizontal="right"/>
    </xf>
    <xf numFmtId="9" fontId="21" fillId="14" borderId="100" xfId="11" applyFont="1" applyFill="1" applyBorder="1" applyAlignment="1">
      <alignment horizontal="right"/>
    </xf>
    <xf numFmtId="9" fontId="21" fillId="14" borderId="109" xfId="11" applyFont="1" applyFill="1" applyBorder="1" applyAlignment="1">
      <alignment horizontal="right"/>
    </xf>
    <xf numFmtId="170" fontId="4" fillId="14" borderId="51" xfId="7" applyNumberFormat="1" applyFill="1" applyBorder="1"/>
    <xf numFmtId="170" fontId="28" fillId="14" borderId="46" xfId="7" applyNumberFormat="1" applyFont="1" applyFill="1" applyBorder="1" applyAlignment="1"/>
    <xf numFmtId="9" fontId="21" fillId="14" borderId="104" xfId="11" applyFont="1" applyFill="1" applyBorder="1"/>
    <xf numFmtId="9" fontId="21" fillId="14" borderId="100" xfId="11" applyNumberFormat="1" applyFont="1" applyFill="1" applyBorder="1"/>
    <xf numFmtId="9" fontId="21" fillId="14" borderId="108" xfId="11" applyFont="1" applyFill="1" applyBorder="1"/>
    <xf numFmtId="170" fontId="28" fillId="14" borderId="45" xfId="7" applyNumberFormat="1" applyFont="1" applyFill="1" applyBorder="1" applyAlignment="1"/>
    <xf numFmtId="170" fontId="4" fillId="14" borderId="0" xfId="7" applyNumberFormat="1" applyFill="1"/>
    <xf numFmtId="170" fontId="4" fillId="14" borderId="5" xfId="7" applyNumberFormat="1" applyFill="1" applyBorder="1" applyAlignment="1">
      <alignment horizontal="center"/>
    </xf>
    <xf numFmtId="4" fontId="28" fillId="14" borderId="45" xfId="7" applyNumberFormat="1" applyFont="1" applyFill="1" applyBorder="1" applyAlignment="1"/>
    <xf numFmtId="9" fontId="21" fillId="14" borderId="122" xfId="11" applyFont="1" applyFill="1" applyBorder="1"/>
    <xf numFmtId="9" fontId="21" fillId="14" borderId="106" xfId="11" applyFont="1" applyFill="1" applyBorder="1"/>
    <xf numFmtId="0" fontId="27" fillId="9" borderId="42" xfId="7" applyFont="1" applyFill="1" applyBorder="1" applyAlignment="1">
      <alignment horizontal="center" vertical="center"/>
    </xf>
    <xf numFmtId="0" fontId="27" fillId="9" borderId="58" xfId="7" applyFont="1" applyFill="1" applyBorder="1" applyAlignment="1">
      <alignment horizontal="center" vertical="center"/>
    </xf>
    <xf numFmtId="0" fontId="27" fillId="9" borderId="60" xfId="7" applyFont="1" applyFill="1" applyBorder="1" applyAlignment="1">
      <alignment horizontal="center" vertical="center"/>
    </xf>
    <xf numFmtId="0" fontId="28" fillId="0" borderId="0" xfId="7" applyFont="1" applyFill="1" applyBorder="1" applyAlignment="1">
      <alignment horizontal="left" wrapText="1"/>
    </xf>
    <xf numFmtId="0" fontId="27" fillId="9" borderId="86" xfId="7" applyFont="1" applyFill="1" applyBorder="1" applyAlignment="1">
      <alignment horizontal="centerContinuous"/>
    </xf>
    <xf numFmtId="0" fontId="27" fillId="9" borderId="38" xfId="7" applyFont="1" applyFill="1" applyBorder="1" applyAlignment="1">
      <alignment horizontal="centerContinuous"/>
    </xf>
    <xf numFmtId="0" fontId="27" fillId="9" borderId="41" xfId="7" applyFont="1" applyFill="1" applyBorder="1" applyAlignment="1">
      <alignment horizontal="centerContinuous"/>
    </xf>
    <xf numFmtId="0" fontId="32" fillId="9" borderId="38" xfId="7" applyFont="1" applyFill="1" applyBorder="1" applyAlignment="1">
      <alignment horizontal="centerContinuous"/>
    </xf>
    <xf numFmtId="0" fontId="32" fillId="9" borderId="41" xfId="7" applyFont="1" applyFill="1" applyBorder="1" applyAlignment="1">
      <alignment horizontal="centerContinuous"/>
    </xf>
    <xf numFmtId="0" fontId="32" fillId="9" borderId="87" xfId="7" applyFont="1" applyFill="1" applyBorder="1" applyAlignment="1">
      <alignment horizontal="centerContinuous"/>
    </xf>
    <xf numFmtId="0" fontId="34" fillId="9" borderId="89" xfId="7" applyFont="1" applyFill="1" applyBorder="1" applyAlignment="1">
      <alignment horizontal="center"/>
    </xf>
    <xf numFmtId="0" fontId="34" fillId="9" borderId="92" xfId="7" applyFont="1" applyFill="1" applyBorder="1" applyAlignment="1">
      <alignment horizontal="center"/>
    </xf>
    <xf numFmtId="0" fontId="6" fillId="9" borderId="83" xfId="7" applyFont="1" applyFill="1" applyBorder="1" applyAlignment="1">
      <alignment horizontal="center"/>
    </xf>
    <xf numFmtId="0" fontId="6" fillId="9" borderId="1" xfId="7" applyFont="1" applyFill="1" applyBorder="1" applyAlignment="1">
      <alignment horizontal="center"/>
    </xf>
    <xf numFmtId="0" fontId="32" fillId="9" borderId="2" xfId="7" applyFont="1" applyFill="1" applyBorder="1" applyAlignment="1">
      <alignment horizontal="center"/>
    </xf>
    <xf numFmtId="0" fontId="32" fillId="9" borderId="3" xfId="7" applyFont="1" applyFill="1" applyBorder="1" applyAlignment="1">
      <alignment horizontal="center"/>
    </xf>
    <xf numFmtId="0" fontId="27" fillId="9" borderId="1" xfId="7" applyFont="1" applyFill="1" applyBorder="1" applyAlignment="1">
      <alignment horizontal="center" vertical="center"/>
    </xf>
    <xf numFmtId="0" fontId="32" fillId="9" borderId="2" xfId="7" applyFont="1" applyFill="1" applyBorder="1" applyAlignment="1">
      <alignment horizontal="center" vertical="center"/>
    </xf>
    <xf numFmtId="0" fontId="32" fillId="9" borderId="3" xfId="7" applyFont="1" applyFill="1" applyBorder="1" applyAlignment="1">
      <alignment horizontal="center" vertical="center"/>
    </xf>
    <xf numFmtId="0" fontId="27" fillId="9" borderId="124" xfId="7" applyFont="1" applyFill="1" applyBorder="1" applyAlignment="1">
      <alignment horizontal="center"/>
    </xf>
    <xf numFmtId="0" fontId="27" fillId="9" borderId="125" xfId="7" applyFont="1" applyFill="1" applyBorder="1" applyAlignment="1">
      <alignment horizontal="center"/>
    </xf>
    <xf numFmtId="0" fontId="27" fillId="9" borderId="126" xfId="7" applyFont="1" applyFill="1" applyBorder="1" applyAlignment="1">
      <alignment horizontal="center"/>
    </xf>
    <xf numFmtId="0" fontId="27" fillId="9" borderId="112" xfId="7" applyFont="1" applyFill="1" applyBorder="1" applyAlignment="1">
      <alignment horizontal="center"/>
    </xf>
    <xf numFmtId="0" fontId="27" fillId="9" borderId="113" xfId="7" applyFont="1" applyFill="1" applyBorder="1" applyAlignment="1">
      <alignment horizontal="center"/>
    </xf>
    <xf numFmtId="0" fontId="27" fillId="9" borderId="127" xfId="7" applyFont="1" applyFill="1" applyBorder="1" applyAlignment="1">
      <alignment horizontal="center"/>
    </xf>
    <xf numFmtId="0" fontId="27" fillId="9" borderId="128" xfId="7" applyFont="1" applyFill="1" applyBorder="1" applyAlignment="1">
      <alignment horizontal="center"/>
    </xf>
    <xf numFmtId="0" fontId="6" fillId="9" borderId="110" xfId="7" applyFont="1" applyFill="1" applyBorder="1" applyAlignment="1">
      <alignment horizontal="center" vertical="center"/>
    </xf>
    <xf numFmtId="0" fontId="6" fillId="9" borderId="42" xfId="7" applyFont="1" applyFill="1" applyBorder="1" applyAlignment="1">
      <alignment horizontal="center" vertical="center"/>
    </xf>
    <xf numFmtId="4" fontId="34" fillId="9" borderId="38" xfId="7" applyNumberFormat="1" applyFont="1" applyFill="1" applyBorder="1" applyAlignment="1">
      <alignment horizontal="center"/>
    </xf>
    <xf numFmtId="4" fontId="34" fillId="9" borderId="39" xfId="7" applyNumberFormat="1" applyFont="1" applyFill="1" applyBorder="1" applyAlignment="1">
      <alignment horizontal="center"/>
    </xf>
    <xf numFmtId="0" fontId="6" fillId="9" borderId="69" xfId="7" applyFont="1" applyFill="1" applyBorder="1" applyAlignment="1">
      <alignment horizontal="center" vertical="center"/>
    </xf>
    <xf numFmtId="0" fontId="6" fillId="9" borderId="71" xfId="7" applyFont="1" applyFill="1" applyBorder="1" applyAlignment="1">
      <alignment horizontal="center" vertical="center"/>
    </xf>
    <xf numFmtId="0" fontId="27" fillId="9" borderId="68" xfId="7" applyFont="1" applyFill="1" applyBorder="1" applyAlignment="1">
      <alignment horizontal="center" vertical="center" wrapText="1"/>
    </xf>
    <xf numFmtId="0" fontId="27" fillId="9" borderId="26" xfId="7" applyFont="1" applyFill="1" applyBorder="1" applyAlignment="1">
      <alignment horizontal="center"/>
    </xf>
    <xf numFmtId="0" fontId="27" fillId="9" borderId="24" xfId="7" applyFont="1" applyFill="1" applyBorder="1" applyAlignment="1">
      <alignment horizontal="center"/>
    </xf>
    <xf numFmtId="0" fontId="27" fillId="9" borderId="123" xfId="7" applyFont="1" applyFill="1" applyBorder="1" applyAlignment="1">
      <alignment horizontal="center"/>
    </xf>
    <xf numFmtId="170" fontId="27" fillId="9" borderId="26" xfId="7" applyNumberFormat="1" applyFont="1" applyFill="1" applyBorder="1" applyAlignment="1">
      <alignment horizontal="center"/>
    </xf>
    <xf numFmtId="3" fontId="27" fillId="9" borderId="26" xfId="7" applyNumberFormat="1" applyFont="1" applyFill="1" applyBorder="1" applyAlignment="1">
      <alignment horizontal="center"/>
    </xf>
    <xf numFmtId="3" fontId="27" fillId="9" borderId="130" xfId="7" applyNumberFormat="1" applyFont="1" applyFill="1" applyBorder="1" applyAlignment="1">
      <alignment horizontal="center"/>
    </xf>
    <xf numFmtId="3" fontId="27" fillId="9" borderId="101" xfId="7" applyNumberFormat="1" applyFont="1" applyFill="1" applyBorder="1" applyAlignment="1">
      <alignment horizontal="center"/>
    </xf>
    <xf numFmtId="3" fontId="27" fillId="9" borderId="131" xfId="7" applyNumberFormat="1" applyFont="1" applyFill="1" applyBorder="1" applyAlignment="1">
      <alignment horizontal="center"/>
    </xf>
    <xf numFmtId="3" fontId="14" fillId="14" borderId="4" xfId="7" applyNumberFormat="1" applyFont="1" applyFill="1" applyBorder="1" applyAlignment="1">
      <alignment horizontal="center"/>
    </xf>
    <xf numFmtId="3" fontId="4" fillId="14" borderId="65" xfId="7" applyNumberFormat="1" applyFill="1" applyBorder="1" applyAlignment="1">
      <alignment horizontal="center"/>
    </xf>
    <xf numFmtId="3" fontId="4" fillId="14" borderId="31" xfId="7" applyNumberFormat="1" applyFill="1" applyBorder="1" applyAlignment="1">
      <alignment horizontal="center"/>
    </xf>
    <xf numFmtId="3" fontId="4" fillId="14" borderId="51" xfId="7" applyNumberFormat="1" applyFill="1" applyBorder="1" applyAlignment="1">
      <alignment horizontal="center"/>
    </xf>
    <xf numFmtId="0" fontId="28" fillId="14" borderId="97" xfId="7" applyFont="1" applyFill="1" applyBorder="1"/>
    <xf numFmtId="9" fontId="14" fillId="14" borderId="4" xfId="11" applyFont="1" applyFill="1" applyBorder="1" applyAlignment="1">
      <alignment horizontal="center"/>
    </xf>
    <xf numFmtId="9" fontId="14" fillId="14" borderId="93" xfId="11" applyFont="1" applyFill="1" applyBorder="1" applyAlignment="1">
      <alignment horizontal="center"/>
    </xf>
    <xf numFmtId="0" fontId="28" fillId="14" borderId="69" xfId="7" applyFont="1" applyFill="1" applyBorder="1"/>
    <xf numFmtId="9" fontId="14" fillId="14" borderId="6" xfId="11" applyFont="1" applyFill="1" applyBorder="1" applyAlignment="1">
      <alignment horizontal="center"/>
    </xf>
    <xf numFmtId="9" fontId="14" fillId="14" borderId="88" xfId="11" applyFont="1" applyFill="1" applyBorder="1" applyAlignment="1">
      <alignment horizontal="center"/>
    </xf>
    <xf numFmtId="0" fontId="4" fillId="14" borderId="46" xfId="7" applyFill="1" applyBorder="1" applyAlignment="1">
      <alignment horizontal="center"/>
    </xf>
    <xf numFmtId="2" fontId="4" fillId="14" borderId="31" xfId="7" applyNumberFormat="1" applyFill="1" applyBorder="1" applyAlignment="1">
      <alignment horizontal="right" indent="6"/>
    </xf>
    <xf numFmtId="0" fontId="13" fillId="14" borderId="98" xfId="7" applyFont="1" applyFill="1" applyBorder="1"/>
    <xf numFmtId="9" fontId="14" fillId="14" borderId="33" xfId="11" applyFont="1" applyFill="1" applyBorder="1" applyAlignment="1">
      <alignment horizontal="right" vertical="center" indent="6"/>
    </xf>
    <xf numFmtId="0" fontId="13" fillId="14" borderId="56" xfId="7" applyFont="1" applyFill="1" applyBorder="1"/>
    <xf numFmtId="9" fontId="14" fillId="14" borderId="56" xfId="11" applyFont="1" applyFill="1" applyBorder="1" applyAlignment="1">
      <alignment horizontal="right" vertical="center" indent="6"/>
    </xf>
    <xf numFmtId="3" fontId="14" fillId="14" borderId="4" xfId="7" applyNumberFormat="1" applyFont="1" applyFill="1" applyBorder="1" applyAlignment="1">
      <alignment horizontal="right" indent="1"/>
    </xf>
    <xf numFmtId="3" fontId="4" fillId="14" borderId="46" xfId="7" applyNumberFormat="1" applyFill="1" applyBorder="1" applyAlignment="1">
      <alignment horizontal="right" indent="1"/>
    </xf>
    <xf numFmtId="3" fontId="4" fillId="14" borderId="31" xfId="7" applyNumberFormat="1" applyFill="1" applyBorder="1" applyAlignment="1">
      <alignment horizontal="right" indent="1"/>
    </xf>
    <xf numFmtId="3" fontId="4" fillId="14" borderId="0" xfId="7" applyNumberFormat="1" applyFill="1" applyBorder="1" applyAlignment="1">
      <alignment horizontal="right" indent="1"/>
    </xf>
    <xf numFmtId="3" fontId="4" fillId="14" borderId="51" xfId="7" applyNumberFormat="1" applyFill="1" applyBorder="1" applyAlignment="1">
      <alignment horizontal="right" indent="1"/>
    </xf>
    <xf numFmtId="3" fontId="4" fillId="14" borderId="45" xfId="7" applyNumberFormat="1" applyFill="1" applyBorder="1" applyAlignment="1">
      <alignment horizontal="right" indent="1"/>
    </xf>
    <xf numFmtId="0" fontId="4" fillId="14" borderId="93" xfId="7" applyFont="1" applyFill="1" applyBorder="1" applyAlignment="1">
      <alignment horizontal="center"/>
    </xf>
    <xf numFmtId="9" fontId="28" fillId="14" borderId="142" xfId="11" applyNumberFormat="1" applyFont="1" applyFill="1" applyBorder="1" applyAlignment="1">
      <alignment horizontal="right" vertical="center" indent="1"/>
    </xf>
    <xf numFmtId="0" fontId="28" fillId="14" borderId="99" xfId="7" applyFont="1" applyFill="1" applyBorder="1" applyAlignment="1">
      <alignment vertical="center"/>
    </xf>
    <xf numFmtId="9" fontId="28" fillId="14" borderId="70" xfId="11" applyFont="1" applyFill="1" applyBorder="1" applyAlignment="1">
      <alignment horizontal="right" vertical="center" indent="1"/>
    </xf>
    <xf numFmtId="3" fontId="14" fillId="14" borderId="45" xfId="7" applyNumberFormat="1" applyFont="1" applyFill="1" applyBorder="1" applyAlignment="1">
      <alignment horizontal="center"/>
    </xf>
    <xf numFmtId="3" fontId="28" fillId="14" borderId="31" xfId="7" applyNumberFormat="1" applyFont="1" applyFill="1" applyBorder="1" applyAlignment="1">
      <alignment horizontal="center"/>
    </xf>
    <xf numFmtId="3" fontId="4" fillId="14" borderId="0" xfId="7" applyNumberFormat="1" applyFill="1" applyBorder="1" applyAlignment="1">
      <alignment horizontal="center"/>
    </xf>
    <xf numFmtId="3" fontId="28" fillId="14" borderId="65" xfId="7" applyNumberFormat="1" applyFont="1" applyFill="1" applyBorder="1" applyAlignment="1">
      <alignment horizontal="center"/>
    </xf>
    <xf numFmtId="3" fontId="4" fillId="14" borderId="5" xfId="7" applyNumberFormat="1" applyFill="1" applyBorder="1" applyAlignment="1">
      <alignment horizontal="center"/>
    </xf>
    <xf numFmtId="3" fontId="4" fillId="14" borderId="46" xfId="7" applyNumberFormat="1" applyFill="1" applyBorder="1" applyAlignment="1">
      <alignment horizontal="center"/>
    </xf>
    <xf numFmtId="0" fontId="28" fillId="14" borderId="94" xfId="7" applyFont="1" applyFill="1" applyBorder="1" applyAlignment="1">
      <alignment horizontal="left" wrapText="1"/>
    </xf>
    <xf numFmtId="9" fontId="28" fillId="14" borderId="4" xfId="11" applyFont="1" applyFill="1" applyBorder="1" applyAlignment="1">
      <alignment horizontal="center" vertical="center"/>
    </xf>
    <xf numFmtId="0" fontId="28" fillId="14" borderId="141" xfId="7" applyFont="1" applyFill="1" applyBorder="1" applyAlignment="1">
      <alignment horizontal="left" wrapText="1"/>
    </xf>
    <xf numFmtId="9" fontId="28" fillId="14" borderId="129" xfId="11" applyFont="1" applyFill="1" applyBorder="1" applyAlignment="1">
      <alignment horizontal="center" vertical="center"/>
    </xf>
    <xf numFmtId="3" fontId="4" fillId="14" borderId="4" xfId="7" applyNumberFormat="1" applyFont="1" applyFill="1" applyBorder="1" applyAlignment="1">
      <alignment horizontal="center"/>
    </xf>
    <xf numFmtId="3" fontId="14" fillId="14" borderId="65" xfId="7" applyNumberFormat="1" applyFont="1" applyFill="1" applyBorder="1" applyAlignment="1">
      <alignment horizontal="center"/>
    </xf>
    <xf numFmtId="0" fontId="28" fillId="14" borderId="96" xfId="7" applyFont="1" applyFill="1" applyBorder="1" applyAlignment="1">
      <alignment horizontal="left" vertical="center" wrapText="1"/>
    </xf>
    <xf numFmtId="9" fontId="28" fillId="14" borderId="78" xfId="11" applyFont="1" applyFill="1" applyBorder="1" applyAlignment="1">
      <alignment horizontal="center"/>
    </xf>
    <xf numFmtId="0" fontId="28" fillId="14" borderId="99" xfId="7" applyFont="1" applyFill="1" applyBorder="1" applyAlignment="1">
      <alignment horizontal="left" vertical="center" wrapText="1"/>
    </xf>
    <xf numFmtId="9" fontId="28" fillId="14" borderId="69" xfId="11" applyFont="1" applyFill="1" applyBorder="1" applyAlignment="1">
      <alignment horizontal="center"/>
    </xf>
    <xf numFmtId="9" fontId="28" fillId="14" borderId="103" xfId="11" applyFont="1" applyFill="1" applyBorder="1" applyAlignment="1">
      <alignment horizontal="center" vertical="center"/>
    </xf>
    <xf numFmtId="9" fontId="28" fillId="14" borderId="105" xfId="11" applyFont="1" applyFill="1" applyBorder="1" applyAlignment="1">
      <alignment horizontal="center" vertical="center"/>
    </xf>
    <xf numFmtId="9" fontId="28" fillId="14" borderId="83" xfId="11" applyFont="1" applyFill="1" applyBorder="1" applyAlignment="1">
      <alignment horizontal="center" vertical="center"/>
    </xf>
    <xf numFmtId="9" fontId="28" fillId="14" borderId="96" xfId="11" applyFont="1" applyFill="1" applyBorder="1" applyAlignment="1">
      <alignment horizontal="center" vertical="center"/>
    </xf>
    <xf numFmtId="9" fontId="28" fillId="14" borderId="110" xfId="11" applyFont="1" applyFill="1" applyBorder="1" applyAlignment="1">
      <alignment horizontal="center" vertical="center"/>
    </xf>
    <xf numFmtId="9" fontId="28" fillId="14" borderId="45" xfId="11" applyFont="1" applyFill="1" applyBorder="1" applyAlignment="1">
      <alignment horizontal="center" vertical="center"/>
    </xf>
    <xf numFmtId="9" fontId="28" fillId="14" borderId="97" xfId="11" applyFont="1" applyFill="1" applyBorder="1" applyAlignment="1">
      <alignment horizontal="center" vertical="center"/>
    </xf>
    <xf numFmtId="9" fontId="28" fillId="14" borderId="142" xfId="11" applyFont="1" applyFill="1" applyBorder="1" applyAlignment="1">
      <alignment horizontal="center" vertical="center"/>
    </xf>
    <xf numFmtId="170" fontId="14" fillId="14" borderId="4" xfId="7" applyNumberFormat="1" applyFont="1" applyFill="1" applyBorder="1" applyAlignment="1">
      <alignment horizontal="right" indent="1"/>
    </xf>
    <xf numFmtId="170" fontId="4" fillId="14" borderId="31" xfId="7" applyNumberFormat="1" applyFont="1" applyFill="1" applyBorder="1" applyAlignment="1">
      <alignment horizontal="right" indent="1"/>
    </xf>
    <xf numFmtId="170" fontId="4" fillId="14" borderId="5" xfId="7" applyNumberFormat="1" applyFont="1" applyFill="1" applyBorder="1" applyAlignment="1">
      <alignment horizontal="right" indent="1"/>
    </xf>
    <xf numFmtId="170" fontId="4" fillId="14" borderId="4" xfId="7" applyNumberFormat="1" applyFont="1" applyFill="1" applyBorder="1" applyAlignment="1">
      <alignment horizontal="right" indent="1"/>
    </xf>
    <xf numFmtId="170" fontId="4" fillId="14" borderId="0" xfId="7" applyNumberFormat="1" applyFont="1" applyFill="1" applyBorder="1" applyAlignment="1">
      <alignment horizontal="right" indent="1"/>
    </xf>
    <xf numFmtId="172" fontId="4" fillId="14" borderId="31" xfId="7" applyNumberFormat="1" applyFont="1" applyFill="1" applyBorder="1" applyAlignment="1">
      <alignment horizontal="right" indent="1"/>
    </xf>
    <xf numFmtId="0" fontId="28" fillId="14" borderId="94" xfId="7" applyFont="1" applyFill="1" applyBorder="1"/>
    <xf numFmtId="9" fontId="28" fillId="14" borderId="95" xfId="11" applyNumberFormat="1" applyFont="1" applyFill="1" applyBorder="1" applyAlignment="1">
      <alignment horizontal="right" indent="1"/>
    </xf>
    <xf numFmtId="9" fontId="28" fillId="14" borderId="32" xfId="11" applyNumberFormat="1" applyFont="1" applyFill="1" applyBorder="1" applyAlignment="1">
      <alignment horizontal="right" indent="1"/>
    </xf>
    <xf numFmtId="9" fontId="28" fillId="14" borderId="116" xfId="11" applyNumberFormat="1" applyFont="1" applyFill="1" applyBorder="1" applyAlignment="1">
      <alignment horizontal="right" indent="1"/>
    </xf>
    <xf numFmtId="9" fontId="28" fillId="14" borderId="147" xfId="11" applyNumberFormat="1" applyFont="1" applyFill="1" applyBorder="1" applyAlignment="1">
      <alignment horizontal="right" indent="1"/>
    </xf>
    <xf numFmtId="0" fontId="28" fillId="14" borderId="141" xfId="7" applyFont="1" applyFill="1" applyBorder="1"/>
    <xf numFmtId="9" fontId="28" fillId="14" borderId="74" xfId="11" applyFont="1" applyFill="1" applyBorder="1" applyAlignment="1">
      <alignment horizontal="right" indent="1"/>
    </xf>
    <xf numFmtId="9" fontId="28" fillId="14" borderId="33" xfId="11" applyFont="1" applyFill="1" applyBorder="1" applyAlignment="1">
      <alignment horizontal="right" indent="1"/>
    </xf>
    <xf numFmtId="9" fontId="28" fillId="14" borderId="79" xfId="11" applyFont="1" applyFill="1" applyBorder="1" applyAlignment="1">
      <alignment horizontal="right" indent="1"/>
    </xf>
    <xf numFmtId="9" fontId="28" fillId="14" borderId="78" xfId="11" applyFont="1" applyFill="1" applyBorder="1" applyAlignment="1">
      <alignment horizontal="right" indent="1"/>
    </xf>
    <xf numFmtId="9" fontId="28" fillId="14" borderId="98" xfId="11" applyFont="1" applyFill="1" applyBorder="1" applyAlignment="1">
      <alignment horizontal="right" indent="1"/>
    </xf>
    <xf numFmtId="9" fontId="28" fillId="7" borderId="141" xfId="11" applyNumberFormat="1" applyFont="1" applyFill="1" applyBorder="1" applyAlignment="1">
      <alignment horizontal="right" indent="1"/>
    </xf>
    <xf numFmtId="9" fontId="28" fillId="7" borderId="99" xfId="11" applyNumberFormat="1" applyFont="1" applyFill="1" applyBorder="1" applyAlignment="1">
      <alignment horizontal="right" indent="1"/>
    </xf>
    <xf numFmtId="9" fontId="28" fillId="7" borderId="80" xfId="11" applyNumberFormat="1" applyFont="1" applyFill="1" applyBorder="1" applyAlignment="1">
      <alignment horizontal="right" indent="1"/>
    </xf>
    <xf numFmtId="9" fontId="28" fillId="7" borderId="118" xfId="11" applyNumberFormat="1" applyFont="1" applyFill="1" applyBorder="1" applyAlignment="1">
      <alignment horizontal="right" indent="1"/>
    </xf>
    <xf numFmtId="9" fontId="28" fillId="7" borderId="109" xfId="11" applyNumberFormat="1" applyFont="1" applyFill="1" applyBorder="1" applyAlignment="1">
      <alignment horizontal="right" indent="1"/>
    </xf>
    <xf numFmtId="170" fontId="14" fillId="14" borderId="45" xfId="7" applyNumberFormat="1" applyFont="1" applyFill="1" applyBorder="1" applyAlignment="1">
      <alignment horizontal="right" indent="1"/>
    </xf>
    <xf numFmtId="170" fontId="28" fillId="14" borderId="46" xfId="7" applyNumberFormat="1" applyFont="1" applyFill="1" applyBorder="1" applyAlignment="1">
      <alignment horizontal="right" indent="1"/>
    </xf>
    <xf numFmtId="170" fontId="4" fillId="14" borderId="31" xfId="7" applyNumberFormat="1" applyFill="1" applyBorder="1" applyAlignment="1">
      <alignment horizontal="right" indent="1"/>
    </xf>
    <xf numFmtId="170" fontId="4" fillId="14" borderId="0" xfId="7" applyNumberFormat="1" applyFill="1" applyBorder="1" applyAlignment="1">
      <alignment horizontal="right" indent="1"/>
    </xf>
    <xf numFmtId="170" fontId="28" fillId="14" borderId="0" xfId="7" applyNumberFormat="1" applyFont="1" applyFill="1" applyBorder="1" applyAlignment="1">
      <alignment horizontal="right" indent="1"/>
    </xf>
    <xf numFmtId="9" fontId="28" fillId="14" borderId="94" xfId="11" applyNumberFormat="1" applyFont="1" applyFill="1" applyBorder="1" applyAlignment="1">
      <alignment horizontal="right" indent="1"/>
    </xf>
    <xf numFmtId="9" fontId="28" fillId="14" borderId="121" xfId="11" applyNumberFormat="1" applyFont="1" applyFill="1" applyBorder="1" applyAlignment="1">
      <alignment horizontal="right" indent="1"/>
    </xf>
    <xf numFmtId="9" fontId="28" fillId="14" borderId="103" xfId="11" applyNumberFormat="1" applyFont="1" applyFill="1" applyBorder="1" applyAlignment="1">
      <alignment horizontal="right" indent="1"/>
    </xf>
    <xf numFmtId="9" fontId="28" fillId="14" borderId="141" xfId="11" applyNumberFormat="1" applyFont="1" applyFill="1" applyBorder="1" applyAlignment="1">
      <alignment horizontal="right" indent="1"/>
    </xf>
    <xf numFmtId="9" fontId="28" fillId="14" borderId="77" xfId="11" applyNumberFormat="1" applyFont="1" applyFill="1" applyBorder="1" applyAlignment="1">
      <alignment horizontal="right" indent="1"/>
    </xf>
    <xf numFmtId="9" fontId="28" fillId="14" borderId="33" xfId="11" applyNumberFormat="1" applyFont="1" applyFill="1" applyBorder="1" applyAlignment="1">
      <alignment horizontal="right" indent="1"/>
    </xf>
    <xf numFmtId="9" fontId="28" fillId="14" borderId="80" xfId="11" applyNumberFormat="1" applyFont="1" applyFill="1" applyBorder="1" applyAlignment="1">
      <alignment horizontal="right" indent="1"/>
    </xf>
    <xf numFmtId="170" fontId="4" fillId="14" borderId="51" xfId="7" applyNumberFormat="1" applyFill="1" applyBorder="1" applyAlignment="1">
      <alignment horizontal="right" indent="1"/>
    </xf>
    <xf numFmtId="170" fontId="4" fillId="14" borderId="46" xfId="7" applyNumberFormat="1" applyFill="1" applyBorder="1" applyAlignment="1">
      <alignment horizontal="right" indent="1"/>
    </xf>
    <xf numFmtId="170" fontId="28" fillId="14" borderId="93" xfId="7" applyNumberFormat="1" applyFont="1" applyFill="1" applyBorder="1" applyAlignment="1">
      <alignment horizontal="right" indent="1"/>
    </xf>
    <xf numFmtId="170" fontId="4" fillId="14" borderId="45" xfId="7" applyNumberFormat="1" applyFill="1" applyBorder="1" applyAlignment="1">
      <alignment horizontal="right" indent="1"/>
    </xf>
    <xf numFmtId="9" fontId="28" fillId="14" borderId="78" xfId="11" applyNumberFormat="1" applyFont="1" applyFill="1" applyBorder="1" applyAlignment="1">
      <alignment horizontal="right" indent="1"/>
    </xf>
    <xf numFmtId="0" fontId="28" fillId="14" borderId="74" xfId="7" applyFont="1" applyFill="1" applyBorder="1" applyAlignment="1">
      <alignment horizontal="left" wrapText="1"/>
    </xf>
    <xf numFmtId="9" fontId="21" fillId="14" borderId="147" xfId="11" applyNumberFormat="1" applyFont="1" applyFill="1" applyBorder="1" applyAlignment="1">
      <alignment horizontal="right" indent="1"/>
    </xf>
    <xf numFmtId="9" fontId="28" fillId="14" borderId="74" xfId="11" applyNumberFormat="1" applyFont="1" applyFill="1" applyBorder="1" applyAlignment="1">
      <alignment horizontal="right" indent="1"/>
    </xf>
    <xf numFmtId="9" fontId="21" fillId="14" borderId="150" xfId="11" applyFont="1" applyFill="1" applyBorder="1" applyAlignment="1">
      <alignment horizontal="right" indent="1"/>
    </xf>
    <xf numFmtId="0" fontId="28" fillId="0" borderId="81" xfId="7" applyFont="1" applyFill="1" applyBorder="1" applyAlignment="1">
      <alignment horizontal="left" wrapText="1"/>
    </xf>
    <xf numFmtId="170" fontId="4" fillId="14" borderId="4" xfId="7" applyNumberFormat="1" applyFill="1" applyBorder="1"/>
    <xf numFmtId="9" fontId="13" fillId="14" borderId="116" xfId="11" applyNumberFormat="1" applyFont="1" applyFill="1" applyBorder="1" applyAlignment="1">
      <alignment horizontal="center" vertical="center"/>
    </xf>
    <xf numFmtId="9" fontId="13" fillId="14" borderId="32" xfId="11" applyNumberFormat="1" applyFont="1" applyFill="1" applyBorder="1" applyAlignment="1">
      <alignment horizontal="center" vertical="center"/>
    </xf>
    <xf numFmtId="9" fontId="13" fillId="14" borderId="140" xfId="11" applyNumberFormat="1" applyFont="1" applyFill="1" applyBorder="1" applyAlignment="1">
      <alignment horizontal="center" vertical="center"/>
    </xf>
    <xf numFmtId="9" fontId="13" fillId="14" borderId="121" xfId="11" applyNumberFormat="1" applyFont="1" applyFill="1" applyBorder="1" applyAlignment="1">
      <alignment horizontal="center" vertical="center"/>
    </xf>
    <xf numFmtId="9" fontId="13" fillId="14" borderId="74" xfId="11" applyFont="1" applyFill="1" applyBorder="1" applyAlignment="1">
      <alignment horizontal="center" vertical="center"/>
    </xf>
    <xf numFmtId="9" fontId="13" fillId="14" borderId="33" xfId="11" applyFont="1" applyFill="1" applyBorder="1" applyAlignment="1">
      <alignment horizontal="center" vertical="center"/>
    </xf>
    <xf numFmtId="9" fontId="13" fillId="14" borderId="79" xfId="11" applyFont="1" applyFill="1" applyBorder="1" applyAlignment="1">
      <alignment horizontal="center" vertical="center"/>
    </xf>
    <xf numFmtId="9" fontId="13" fillId="14" borderId="77" xfId="11" applyFont="1" applyFill="1" applyBorder="1" applyAlignment="1">
      <alignment horizontal="center" vertical="center"/>
    </xf>
    <xf numFmtId="0" fontId="4" fillId="14" borderId="51" xfId="7" applyFont="1" applyFill="1" applyBorder="1" applyAlignment="1">
      <alignment horizontal="center"/>
    </xf>
    <xf numFmtId="170" fontId="14" fillId="14" borderId="4" xfId="7" applyNumberFormat="1" applyFont="1" applyFill="1" applyBorder="1" applyAlignment="1"/>
    <xf numFmtId="170" fontId="4" fillId="14" borderId="45" xfId="7" applyNumberFormat="1" applyFont="1" applyFill="1" applyBorder="1"/>
    <xf numFmtId="170" fontId="4" fillId="14" borderId="0" xfId="7" applyNumberFormat="1" applyFont="1" applyFill="1" applyBorder="1"/>
    <xf numFmtId="170" fontId="4" fillId="14" borderId="31" xfId="7" applyNumberFormat="1" applyFont="1" applyFill="1" applyBorder="1"/>
    <xf numFmtId="170" fontId="4" fillId="14" borderId="5" xfId="7" applyNumberFormat="1" applyFont="1" applyFill="1" applyBorder="1"/>
    <xf numFmtId="170" fontId="4" fillId="14" borderId="45" xfId="7" applyNumberFormat="1" applyFont="1" applyFill="1" applyBorder="1" applyAlignment="1"/>
    <xf numFmtId="170" fontId="4" fillId="14" borderId="0" xfId="7" applyNumberFormat="1" applyFont="1" applyFill="1" applyBorder="1" applyAlignment="1"/>
    <xf numFmtId="170" fontId="4" fillId="14" borderId="31" xfId="7" applyNumberFormat="1" applyFont="1" applyFill="1" applyBorder="1" applyAlignment="1"/>
    <xf numFmtId="170" fontId="4" fillId="14" borderId="5" xfId="7" applyNumberFormat="1" applyFont="1" applyFill="1" applyBorder="1" applyAlignment="1"/>
    <xf numFmtId="170" fontId="14" fillId="14" borderId="93" xfId="7" applyNumberFormat="1" applyFont="1" applyFill="1" applyBorder="1" applyAlignment="1"/>
    <xf numFmtId="170" fontId="14" fillId="14" borderId="0" xfId="7" applyNumberFormat="1" applyFont="1" applyFill="1" applyBorder="1" applyAlignment="1"/>
    <xf numFmtId="0" fontId="28" fillId="14" borderId="96" xfId="7" applyFont="1" applyFill="1" applyBorder="1" applyAlignment="1">
      <alignment horizontal="left" wrapText="1"/>
    </xf>
    <xf numFmtId="9" fontId="28" fillId="14" borderId="96" xfId="11" applyFont="1" applyFill="1" applyBorder="1" applyAlignment="1">
      <alignment horizontal="center"/>
    </xf>
    <xf numFmtId="9" fontId="28" fillId="14" borderId="98" xfId="11" applyFont="1" applyFill="1" applyBorder="1" applyAlignment="1">
      <alignment horizontal="center"/>
    </xf>
    <xf numFmtId="9" fontId="28" fillId="14" borderId="149" xfId="11" applyFont="1" applyFill="1" applyBorder="1" applyAlignment="1">
      <alignment horizontal="center"/>
    </xf>
    <xf numFmtId="0" fontId="28" fillId="14" borderId="99" xfId="7" applyFont="1" applyFill="1" applyBorder="1" applyAlignment="1">
      <alignment horizontal="left" wrapText="1"/>
    </xf>
    <xf numFmtId="9" fontId="28" fillId="14" borderId="99" xfId="11" applyFont="1" applyFill="1" applyBorder="1" applyAlignment="1">
      <alignment horizontal="center"/>
    </xf>
    <xf numFmtId="9" fontId="28" fillId="14" borderId="100" xfId="11" applyFont="1" applyFill="1" applyBorder="1" applyAlignment="1">
      <alignment horizontal="center"/>
    </xf>
    <xf numFmtId="9" fontId="28" fillId="14" borderId="107" xfId="11" applyFont="1" applyFill="1" applyBorder="1" applyAlignment="1">
      <alignment horizontal="center"/>
    </xf>
    <xf numFmtId="170" fontId="4" fillId="14" borderId="65" xfId="7" applyNumberFormat="1" applyFill="1" applyBorder="1"/>
    <xf numFmtId="170" fontId="4" fillId="14" borderId="65" xfId="7" applyNumberFormat="1" applyFill="1" applyBorder="1" applyAlignment="1"/>
    <xf numFmtId="170" fontId="2" fillId="14" borderId="93" xfId="7" applyNumberFormat="1" applyFont="1" applyFill="1" applyBorder="1" applyAlignment="1">
      <alignment wrapText="1"/>
    </xf>
    <xf numFmtId="170" fontId="4" fillId="14" borderId="4" xfId="7" applyNumberFormat="1" applyFill="1" applyBorder="1" applyAlignment="1"/>
    <xf numFmtId="170" fontId="4" fillId="14" borderId="45" xfId="7" applyNumberFormat="1" applyFill="1" applyBorder="1" applyAlignment="1"/>
    <xf numFmtId="9" fontId="28" fillId="14" borderId="94" xfId="11" applyFont="1" applyFill="1" applyBorder="1" applyAlignment="1">
      <alignment horizontal="center"/>
    </xf>
    <xf numFmtId="9" fontId="28" fillId="14" borderId="121" xfId="11" applyFont="1" applyFill="1" applyBorder="1" applyAlignment="1">
      <alignment horizontal="center"/>
    </xf>
    <xf numFmtId="9" fontId="28" fillId="14" borderId="32" xfId="11" applyFont="1" applyFill="1" applyBorder="1" applyAlignment="1">
      <alignment horizontal="center"/>
    </xf>
    <xf numFmtId="9" fontId="28" fillId="14" borderId="141" xfId="11" applyFont="1" applyFill="1" applyBorder="1" applyAlignment="1">
      <alignment horizontal="center"/>
    </xf>
    <xf numFmtId="9" fontId="28" fillId="14" borderId="77" xfId="11" applyFont="1" applyFill="1" applyBorder="1" applyAlignment="1">
      <alignment horizontal="center"/>
    </xf>
    <xf numFmtId="9" fontId="28" fillId="14" borderId="33" xfId="11" applyFont="1" applyFill="1" applyBorder="1" applyAlignment="1">
      <alignment horizontal="center"/>
    </xf>
    <xf numFmtId="170" fontId="14" fillId="14" borderId="4" xfId="7" applyNumberFormat="1" applyFont="1" applyFill="1" applyBorder="1" applyAlignment="1">
      <alignment horizontal="center"/>
    </xf>
    <xf numFmtId="170" fontId="4" fillId="14" borderId="31" xfId="7" applyNumberFormat="1" applyFill="1" applyBorder="1" applyAlignment="1">
      <alignment horizontal="center"/>
    </xf>
    <xf numFmtId="170" fontId="4" fillId="14" borderId="0" xfId="7" applyNumberFormat="1" applyFill="1" applyBorder="1" applyAlignment="1">
      <alignment horizontal="center"/>
    </xf>
    <xf numFmtId="170" fontId="4" fillId="14" borderId="4" xfId="7" applyNumberFormat="1" applyFill="1" applyBorder="1" applyAlignment="1">
      <alignment horizontal="center"/>
    </xf>
    <xf numFmtId="170" fontId="4" fillId="14" borderId="46" xfId="7" applyNumberFormat="1" applyFill="1" applyBorder="1" applyAlignment="1">
      <alignment horizontal="center"/>
    </xf>
    <xf numFmtId="172" fontId="4" fillId="14" borderId="31" xfId="7" applyNumberFormat="1" applyFill="1" applyBorder="1" applyAlignment="1">
      <alignment horizontal="center"/>
    </xf>
    <xf numFmtId="9" fontId="28" fillId="14" borderId="116" xfId="11" applyNumberFormat="1" applyFont="1" applyFill="1" applyBorder="1" applyAlignment="1">
      <alignment horizontal="center"/>
    </xf>
    <xf numFmtId="9" fontId="28" fillId="14" borderId="74" xfId="11" applyNumberFormat="1" applyFont="1" applyFill="1" applyBorder="1" applyAlignment="1">
      <alignment horizontal="center"/>
    </xf>
    <xf numFmtId="9" fontId="28" fillId="14" borderId="33" xfId="11" applyNumberFormat="1" applyFont="1" applyFill="1" applyBorder="1" applyAlignment="1">
      <alignment horizontal="center"/>
    </xf>
    <xf numFmtId="9" fontId="28" fillId="14" borderId="77" xfId="11" applyNumberFormat="1" applyFont="1" applyFill="1" applyBorder="1" applyAlignment="1">
      <alignment horizontal="center"/>
    </xf>
    <xf numFmtId="170" fontId="28" fillId="14" borderId="65" xfId="7" applyNumberFormat="1" applyFont="1" applyFill="1" applyBorder="1" applyAlignment="1">
      <alignment horizontal="center"/>
    </xf>
    <xf numFmtId="170" fontId="4" fillId="14" borderId="45" xfId="7" applyNumberFormat="1" applyFill="1" applyBorder="1" applyAlignment="1">
      <alignment horizontal="center"/>
    </xf>
    <xf numFmtId="9" fontId="28" fillId="14" borderId="94" xfId="11" applyNumberFormat="1" applyFont="1" applyFill="1" applyBorder="1" applyAlignment="1">
      <alignment horizontal="center"/>
    </xf>
    <xf numFmtId="9" fontId="28" fillId="14" borderId="141" xfId="11" applyNumberFormat="1" applyFont="1" applyFill="1" applyBorder="1" applyAlignment="1">
      <alignment horizontal="center"/>
    </xf>
    <xf numFmtId="170" fontId="14" fillId="14" borderId="93" xfId="7" applyNumberFormat="1" applyFont="1" applyFill="1" applyBorder="1" applyAlignment="1">
      <alignment horizontal="center"/>
    </xf>
    <xf numFmtId="170" fontId="4" fillId="14" borderId="65" xfId="7" applyNumberFormat="1" applyFill="1" applyBorder="1" applyAlignment="1">
      <alignment horizontal="center"/>
    </xf>
    <xf numFmtId="170" fontId="2" fillId="14" borderId="93" xfId="7" applyNumberFormat="1" applyFont="1" applyFill="1" applyBorder="1" applyAlignment="1">
      <alignment horizontal="center" wrapText="1"/>
    </xf>
    <xf numFmtId="0" fontId="13" fillId="14" borderId="94" xfId="7" applyFont="1" applyFill="1" applyBorder="1" applyAlignment="1">
      <alignment horizontal="left" wrapText="1"/>
    </xf>
    <xf numFmtId="9" fontId="21" fillId="14" borderId="147" xfId="11" applyFont="1" applyFill="1" applyBorder="1" applyAlignment="1">
      <alignment horizontal="center"/>
    </xf>
    <xf numFmtId="0" fontId="13" fillId="14" borderId="141" xfId="7" applyFont="1" applyFill="1" applyBorder="1" applyAlignment="1">
      <alignment horizontal="left" wrapText="1"/>
    </xf>
    <xf numFmtId="9" fontId="21" fillId="14" borderId="150" xfId="11" applyFont="1" applyFill="1" applyBorder="1" applyAlignment="1">
      <alignment horizontal="center"/>
    </xf>
    <xf numFmtId="9" fontId="28" fillId="14" borderId="149" xfId="11" applyNumberFormat="1" applyFont="1" applyFill="1" applyBorder="1" applyAlignment="1">
      <alignment horizontal="center"/>
    </xf>
    <xf numFmtId="9" fontId="28" fillId="14" borderId="147" xfId="11" applyNumberFormat="1" applyFont="1" applyFill="1" applyBorder="1" applyAlignment="1">
      <alignment horizontal="center"/>
    </xf>
    <xf numFmtId="9" fontId="28" fillId="14" borderId="150" xfId="11" applyNumberFormat="1" applyFont="1" applyFill="1" applyBorder="1" applyAlignment="1">
      <alignment horizontal="center"/>
    </xf>
  </cellXfs>
  <cellStyles count="18">
    <cellStyle name="Diseño" xfId="2"/>
    <cellStyle name="Euro" xfId="3"/>
    <cellStyle name="Millares 2" xfId="4"/>
    <cellStyle name="Millares 2 2" xfId="5"/>
    <cellStyle name="Millares 3" xfId="6"/>
    <cellStyle name="Millares 4" xfId="16"/>
    <cellStyle name="Normal" xfId="0" builtinId="0"/>
    <cellStyle name="Normal 2" xfId="1"/>
    <cellStyle name="Normal 2 2" xfId="7"/>
    <cellStyle name="Normal 3" xfId="8"/>
    <cellStyle name="Normal 4" xfId="9"/>
    <cellStyle name="Normal 5" xfId="10"/>
    <cellStyle name="Normal_desagregados" xfId="17"/>
    <cellStyle name="Porcentaje 2" xfId="11"/>
    <cellStyle name="Porcentaje 2 2" xfId="12"/>
    <cellStyle name="Porcentaje 3" xfId="13"/>
    <cellStyle name="Porcentaje 4" xfId="15"/>
    <cellStyle name="Porcentual 2" xfId="14"/>
  </cellStyles>
  <dxfs count="0"/>
  <tableStyles count="0" defaultTableStyle="TableStyleMedium2" defaultPivotStyle="PivotStyleLight16"/>
  <colors>
    <mruColors>
      <color rgb="FF007DDA"/>
      <color rgb="FFC0C0C0"/>
      <color rgb="FF33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sharedStrings" Target="sharedStrings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CONSUMO DE ENERGÍA ELÉCTRICA PERCÁPITA
1995 - 2015</a:t>
            </a:r>
          </a:p>
        </c:rich>
      </c:tx>
      <c:layout>
        <c:manualLayout>
          <c:xMode val="edge"/>
          <c:yMode val="edge"/>
          <c:x val="0.26167474561175347"/>
          <c:y val="3.7469263710457251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4262561774372798"/>
          <c:y val="0.19944776252813601"/>
          <c:w val="0.81523500810372773"/>
          <c:h val="0.7185430463576159"/>
        </c:manualLayout>
      </c:layout>
      <c:lineChart>
        <c:grouping val="standard"/>
        <c:varyColors val="0"/>
        <c:ser>
          <c:idx val="0"/>
          <c:order val="0"/>
          <c:tx>
            <c:strRef>
              <c:f>'1.2-1.3'!$C$4</c:f>
              <c:strCache>
                <c:ptCount val="1"/>
                <c:pt idx="0">
                  <c:v> kW.h / Habitante</c:v>
                </c:pt>
              </c:strCache>
            </c:strRef>
          </c:tx>
          <c:spPr>
            <a:ln w="31750">
              <a:solidFill>
                <a:srgbClr val="7030A0"/>
              </a:solidFill>
            </a:ln>
          </c:spPr>
          <c:marker>
            <c:symbol val="circl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9655814903201922E-2"/>
                  <c:y val="-6.8532791017016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781429063668481E-2"/>
                  <c:y val="2.8718777702456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2665722295247952E-2"/>
                  <c:y val="4.8554692252872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9308524440927849E-2"/>
                  <c:y val="3.9927343519146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709665343695864E-2"/>
                  <c:y val="4.2558620569779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9076940747074356E-2"/>
                  <c:y val="4.455441414194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444216150452845E-2"/>
                  <c:y val="5.5871095583250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5328339225019906E-2"/>
                  <c:y val="7.9595696233335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2246668113001262E-2"/>
                  <c:y val="5.59395804001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5372452430480259E-2"/>
                  <c:y val="5.1122003789261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525657550504732E-2"/>
                  <c:y val="4.0541273400427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8382359822526206E-2"/>
                  <c:y val="5.155655211972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162925339356885E-2"/>
                  <c:y val="3.4384592654395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257056329497253E-2"/>
                  <c:y val="4.6076224035964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06006006006006E-3"/>
                  <c:y val="3.5203520352035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537088269371734E-3"/>
                  <c:y val="4.6570168827906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1080371710292969E-3"/>
                  <c:y val="4.243340869520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4455952015007133E-3"/>
                  <c:y val="4.4004400440044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8.0080080080080079E-3"/>
                  <c:y val="3.0803080308030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006006006006006E-3"/>
                  <c:y val="2.28601610557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6036036036036036E-2"/>
                  <c:y val="-5.779153766769865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'1.2-1.3'!$B$5:$B$25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'1.2-1.3'!$C$5:$C$25</c:f>
              <c:numCache>
                <c:formatCode>0</c:formatCode>
                <c:ptCount val="21"/>
                <c:pt idx="0">
                  <c:v>583.54412574599746</c:v>
                </c:pt>
                <c:pt idx="1">
                  <c:v>603.34119570344888</c:v>
                </c:pt>
                <c:pt idx="2">
                  <c:v>625.42605130816651</c:v>
                </c:pt>
                <c:pt idx="3">
                  <c:v>645.31347153883951</c:v>
                </c:pt>
                <c:pt idx="4">
                  <c:v>655.61625732548214</c:v>
                </c:pt>
                <c:pt idx="5">
                  <c:v>679.95819942836761</c:v>
                </c:pt>
                <c:pt idx="6">
                  <c:v>710.99105823647039</c:v>
                </c:pt>
                <c:pt idx="7">
                  <c:v>737.40531622325182</c:v>
                </c:pt>
                <c:pt idx="8">
                  <c:v>755.30692832269779</c:v>
                </c:pt>
                <c:pt idx="9">
                  <c:v>794.18268518061961</c:v>
                </c:pt>
                <c:pt idx="10">
                  <c:v>805.45882066401725</c:v>
                </c:pt>
                <c:pt idx="11">
                  <c:v>854.17028500533377</c:v>
                </c:pt>
                <c:pt idx="12">
                  <c:v>929.16215826534892</c:v>
                </c:pt>
                <c:pt idx="13" formatCode="#,##0">
                  <c:v>1001.5890432524227</c:v>
                </c:pt>
                <c:pt idx="14" formatCode="#,##0">
                  <c:v>999.23883787227453</c:v>
                </c:pt>
                <c:pt idx="15" formatCode="#,##0">
                  <c:v>1079.3034950558063</c:v>
                </c:pt>
                <c:pt idx="16" formatCode="#,##0">
                  <c:v>1153.7228054560567</c:v>
                </c:pt>
                <c:pt idx="17" formatCode="#,##0">
                  <c:v>1205.3122621263838</c:v>
                </c:pt>
                <c:pt idx="18" formatCode="#,##0">
                  <c:v>1256.0486081150725</c:v>
                </c:pt>
                <c:pt idx="19" formatCode="#,##0">
                  <c:v>1299.1212270759199</c:v>
                </c:pt>
                <c:pt idx="20" formatCode="#,##0">
                  <c:v>1355.4878635179934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85088"/>
        <c:axId val="128254336"/>
      </c:lineChart>
      <c:catAx>
        <c:axId val="1281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8254336"/>
        <c:crossesAt val="400"/>
        <c:auto val="1"/>
        <c:lblAlgn val="ctr"/>
        <c:lblOffset val="100"/>
        <c:tickLblSkip val="1"/>
        <c:tickMarkSkip val="1"/>
        <c:noMultiLvlLbl val="0"/>
      </c:catAx>
      <c:valAx>
        <c:axId val="128254336"/>
        <c:scaling>
          <c:orientation val="minMax"/>
          <c:max val="1500"/>
          <c:min val="4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kW.h / habitante</a:t>
                </a:r>
              </a:p>
            </c:rich>
          </c:tx>
          <c:layout>
            <c:manualLayout>
              <c:xMode val="edge"/>
              <c:yMode val="edge"/>
              <c:x val="8.1036942454265279E-3"/>
              <c:y val="0.3609273299041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28185088"/>
        <c:crosses val="autoZero"/>
        <c:crossBetween val="between"/>
        <c:majorUnit val="100"/>
        <c:minorUnit val="2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POTENCIA INSTALADA  POR SISTEMA  - A NIVEL NACIONAL   1995- 2 015</a:t>
            </a:r>
          </a:p>
        </c:rich>
      </c:tx>
      <c:layout>
        <c:manualLayout>
          <c:xMode val="edge"/>
          <c:yMode val="edge"/>
          <c:x val="0.22859480428114246"/>
          <c:y val="9.6667016622922139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332560834298957"/>
          <c:y val="0.24666746962066935"/>
          <c:w val="0.80301274623406715"/>
          <c:h val="0.4666681857688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'2.3-2.4'!$T$9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'2.3-2.4'!$S$10:$S$30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'2.3-2.4'!$T$10:$T$30</c:f>
              <c:numCache>
                <c:formatCode>#\ ##,000</c:formatCode>
                <c:ptCount val="21"/>
                <c:pt idx="0">
                  <c:v>4461.7000000000007</c:v>
                </c:pt>
                <c:pt idx="1">
                  <c:v>4662.6049999999996</c:v>
                </c:pt>
                <c:pt idx="2">
                  <c:v>5192.4980000000005</c:v>
                </c:pt>
                <c:pt idx="3">
                  <c:v>5515.2899999999991</c:v>
                </c:pt>
                <c:pt idx="4">
                  <c:v>5742.4279999999999</c:v>
                </c:pt>
                <c:pt idx="5">
                  <c:v>6066.1890000000003</c:v>
                </c:pt>
                <c:pt idx="6">
                  <c:v>5906.6930000000011</c:v>
                </c:pt>
                <c:pt idx="7">
                  <c:v>5935.5330000000004</c:v>
                </c:pt>
                <c:pt idx="8">
                  <c:v>5970.0630000000001</c:v>
                </c:pt>
                <c:pt idx="9">
                  <c:v>6016.3186000000023</c:v>
                </c:pt>
                <c:pt idx="10">
                  <c:v>6200.5255999999999</c:v>
                </c:pt>
                <c:pt idx="11">
                  <c:v>6658.1436000000012</c:v>
                </c:pt>
                <c:pt idx="12">
                  <c:v>7027.5172000000002</c:v>
                </c:pt>
                <c:pt idx="13">
                  <c:v>7157.9350000000031</c:v>
                </c:pt>
                <c:pt idx="14">
                  <c:v>7986.4960000000019</c:v>
                </c:pt>
                <c:pt idx="15">
                  <c:v>8612.5569999999989</c:v>
                </c:pt>
                <c:pt idx="16">
                  <c:v>8691.3240000000005</c:v>
                </c:pt>
                <c:pt idx="17">
                  <c:v>9699.0969999999998</c:v>
                </c:pt>
                <c:pt idx="18">
                  <c:v>11050.718999999999</c:v>
                </c:pt>
                <c:pt idx="19">
                  <c:v>11202.619000000001</c:v>
                </c:pt>
                <c:pt idx="20">
                  <c:v>12251.621000000003</c:v>
                </c:pt>
              </c:numCache>
            </c:numRef>
          </c:val>
        </c:ser>
        <c:ser>
          <c:idx val="1"/>
          <c:order val="1"/>
          <c:tx>
            <c:strRef>
              <c:f>'2.3-2.4'!$U$9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'2.3-2.4'!$S$10:$S$30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'2.3-2.4'!$U$10:$U$30</c:f>
              <c:numCache>
                <c:formatCode>#\ ##,000</c:formatCode>
                <c:ptCount val="21"/>
                <c:pt idx="0">
                  <c:v>3448.7250000000004</c:v>
                </c:pt>
                <c:pt idx="1">
                  <c:v>3586.6049999999996</c:v>
                </c:pt>
                <c:pt idx="2">
                  <c:v>4197.1310000000003</c:v>
                </c:pt>
                <c:pt idx="3">
                  <c:v>4406.6999999999989</c:v>
                </c:pt>
                <c:pt idx="4">
                  <c:v>4599.9650000000001</c:v>
                </c:pt>
                <c:pt idx="5">
                  <c:v>4933.616</c:v>
                </c:pt>
                <c:pt idx="6">
                  <c:v>4879.6460000000006</c:v>
                </c:pt>
                <c:pt idx="7">
                  <c:v>4973.5560000000005</c:v>
                </c:pt>
                <c:pt idx="8">
                  <c:v>5012.7560000000003</c:v>
                </c:pt>
                <c:pt idx="9">
                  <c:v>5060.245600000002</c:v>
                </c:pt>
                <c:pt idx="10">
                  <c:v>5193.2016000000003</c:v>
                </c:pt>
                <c:pt idx="11">
                  <c:v>5595.481600000001</c:v>
                </c:pt>
                <c:pt idx="12">
                  <c:v>5952.0042000000003</c:v>
                </c:pt>
                <c:pt idx="13">
                  <c:v>5937.4070000000029</c:v>
                </c:pt>
                <c:pt idx="14">
                  <c:v>6679.233000000002</c:v>
                </c:pt>
                <c:pt idx="15">
                  <c:v>7331.1129999999994</c:v>
                </c:pt>
                <c:pt idx="16">
                  <c:v>7341.4400000000005</c:v>
                </c:pt>
                <c:pt idx="17">
                  <c:v>8292.0739999999987</c:v>
                </c:pt>
                <c:pt idx="18">
                  <c:v>9633.9229999999989</c:v>
                </c:pt>
                <c:pt idx="19">
                  <c:v>9707.5800000000017</c:v>
                </c:pt>
                <c:pt idx="20">
                  <c:v>10747.800000000003</c:v>
                </c:pt>
              </c:numCache>
            </c:numRef>
          </c:val>
        </c:ser>
        <c:ser>
          <c:idx val="2"/>
          <c:order val="2"/>
          <c:tx>
            <c:strRef>
              <c:f>'2.3-2.4'!$V$9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00CC"/>
            </a:solidFill>
            <a:ln>
              <a:solidFill>
                <a:srgbClr val="0000CC"/>
              </a:solidFill>
            </a:ln>
          </c:spPr>
          <c:invertIfNegative val="0"/>
          <c:cat>
            <c:strRef>
              <c:f>'2.3-2.4'!$S$10:$S$30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'2.3-2.4'!$V$10:$V$30</c:f>
              <c:numCache>
                <c:formatCode>#\ ##,000</c:formatCode>
                <c:ptCount val="21"/>
                <c:pt idx="0">
                  <c:v>1012.975</c:v>
                </c:pt>
                <c:pt idx="1">
                  <c:v>1076</c:v>
                </c:pt>
                <c:pt idx="2">
                  <c:v>995.36699999999985</c:v>
                </c:pt>
                <c:pt idx="3">
                  <c:v>1108.5900000000001</c:v>
                </c:pt>
                <c:pt idx="4">
                  <c:v>1142.463</c:v>
                </c:pt>
                <c:pt idx="5">
                  <c:v>1132.5730000000001</c:v>
                </c:pt>
                <c:pt idx="6">
                  <c:v>1027.047</c:v>
                </c:pt>
                <c:pt idx="7">
                  <c:v>961.97699999999975</c:v>
                </c:pt>
                <c:pt idx="8">
                  <c:v>957.3069999999999</c:v>
                </c:pt>
                <c:pt idx="9">
                  <c:v>956.07299999999987</c:v>
                </c:pt>
                <c:pt idx="10">
                  <c:v>1007.3239999999998</c:v>
                </c:pt>
                <c:pt idx="11">
                  <c:v>1062.6619999999998</c:v>
                </c:pt>
                <c:pt idx="12">
                  <c:v>1075.5129999999997</c:v>
                </c:pt>
                <c:pt idx="13">
                  <c:v>1220.5280000000007</c:v>
                </c:pt>
                <c:pt idx="14">
                  <c:v>1307.2630000000001</c:v>
                </c:pt>
                <c:pt idx="15">
                  <c:v>1281.4439999999997</c:v>
                </c:pt>
                <c:pt idx="16">
                  <c:v>1349.884</c:v>
                </c:pt>
                <c:pt idx="17">
                  <c:v>1407.0230000000004</c:v>
                </c:pt>
                <c:pt idx="18">
                  <c:v>1416.7959999999998</c:v>
                </c:pt>
                <c:pt idx="19">
                  <c:v>1495.0389999999995</c:v>
                </c:pt>
                <c:pt idx="20">
                  <c:v>1503.8209999999995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417792"/>
        <c:axId val="196427776"/>
      </c:barChart>
      <c:catAx>
        <c:axId val="19641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4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642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4.6735887161246367E-2"/>
              <c:y val="0.3955569553805774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41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389285336521314"/>
          <c:y val="0.85555835520559931"/>
          <c:w val="0.29014013829339746"/>
          <c:h val="0.10888608923884513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 - GENERADORAS PARA MERCADO ELÉCTRICO
1 995 - 2 015</a:t>
            </a:r>
          </a:p>
        </c:rich>
      </c:tx>
      <c:layout>
        <c:manualLayout>
          <c:xMode val="edge"/>
          <c:yMode val="edge"/>
          <c:x val="0.27198138576236253"/>
          <c:y val="5.5172413793103448E-2"/>
        </c:manualLayout>
      </c:layout>
      <c:overlay val="0"/>
      <c:spPr>
        <a:solidFill>
          <a:schemeClr val="tx2">
            <a:lumMod val="20000"/>
            <a:lumOff val="8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3103615859246"/>
          <c:y val="0.22413793103448276"/>
          <c:w val="0.74912117911116738"/>
          <c:h val="0.5618779223757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 P.E.'!$R$40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 w="12700">
              <a:solidFill>
                <a:srgbClr val="00B050"/>
              </a:solidFill>
              <a:prstDash val="solid"/>
            </a:ln>
          </c:spPr>
          <c:invertIfNegative val="0"/>
          <c:cat>
            <c:strRef>
              <c:f>'3.1 P.E.'!$Q$41:$Q$61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P.E.'!$R$41:$R$61</c:f>
              <c:numCache>
                <c:formatCode>#\ ##,000</c:formatCode>
                <c:ptCount val="21"/>
                <c:pt idx="0">
                  <c:v>3195.3919999999998</c:v>
                </c:pt>
                <c:pt idx="1">
                  <c:v>2879.5010000000002</c:v>
                </c:pt>
                <c:pt idx="2">
                  <c:v>3826.8329999999996</c:v>
                </c:pt>
                <c:pt idx="3">
                  <c:v>4020.8509999999997</c:v>
                </c:pt>
                <c:pt idx="4">
                  <c:v>4317.9289999999992</c:v>
                </c:pt>
                <c:pt idx="5">
                  <c:v>4775.9350000000004</c:v>
                </c:pt>
                <c:pt idx="6">
                  <c:v>4642.0639999999994</c:v>
                </c:pt>
                <c:pt idx="7">
                  <c:v>4657.8269999999993</c:v>
                </c:pt>
                <c:pt idx="8">
                  <c:v>4686.3940000000002</c:v>
                </c:pt>
                <c:pt idx="9">
                  <c:v>4657.3150700000006</c:v>
                </c:pt>
                <c:pt idx="10">
                  <c:v>4798.6629999999996</c:v>
                </c:pt>
                <c:pt idx="11">
                  <c:v>5064.3620000000001</c:v>
                </c:pt>
                <c:pt idx="12">
                  <c:v>5532.8549999999987</c:v>
                </c:pt>
                <c:pt idx="13">
                  <c:v>5444.2159999999994</c:v>
                </c:pt>
                <c:pt idx="14">
                  <c:v>6246.4090000000006</c:v>
                </c:pt>
                <c:pt idx="15">
                  <c:v>6875.0380000000014</c:v>
                </c:pt>
                <c:pt idx="16">
                  <c:v>6867.8210000000008</c:v>
                </c:pt>
                <c:pt idx="17">
                  <c:v>7754.9049999999997</c:v>
                </c:pt>
                <c:pt idx="18">
                  <c:v>8680.4210000000003</c:v>
                </c:pt>
                <c:pt idx="19">
                  <c:v>9082.8000000000029</c:v>
                </c:pt>
                <c:pt idx="20">
                  <c:v>10088.199999999997</c:v>
                </c:pt>
              </c:numCache>
            </c:numRef>
          </c:val>
        </c:ser>
        <c:ser>
          <c:idx val="1"/>
          <c:order val="1"/>
          <c:tx>
            <c:strRef>
              <c:f>'3.1 P.E.'!$S$40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00CC"/>
              </a:solidFill>
            </a:ln>
          </c:spPr>
          <c:invertIfNegative val="0"/>
          <c:cat>
            <c:strRef>
              <c:f>'3.1 P.E.'!$Q$41:$Q$61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P.E.'!$S$41:$S$61</c:f>
              <c:numCache>
                <c:formatCode>#\ ##,000</c:formatCode>
                <c:ptCount val="21"/>
                <c:pt idx="0">
                  <c:v>2205.915</c:v>
                </c:pt>
                <c:pt idx="1">
                  <c:v>1924.8510000000001</c:v>
                </c:pt>
                <c:pt idx="2">
                  <c:v>2120.1709999999998</c:v>
                </c:pt>
                <c:pt idx="3">
                  <c:v>2022.9019999999998</c:v>
                </c:pt>
                <c:pt idx="4">
                  <c:v>2242.625</c:v>
                </c:pt>
                <c:pt idx="5">
                  <c:v>2575.9240000000004</c:v>
                </c:pt>
                <c:pt idx="6">
                  <c:v>2674.8349999999996</c:v>
                </c:pt>
                <c:pt idx="7">
                  <c:v>2702.8629999999998</c:v>
                </c:pt>
                <c:pt idx="8">
                  <c:v>2720.2290000000003</c:v>
                </c:pt>
                <c:pt idx="9">
                  <c:v>2747.2720700000009</c:v>
                </c:pt>
                <c:pt idx="10">
                  <c:v>2918.7730000000001</c:v>
                </c:pt>
                <c:pt idx="11">
                  <c:v>2926.6179999999999</c:v>
                </c:pt>
                <c:pt idx="12">
                  <c:v>2939.5869999999982</c:v>
                </c:pt>
                <c:pt idx="13">
                  <c:v>2953.1210000000005</c:v>
                </c:pt>
                <c:pt idx="14">
                  <c:v>3037.1620000000003</c:v>
                </c:pt>
                <c:pt idx="15" formatCode="General">
                  <c:v>3237.3610000000008</c:v>
                </c:pt>
                <c:pt idx="16" formatCode="General">
                  <c:v>3246.6250000000005</c:v>
                </c:pt>
                <c:pt idx="17" formatCode="General">
                  <c:v>3270.5969999999998</c:v>
                </c:pt>
                <c:pt idx="18" formatCode="General">
                  <c:v>3337.0359999999996</c:v>
                </c:pt>
                <c:pt idx="19" formatCode="General">
                  <c:v>3435.9410000000007</c:v>
                </c:pt>
                <c:pt idx="20" formatCode="General">
                  <c:v>3946.9409999999998</c:v>
                </c:pt>
              </c:numCache>
            </c:numRef>
          </c:val>
        </c:ser>
        <c:ser>
          <c:idx val="2"/>
          <c:order val="2"/>
          <c:tx>
            <c:strRef>
              <c:f>'3.1 P.E.'!$T$40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2700">
              <a:solidFill>
                <a:schemeClr val="accent6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'3.1 P.E.'!$Q$41:$Q$61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P.E.'!$T$41:$T$61</c:f>
              <c:numCache>
                <c:formatCode>#\ ##,000</c:formatCode>
                <c:ptCount val="21"/>
                <c:pt idx="0">
                  <c:v>989.47699999999998</c:v>
                </c:pt>
                <c:pt idx="1">
                  <c:v>954.4</c:v>
                </c:pt>
                <c:pt idx="2">
                  <c:v>1706.4119999999998</c:v>
                </c:pt>
                <c:pt idx="3">
                  <c:v>1997.6489999999999</c:v>
                </c:pt>
                <c:pt idx="4">
                  <c:v>2074.6039999999998</c:v>
                </c:pt>
                <c:pt idx="5">
                  <c:v>2199.3110000000001</c:v>
                </c:pt>
                <c:pt idx="6">
                  <c:v>1966.529</c:v>
                </c:pt>
                <c:pt idx="7">
                  <c:v>1954.2639999999999</c:v>
                </c:pt>
                <c:pt idx="8">
                  <c:v>1965.4649999999999</c:v>
                </c:pt>
                <c:pt idx="9">
                  <c:v>1909.3430000000001</c:v>
                </c:pt>
                <c:pt idx="10">
                  <c:v>1879.1899999999998</c:v>
                </c:pt>
                <c:pt idx="11">
                  <c:v>2137.0440000000003</c:v>
                </c:pt>
                <c:pt idx="12">
                  <c:v>2592.5680000000007</c:v>
                </c:pt>
                <c:pt idx="13">
                  <c:v>2490.3949999999995</c:v>
                </c:pt>
                <c:pt idx="14">
                  <c:v>3208.547</c:v>
                </c:pt>
                <c:pt idx="15" formatCode="General">
                  <c:v>3636.9770000000008</c:v>
                </c:pt>
                <c:pt idx="16" formatCode="General">
                  <c:v>3620.4960000000005</c:v>
                </c:pt>
                <c:pt idx="17" formatCode="General">
                  <c:v>4403.6080000000002</c:v>
                </c:pt>
                <c:pt idx="18" formatCode="General">
                  <c:v>5262.6849999999995</c:v>
                </c:pt>
                <c:pt idx="19" formatCode="General">
                  <c:v>5408.1590000000015</c:v>
                </c:pt>
                <c:pt idx="20" formatCode="General">
                  <c:v>5812.5589999999975</c:v>
                </c:pt>
              </c:numCache>
            </c:numRef>
          </c:val>
        </c:ser>
        <c:ser>
          <c:idx val="3"/>
          <c:order val="3"/>
          <c:tx>
            <c:strRef>
              <c:f>'3.1 P.E.'!$U$40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C000"/>
              </a:solidFill>
            </a:ln>
          </c:spPr>
          <c:invertIfNegative val="0"/>
          <c:cat>
            <c:strRef>
              <c:f>'3.1 P.E.'!$Q$41:$Q$61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P.E.'!$U$41:$U$61</c:f>
              <c:numCache>
                <c:formatCode>General</c:formatCode>
                <c:ptCount val="21"/>
                <c:pt idx="17">
                  <c:v>80</c:v>
                </c:pt>
                <c:pt idx="18">
                  <c:v>80</c:v>
                </c:pt>
                <c:pt idx="19">
                  <c:v>96</c:v>
                </c:pt>
                <c:pt idx="20">
                  <c:v>96</c:v>
                </c:pt>
              </c:numCache>
            </c:numRef>
          </c:val>
        </c:ser>
        <c:ser>
          <c:idx val="4"/>
          <c:order val="4"/>
          <c:tx>
            <c:strRef>
              <c:f>'3.1 P.E.'!$V$40</c:f>
              <c:strCache>
                <c:ptCount val="1"/>
                <c:pt idx="0">
                  <c:v>Eólico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'3.1 P.E.'!$Q$41:$Q$61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P.E.'!$V$41:$V$61</c:f>
              <c:numCache>
                <c:formatCode>General</c:formatCode>
                <c:ptCount val="21"/>
                <c:pt idx="19">
                  <c:v>142.69999999999999</c:v>
                </c:pt>
                <c:pt idx="20">
                  <c:v>232.7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157632"/>
        <c:axId val="197159168"/>
      </c:barChart>
      <c:catAx>
        <c:axId val="19715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71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15916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6.7995319603454479E-2"/>
              <c:y val="0.4241379310344827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71576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558614989077284"/>
          <c:y val="0.89509313060005435"/>
          <c:w val="0.6349690031077404"/>
          <c:h val="9.5814643859172821E-2"/>
        </c:manualLayout>
      </c:layout>
      <c:overlay val="0"/>
      <c:spPr>
        <a:solidFill>
          <a:srgbClr val="FFFFFF"/>
        </a:solidFill>
        <a:ln w="3175">
          <a:solidFill>
            <a:sysClr val="windowText" lastClr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 - GENERADORAS PARA USO PROPIO
1 995 - 2 015</a:t>
            </a:r>
          </a:p>
        </c:rich>
      </c:tx>
      <c:layout>
        <c:manualLayout>
          <c:xMode val="edge"/>
          <c:yMode val="edge"/>
          <c:x val="0.3164707180833165"/>
          <c:y val="5.8823529411764705E-2"/>
        </c:manualLayout>
      </c:layout>
      <c:overlay val="0"/>
      <c:spPr>
        <a:solidFill>
          <a:schemeClr val="tx2">
            <a:lumMod val="20000"/>
            <a:lumOff val="8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89759204486384"/>
          <c:y val="0.24148606811145512"/>
          <c:w val="0.76000076121871118"/>
          <c:h val="0.513931888544891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 P.E.'!$R$71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 w="12700">
              <a:solidFill>
                <a:srgbClr val="00B050"/>
              </a:solidFill>
              <a:prstDash val="solid"/>
            </a:ln>
          </c:spPr>
          <c:invertIfNegative val="0"/>
          <c:cat>
            <c:strRef>
              <c:f>'3.1 P.E.'!$Q$72:$Q$92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P.E.'!$R$72:$R$92</c:f>
              <c:numCache>
                <c:formatCode>#\ ##,000</c:formatCode>
                <c:ptCount val="21"/>
                <c:pt idx="0">
                  <c:v>880.01599999999996</c:v>
                </c:pt>
                <c:pt idx="1">
                  <c:v>1123.7</c:v>
                </c:pt>
                <c:pt idx="2">
                  <c:v>754.18599999999992</c:v>
                </c:pt>
                <c:pt idx="3">
                  <c:v>760.82999999999993</c:v>
                </c:pt>
                <c:pt idx="4">
                  <c:v>798.22699999999998</c:v>
                </c:pt>
                <c:pt idx="5">
                  <c:v>778.91100000000006</c:v>
                </c:pt>
                <c:pt idx="6">
                  <c:v>745.11300000000017</c:v>
                </c:pt>
                <c:pt idx="7">
                  <c:v>737.84200000000055</c:v>
                </c:pt>
                <c:pt idx="8">
                  <c:v>735.41300000000035</c:v>
                </c:pt>
                <c:pt idx="9">
                  <c:v>760.64400000000035</c:v>
                </c:pt>
                <c:pt idx="10">
                  <c:v>812.2620000000004</c:v>
                </c:pt>
                <c:pt idx="11">
                  <c:v>809.03800000000001</c:v>
                </c:pt>
                <c:pt idx="12">
                  <c:v>819.15900000000011</c:v>
                </c:pt>
                <c:pt idx="13">
                  <c:v>904.72799999999995</c:v>
                </c:pt>
                <c:pt idx="14">
                  <c:v>1009.9380000000001</c:v>
                </c:pt>
                <c:pt idx="15" formatCode="General">
                  <c:v>1125.3490000000004</c:v>
                </c:pt>
                <c:pt idx="16" formatCode="General">
                  <c:v>1177.712</c:v>
                </c:pt>
                <c:pt idx="17" formatCode="General">
                  <c:v>1184.3520000000001</c:v>
                </c:pt>
                <c:pt idx="18" formatCode="General">
                  <c:v>1204.8510000000001</c:v>
                </c:pt>
                <c:pt idx="19" formatCode="General">
                  <c:v>1186.5420000000001</c:v>
                </c:pt>
                <c:pt idx="20" formatCode="General">
                  <c:v>1207.6370000000002</c:v>
                </c:pt>
              </c:numCache>
            </c:numRef>
          </c:val>
        </c:ser>
        <c:ser>
          <c:idx val="1"/>
          <c:order val="1"/>
          <c:tx>
            <c:strRef>
              <c:f>'3.1 P.E.'!$S$71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CC"/>
              </a:solidFill>
              <a:prstDash val="solid"/>
            </a:ln>
          </c:spPr>
          <c:invertIfNegative val="0"/>
          <c:cat>
            <c:strRef>
              <c:f>'3.1 P.E.'!$Q$72:$Q$92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P.E.'!$S$72:$S$92</c:f>
              <c:numCache>
                <c:formatCode>#\ ##,000</c:formatCode>
                <c:ptCount val="21"/>
                <c:pt idx="0">
                  <c:v>268.97000000000003</c:v>
                </c:pt>
                <c:pt idx="1">
                  <c:v>277.02600000000001</c:v>
                </c:pt>
                <c:pt idx="2">
                  <c:v>90.733000000000004</c:v>
                </c:pt>
                <c:pt idx="3">
                  <c:v>93.967000000000013</c:v>
                </c:pt>
                <c:pt idx="4">
                  <c:v>75.48299999999999</c:v>
                </c:pt>
                <c:pt idx="5">
                  <c:v>74.971000000000004</c:v>
                </c:pt>
                <c:pt idx="6">
                  <c:v>69.667999999999992</c:v>
                </c:pt>
                <c:pt idx="7">
                  <c:v>72.418999999999997</c:v>
                </c:pt>
                <c:pt idx="8">
                  <c:v>70.043999999999983</c:v>
                </c:pt>
                <c:pt idx="9">
                  <c:v>67.731999999999999</c:v>
                </c:pt>
                <c:pt idx="10">
                  <c:v>70.430000000000007</c:v>
                </c:pt>
                <c:pt idx="11">
                  <c:v>69.355999999999995</c:v>
                </c:pt>
                <c:pt idx="12">
                  <c:v>73.710999999999984</c:v>
                </c:pt>
                <c:pt idx="13">
                  <c:v>74.780999999999977</c:v>
                </c:pt>
                <c:pt idx="14">
                  <c:v>78.605999999999995</c:v>
                </c:pt>
                <c:pt idx="15" formatCode="General">
                  <c:v>80.084000000000003</c:v>
                </c:pt>
                <c:pt idx="16" formatCode="General">
                  <c:v>81.998999999999995</c:v>
                </c:pt>
                <c:pt idx="17" formatCode="General">
                  <c:v>89.539000000000016</c:v>
                </c:pt>
                <c:pt idx="18" formatCode="General">
                  <c:v>77.372</c:v>
                </c:pt>
                <c:pt idx="19" formatCode="General">
                  <c:v>91.34699999999998</c:v>
                </c:pt>
                <c:pt idx="20" formatCode="General">
                  <c:v>91.34699999999998</c:v>
                </c:pt>
              </c:numCache>
            </c:numRef>
          </c:val>
        </c:ser>
        <c:ser>
          <c:idx val="2"/>
          <c:order val="2"/>
          <c:tx>
            <c:strRef>
              <c:f>'3.1 P.E.'!$T$71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2700">
              <a:solidFill>
                <a:schemeClr val="accent6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'3.1 P.E.'!$Q$72:$Q$92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P.E.'!$T$72:$T$92</c:f>
              <c:numCache>
                <c:formatCode>#\ ##,000</c:formatCode>
                <c:ptCount val="21"/>
                <c:pt idx="0">
                  <c:v>611.04599999999994</c:v>
                </c:pt>
                <c:pt idx="1">
                  <c:v>846.67400000000009</c:v>
                </c:pt>
                <c:pt idx="2">
                  <c:v>663.45299999999997</c:v>
                </c:pt>
                <c:pt idx="3">
                  <c:v>666.86299999999994</c:v>
                </c:pt>
                <c:pt idx="4">
                  <c:v>722.74400000000003</c:v>
                </c:pt>
                <c:pt idx="5">
                  <c:v>703.94</c:v>
                </c:pt>
                <c:pt idx="6">
                  <c:v>675.44500000000016</c:v>
                </c:pt>
                <c:pt idx="7">
                  <c:v>665.42300000000057</c:v>
                </c:pt>
                <c:pt idx="8">
                  <c:v>665.36900000000037</c:v>
                </c:pt>
                <c:pt idx="9">
                  <c:v>692.91200000000038</c:v>
                </c:pt>
                <c:pt idx="10">
                  <c:v>741.83200000000033</c:v>
                </c:pt>
                <c:pt idx="11">
                  <c:v>739.68200000000002</c:v>
                </c:pt>
                <c:pt idx="12">
                  <c:v>745.44800000000009</c:v>
                </c:pt>
                <c:pt idx="13">
                  <c:v>829.947</c:v>
                </c:pt>
                <c:pt idx="14">
                  <c:v>931.33200000000011</c:v>
                </c:pt>
                <c:pt idx="15" formatCode="General">
                  <c:v>1045.2650000000003</c:v>
                </c:pt>
                <c:pt idx="16" formatCode="General">
                  <c:v>1095.713</c:v>
                </c:pt>
                <c:pt idx="17" formatCode="General">
                  <c:v>1094.8130000000001</c:v>
                </c:pt>
                <c:pt idx="18" formatCode="General">
                  <c:v>1127.479</c:v>
                </c:pt>
                <c:pt idx="19" formatCode="General">
                  <c:v>1095.1950000000002</c:v>
                </c:pt>
                <c:pt idx="20" formatCode="General">
                  <c:v>1116.2900000000002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193088"/>
        <c:axId val="197538944"/>
      </c:barChart>
      <c:catAx>
        <c:axId val="1971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753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53894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6.8235332121946296E-2"/>
              <c:y val="0.4241486068111455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71930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085502389124436"/>
          <c:y val="0.88235294117647056"/>
          <c:w val="0.42119690423312478"/>
          <c:h val="6.19195046439628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EVOLUCIÓN DE POTENCIA EFECTIVA 1 995 - 2 015</a:t>
            </a:r>
          </a:p>
        </c:rich>
      </c:tx>
      <c:layout>
        <c:manualLayout>
          <c:xMode val="edge"/>
          <c:yMode val="edge"/>
          <c:x val="0.29231975233864999"/>
          <c:y val="5.6685083856043421E-2"/>
        </c:manualLayout>
      </c:layout>
      <c:overlay val="0"/>
      <c:spPr>
        <a:solidFill>
          <a:schemeClr val="tx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6117656317587498"/>
          <c:y val="0.17062182481427107"/>
          <c:w val="0.7211768848672363"/>
          <c:h val="0.62574918813114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 P.E.'!$R$6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cat>
            <c:strRef>
              <c:f>'3.1 P.E.'!$Q$7:$Q$27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P.E.'!$R$7:$R$27</c:f>
              <c:numCache>
                <c:formatCode>#\ ##,000</c:formatCode>
                <c:ptCount val="21"/>
                <c:pt idx="0">
                  <c:v>4075.4080000000004</c:v>
                </c:pt>
                <c:pt idx="1">
                  <c:v>4003.201</c:v>
                </c:pt>
                <c:pt idx="2">
                  <c:v>4581.0190000000002</c:v>
                </c:pt>
                <c:pt idx="3">
                  <c:v>4781.6309999999994</c:v>
                </c:pt>
                <c:pt idx="4">
                  <c:v>5116.1559999999999</c:v>
                </c:pt>
                <c:pt idx="5">
                  <c:v>5554.8460000000005</c:v>
                </c:pt>
                <c:pt idx="6">
                  <c:v>5387.1769999999997</c:v>
                </c:pt>
                <c:pt idx="7">
                  <c:v>5395.6689999999999</c:v>
                </c:pt>
                <c:pt idx="8">
                  <c:v>5421.8069999999998</c:v>
                </c:pt>
                <c:pt idx="9">
                  <c:v>5417.9590700000017</c:v>
                </c:pt>
                <c:pt idx="10">
                  <c:v>5610.9250000000002</c:v>
                </c:pt>
                <c:pt idx="11">
                  <c:v>5873.4000000000005</c:v>
                </c:pt>
                <c:pt idx="12">
                  <c:v>6352.0139999999983</c:v>
                </c:pt>
                <c:pt idx="13">
                  <c:v>6348.9440000000004</c:v>
                </c:pt>
                <c:pt idx="14">
                  <c:v>7256.3469999999998</c:v>
                </c:pt>
                <c:pt idx="15">
                  <c:v>8000.3870000000015</c:v>
                </c:pt>
                <c:pt idx="16">
                  <c:v>8045.5330000000004</c:v>
                </c:pt>
                <c:pt idx="17">
                  <c:v>8939.2570000000014</c:v>
                </c:pt>
                <c:pt idx="18">
                  <c:v>9885.2720000000008</c:v>
                </c:pt>
                <c:pt idx="19">
                  <c:v>10269.342000000002</c:v>
                </c:pt>
                <c:pt idx="20">
                  <c:v>11295.836999999998</c:v>
                </c:pt>
              </c:numCache>
            </c:numRef>
          </c:val>
        </c:ser>
        <c:ser>
          <c:idx val="1"/>
          <c:order val="1"/>
          <c:tx>
            <c:strRef>
              <c:f>'3.1 P.E.'!$S$6</c:f>
              <c:strCache>
                <c:ptCount val="1"/>
                <c:pt idx="0">
                  <c:v>Hidro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00CC"/>
              </a:solidFill>
            </a:ln>
          </c:spPr>
          <c:invertIfNegative val="0"/>
          <c:cat>
            <c:strRef>
              <c:f>'3.1 P.E.'!$Q$7:$Q$27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P.E.'!$S$7:$S$27</c:f>
              <c:numCache>
                <c:formatCode>#\ ##,000</c:formatCode>
                <c:ptCount val="21"/>
                <c:pt idx="0">
                  <c:v>2474.8850000000002</c:v>
                </c:pt>
                <c:pt idx="1">
                  <c:v>2201.877</c:v>
                </c:pt>
                <c:pt idx="2">
                  <c:v>2210.904</c:v>
                </c:pt>
                <c:pt idx="3">
                  <c:v>2116.8689999999997</c:v>
                </c:pt>
                <c:pt idx="4">
                  <c:v>2318.1080000000002</c:v>
                </c:pt>
                <c:pt idx="5">
                  <c:v>2650.8950000000004</c:v>
                </c:pt>
                <c:pt idx="6">
                  <c:v>2744.5029999999997</c:v>
                </c:pt>
                <c:pt idx="7">
                  <c:v>2775.2819999999997</c:v>
                </c:pt>
                <c:pt idx="8">
                  <c:v>2790.2730000000001</c:v>
                </c:pt>
                <c:pt idx="9">
                  <c:v>2815.0040700000009</c:v>
                </c:pt>
                <c:pt idx="10">
                  <c:v>2989.203</c:v>
                </c:pt>
                <c:pt idx="11">
                  <c:v>2995.9740000000002</c:v>
                </c:pt>
                <c:pt idx="12">
                  <c:v>3013.297999999998</c:v>
                </c:pt>
                <c:pt idx="13">
                  <c:v>3027.9020000000005</c:v>
                </c:pt>
                <c:pt idx="14">
                  <c:v>3115.768</c:v>
                </c:pt>
                <c:pt idx="15">
                  <c:v>3317.4450000000006</c:v>
                </c:pt>
                <c:pt idx="16">
                  <c:v>3328.6240000000003</c:v>
                </c:pt>
                <c:pt idx="17">
                  <c:v>3360.136</c:v>
                </c:pt>
                <c:pt idx="18">
                  <c:v>3414.4079999999994</c:v>
                </c:pt>
                <c:pt idx="19">
                  <c:v>3527.2880000000005</c:v>
                </c:pt>
                <c:pt idx="20">
                  <c:v>4038.2879999999996</c:v>
                </c:pt>
              </c:numCache>
            </c:numRef>
          </c:val>
        </c:ser>
        <c:ser>
          <c:idx val="2"/>
          <c:order val="2"/>
          <c:tx>
            <c:strRef>
              <c:f>'3.1 P.E.'!$T$6</c:f>
              <c:strCache>
                <c:ptCount val="1"/>
                <c:pt idx="0">
                  <c:v>Termo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strRef>
              <c:f>'3.1 P.E.'!$Q$7:$Q$27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P.E.'!$T$7:$T$27</c:f>
              <c:numCache>
                <c:formatCode>#\ ##,000</c:formatCode>
                <c:ptCount val="21"/>
                <c:pt idx="0">
                  <c:v>1600.5229999999999</c:v>
                </c:pt>
                <c:pt idx="1">
                  <c:v>1801.0740000000001</c:v>
                </c:pt>
                <c:pt idx="2">
                  <c:v>2369.8649999999998</c:v>
                </c:pt>
                <c:pt idx="3">
                  <c:v>2664.5119999999997</c:v>
                </c:pt>
                <c:pt idx="4">
                  <c:v>2797.348</c:v>
                </c:pt>
                <c:pt idx="5">
                  <c:v>2903.2510000000002</c:v>
                </c:pt>
                <c:pt idx="6">
                  <c:v>2641.9740000000002</c:v>
                </c:pt>
                <c:pt idx="7">
                  <c:v>2619.6870000000004</c:v>
                </c:pt>
                <c:pt idx="8">
                  <c:v>2630.8340000000003</c:v>
                </c:pt>
                <c:pt idx="9">
                  <c:v>2602.2550000000006</c:v>
                </c:pt>
                <c:pt idx="10">
                  <c:v>2621.0219999999999</c:v>
                </c:pt>
                <c:pt idx="11">
                  <c:v>2876.7260000000006</c:v>
                </c:pt>
                <c:pt idx="12">
                  <c:v>3338.0160000000005</c:v>
                </c:pt>
                <c:pt idx="13">
                  <c:v>3320.3419999999996</c:v>
                </c:pt>
                <c:pt idx="14">
                  <c:v>4139.8789999999999</c:v>
                </c:pt>
                <c:pt idx="15">
                  <c:v>4682.2420000000011</c:v>
                </c:pt>
                <c:pt idx="16">
                  <c:v>4716.2090000000007</c:v>
                </c:pt>
                <c:pt idx="17">
                  <c:v>5498.4210000000003</c:v>
                </c:pt>
                <c:pt idx="18">
                  <c:v>6390.1639999999998</c:v>
                </c:pt>
                <c:pt idx="19">
                  <c:v>6503.3540000000012</c:v>
                </c:pt>
                <c:pt idx="20">
                  <c:v>6928.8489999999974</c:v>
                </c:pt>
              </c:numCache>
            </c:numRef>
          </c:val>
        </c:ser>
        <c:ser>
          <c:idx val="3"/>
          <c:order val="3"/>
          <c:tx>
            <c:strRef>
              <c:f>'3.1 P.E.'!$U$6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C000"/>
              </a:solidFill>
            </a:ln>
          </c:spPr>
          <c:invertIfNegative val="0"/>
          <c:cat>
            <c:strRef>
              <c:f>'3.1 P.E.'!$Q$7:$Q$27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P.E.'!$U$7:$U$27</c:f>
              <c:numCache>
                <c:formatCode>General</c:formatCode>
                <c:ptCount val="21"/>
                <c:pt idx="17" formatCode="#\ #,#00">
                  <c:v>80</c:v>
                </c:pt>
                <c:pt idx="18" formatCode="#\ #,#00">
                  <c:v>80</c:v>
                </c:pt>
                <c:pt idx="19" formatCode="#\ #,#00">
                  <c:v>96</c:v>
                </c:pt>
                <c:pt idx="20" formatCode="#\ #,#00">
                  <c:v>96</c:v>
                </c:pt>
              </c:numCache>
            </c:numRef>
          </c:val>
        </c:ser>
        <c:ser>
          <c:idx val="4"/>
          <c:order val="4"/>
          <c:tx>
            <c:strRef>
              <c:f>'3.1 P.E.'!$V$6</c:f>
              <c:strCache>
                <c:ptCount val="1"/>
                <c:pt idx="0">
                  <c:v>Eólico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'3.1 P.E.'!$Q$7:$Q$27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'3.1 P.E.'!$V$7:$V$27</c:f>
              <c:numCache>
                <c:formatCode>General</c:formatCode>
                <c:ptCount val="21"/>
                <c:pt idx="19" formatCode="#\ #,#00">
                  <c:v>142.69999999999999</c:v>
                </c:pt>
                <c:pt idx="20" formatCode="#\ #,#00">
                  <c:v>232.7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80288"/>
        <c:axId val="197581824"/>
      </c:barChart>
      <c:catAx>
        <c:axId val="1975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758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581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7.7647109495928388E-2"/>
              <c:y val="0.416949864317807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758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550152769365368"/>
          <c:y val="0.90445375683971707"/>
          <c:w val="0.52406336900195161"/>
          <c:h val="7.3474442813292407E-2"/>
        </c:manualLayout>
      </c:layout>
      <c:overlay val="0"/>
      <c:spPr>
        <a:noFill/>
        <a:ln w="3175">
          <a:solidFill>
            <a:sysClr val="windowText" lastClr="000000"/>
          </a:solidFill>
          <a:prstDash val="solid"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 - GENERADORAS PARA MERCADO ELÉCTRICO
2 001 - 2 015</a:t>
            </a:r>
          </a:p>
        </c:rich>
      </c:tx>
      <c:layout>
        <c:manualLayout>
          <c:xMode val="edge"/>
          <c:yMode val="edge"/>
          <c:x val="0.28589556987194786"/>
          <c:y val="5.5172413793103448E-2"/>
        </c:manualLayout>
      </c:layout>
      <c:overlay val="0"/>
      <c:spPr>
        <a:solidFill>
          <a:schemeClr val="tx2">
            <a:lumMod val="20000"/>
            <a:lumOff val="8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3103615859246"/>
          <c:y val="0.22413793103448276"/>
          <c:w val="0.74912117911116738"/>
          <c:h val="0.503448275862068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'3.2'!$T$41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 w="12700">
              <a:solidFill>
                <a:srgbClr val="00B050"/>
              </a:solidFill>
              <a:prstDash val="solid"/>
            </a:ln>
          </c:spPr>
          <c:invertIfNegative val="0"/>
          <c:cat>
            <c:strRef>
              <c:f>'3.2'!$S$48:$S$62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'3.2'!$T$48:$T$62</c:f>
              <c:numCache>
                <c:formatCode>#\ ##,000</c:formatCode>
                <c:ptCount val="15"/>
                <c:pt idx="0">
                  <c:v>4642.0639999999994</c:v>
                </c:pt>
                <c:pt idx="1">
                  <c:v>4657.8269999999993</c:v>
                </c:pt>
                <c:pt idx="2">
                  <c:v>4686.3940000000011</c:v>
                </c:pt>
                <c:pt idx="3">
                  <c:v>4657.3150700000006</c:v>
                </c:pt>
                <c:pt idx="4">
                  <c:v>4798.6629999999996</c:v>
                </c:pt>
                <c:pt idx="5">
                  <c:v>5064.3620000000001</c:v>
                </c:pt>
                <c:pt idx="6">
                  <c:v>5532.8549999999987</c:v>
                </c:pt>
                <c:pt idx="7">
                  <c:v>5444.2160000000003</c:v>
                </c:pt>
                <c:pt idx="8">
                  <c:v>6246.4090000000006</c:v>
                </c:pt>
                <c:pt idx="9">
                  <c:v>6875.0380000000014</c:v>
                </c:pt>
                <c:pt idx="10">
                  <c:v>6867.8209999999999</c:v>
                </c:pt>
                <c:pt idx="11">
                  <c:v>7754.9049999999997</c:v>
                </c:pt>
                <c:pt idx="12">
                  <c:v>8680.4209999999985</c:v>
                </c:pt>
                <c:pt idx="13">
                  <c:v>9082.8000000000011</c:v>
                </c:pt>
                <c:pt idx="14">
                  <c:v>10088.199999999997</c:v>
                </c:pt>
              </c:numCache>
            </c:numRef>
          </c:val>
        </c:ser>
        <c:ser>
          <c:idx val="1"/>
          <c:order val="1"/>
          <c:tx>
            <c:strRef>
              <c:f>'3.2'!$U$41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00CC"/>
              </a:solidFill>
            </a:ln>
          </c:spPr>
          <c:invertIfNegative val="0"/>
          <c:cat>
            <c:strRef>
              <c:f>'3.2'!$S$48:$S$62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'3.2'!$U$48:$U$62</c:f>
              <c:numCache>
                <c:formatCode>#\ ##,000</c:formatCode>
                <c:ptCount val="15"/>
                <c:pt idx="0">
                  <c:v>4418.8459999999995</c:v>
                </c:pt>
                <c:pt idx="1">
                  <c:v>4491.7919999999995</c:v>
                </c:pt>
                <c:pt idx="2">
                  <c:v>4517.7180000000008</c:v>
                </c:pt>
                <c:pt idx="3">
                  <c:v>4493.808070000001</c:v>
                </c:pt>
                <c:pt idx="4">
                  <c:v>4619.7579999999998</c:v>
                </c:pt>
                <c:pt idx="5">
                  <c:v>4891.5619999999999</c:v>
                </c:pt>
                <c:pt idx="6">
                  <c:v>5363.3939999999984</c:v>
                </c:pt>
                <c:pt idx="7">
                  <c:v>5248.7000000000007</c:v>
                </c:pt>
                <c:pt idx="8">
                  <c:v>6064.4620000000004</c:v>
                </c:pt>
                <c:pt idx="9" formatCode="General">
                  <c:v>6727.0620000000017</c:v>
                </c:pt>
                <c:pt idx="10" formatCode="General">
                  <c:v>6729.8410000000003</c:v>
                </c:pt>
                <c:pt idx="11" formatCode="General">
                  <c:v>7617.5529999999999</c:v>
                </c:pt>
                <c:pt idx="12" formatCode="General">
                  <c:v>8521.0119999999988</c:v>
                </c:pt>
                <c:pt idx="13" formatCode="General">
                  <c:v>8908.4320000000007</c:v>
                </c:pt>
                <c:pt idx="14" formatCode="General">
                  <c:v>9913.2319999999963</c:v>
                </c:pt>
              </c:numCache>
            </c:numRef>
          </c:val>
        </c:ser>
        <c:ser>
          <c:idx val="2"/>
          <c:order val="2"/>
          <c:tx>
            <c:strRef>
              <c:f>'3.2'!$V$41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rgbClr val="FFC000"/>
              </a:solidFill>
              <a:prstDash val="solid"/>
            </a:ln>
          </c:spPr>
          <c:invertIfNegative val="0"/>
          <c:cat>
            <c:strRef>
              <c:f>'3.2'!$S$48:$S$62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'3.2'!$V$48:$V$62</c:f>
              <c:numCache>
                <c:formatCode>#\ ##,000</c:formatCode>
                <c:ptCount val="15"/>
                <c:pt idx="0">
                  <c:v>223.21799999999993</c:v>
                </c:pt>
                <c:pt idx="1">
                  <c:v>166.035</c:v>
                </c:pt>
                <c:pt idx="2">
                  <c:v>168.67599999999996</c:v>
                </c:pt>
                <c:pt idx="3">
                  <c:v>163.50700000000006</c:v>
                </c:pt>
                <c:pt idx="4">
                  <c:v>178.90499999999992</c:v>
                </c:pt>
                <c:pt idx="5">
                  <c:v>172.8</c:v>
                </c:pt>
                <c:pt idx="6">
                  <c:v>169.46100000000004</c:v>
                </c:pt>
                <c:pt idx="7">
                  <c:v>195.51599999999991</c:v>
                </c:pt>
                <c:pt idx="8">
                  <c:v>181.947</c:v>
                </c:pt>
                <c:pt idx="9" formatCode="General">
                  <c:v>147.976</c:v>
                </c:pt>
                <c:pt idx="10" formatCode="General">
                  <c:v>137.97999999999999</c:v>
                </c:pt>
                <c:pt idx="11" formatCode="General">
                  <c:v>137.352</c:v>
                </c:pt>
                <c:pt idx="12" formatCode="General">
                  <c:v>159.40900000000005</c:v>
                </c:pt>
                <c:pt idx="13" formatCode="General">
                  <c:v>174.36800000000005</c:v>
                </c:pt>
                <c:pt idx="14" formatCode="General">
                  <c:v>174.96799999999996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65952"/>
        <c:axId val="198972544"/>
      </c:barChart>
      <c:catAx>
        <c:axId val="1987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897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97254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6.7995307404756219E-2"/>
              <c:y val="0.4241379310344827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87659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03101884991646"/>
          <c:y val="0.88620689655172413"/>
          <c:w val="0.33026614570905916"/>
          <c:h val="6.896551724137933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 - GENERADORAS PARA USO PROPIO
2 001 - 2 015</a:t>
            </a:r>
          </a:p>
        </c:rich>
      </c:tx>
      <c:layout>
        <c:manualLayout>
          <c:xMode val="edge"/>
          <c:yMode val="edge"/>
          <c:x val="0.31647072605952747"/>
          <c:y val="5.8823529411764705E-2"/>
        </c:manualLayout>
      </c:layout>
      <c:overlay val="0"/>
      <c:spPr>
        <a:solidFill>
          <a:schemeClr val="tx2">
            <a:lumMod val="20000"/>
            <a:lumOff val="8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89759204486384"/>
          <c:y val="0.24148606811145512"/>
          <c:w val="0.76000076121871118"/>
          <c:h val="0.513931888544891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'3.2'!$T$71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 w="12700">
              <a:solidFill>
                <a:srgbClr val="00B050"/>
              </a:solidFill>
              <a:prstDash val="solid"/>
            </a:ln>
          </c:spPr>
          <c:invertIfNegative val="0"/>
          <c:cat>
            <c:strRef>
              <c:f>'3.2'!$S$78:$S$92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'3.2'!$T$78:$T$92</c:f>
              <c:numCache>
                <c:formatCode>#\ ##,000</c:formatCode>
                <c:ptCount val="15"/>
                <c:pt idx="0">
                  <c:v>745.11300000000006</c:v>
                </c:pt>
                <c:pt idx="1">
                  <c:v>737.84200000000067</c:v>
                </c:pt>
                <c:pt idx="2">
                  <c:v>735.41300000000035</c:v>
                </c:pt>
                <c:pt idx="3">
                  <c:v>760.64400000000035</c:v>
                </c:pt>
                <c:pt idx="4">
                  <c:v>812.26200000000028</c:v>
                </c:pt>
                <c:pt idx="5">
                  <c:v>809.03800000000001</c:v>
                </c:pt>
                <c:pt idx="6">
                  <c:v>819.15900000000011</c:v>
                </c:pt>
                <c:pt idx="7">
                  <c:v>904.72799999999995</c:v>
                </c:pt>
                <c:pt idx="8">
                  <c:v>1009.9380000000001</c:v>
                </c:pt>
                <c:pt idx="9" formatCode="General">
                  <c:v>1125.3490000000004</c:v>
                </c:pt>
                <c:pt idx="10" formatCode="General">
                  <c:v>1177.712</c:v>
                </c:pt>
                <c:pt idx="11" formatCode="General">
                  <c:v>1184.3520000000001</c:v>
                </c:pt>
                <c:pt idx="12" formatCode="General">
                  <c:v>1204.8510000000001</c:v>
                </c:pt>
                <c:pt idx="13" formatCode="General">
                  <c:v>1186.5420000000001</c:v>
                </c:pt>
                <c:pt idx="14" formatCode="General">
                  <c:v>1207.6370000000002</c:v>
                </c:pt>
              </c:numCache>
            </c:numRef>
          </c:val>
        </c:ser>
        <c:ser>
          <c:idx val="1"/>
          <c:order val="1"/>
          <c:tx>
            <c:strRef>
              <c:f>'3.2'!$U$71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CC"/>
              </a:solidFill>
              <a:prstDash val="solid"/>
            </a:ln>
          </c:spPr>
          <c:invertIfNegative val="0"/>
          <c:cat>
            <c:strRef>
              <c:f>'3.2'!$S$78:$S$92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'3.2'!$U$78:$U$92</c:f>
              <c:numCache>
                <c:formatCode>#\ ##,000</c:formatCode>
                <c:ptCount val="15"/>
                <c:pt idx="0">
                  <c:v>101.07900000000001</c:v>
                </c:pt>
                <c:pt idx="1">
                  <c:v>80.701000000000008</c:v>
                </c:pt>
                <c:pt idx="2">
                  <c:v>80.212000000000018</c:v>
                </c:pt>
                <c:pt idx="3">
                  <c:v>113.89800000000001</c:v>
                </c:pt>
                <c:pt idx="4">
                  <c:v>126.95800000000001</c:v>
                </c:pt>
                <c:pt idx="5">
                  <c:v>108.992</c:v>
                </c:pt>
                <c:pt idx="6">
                  <c:v>110.52600000000004</c:v>
                </c:pt>
                <c:pt idx="7">
                  <c:v>107.71000000000001</c:v>
                </c:pt>
                <c:pt idx="8">
                  <c:v>124.221</c:v>
                </c:pt>
                <c:pt idx="9" formatCode="General">
                  <c:v>160.57400000000001</c:v>
                </c:pt>
                <c:pt idx="10" formatCode="General">
                  <c:v>158.62100000000001</c:v>
                </c:pt>
                <c:pt idx="11" formatCode="General">
                  <c:v>159.99600000000001</c:v>
                </c:pt>
                <c:pt idx="12" formatCode="General">
                  <c:v>156.67800000000003</c:v>
                </c:pt>
                <c:pt idx="13" formatCode="General">
                  <c:v>141.26100000000002</c:v>
                </c:pt>
                <c:pt idx="14" formatCode="General">
                  <c:v>156.06100000000001</c:v>
                </c:pt>
              </c:numCache>
            </c:numRef>
          </c:val>
        </c:ser>
        <c:ser>
          <c:idx val="2"/>
          <c:order val="2"/>
          <c:tx>
            <c:strRef>
              <c:f>'3.2'!$V$71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rgbClr val="FFC000"/>
              </a:solidFill>
              <a:prstDash val="solid"/>
            </a:ln>
          </c:spPr>
          <c:invertIfNegative val="0"/>
          <c:cat>
            <c:strRef>
              <c:f>'3.2'!$S$78:$S$92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'3.2'!$V$78:$V$92</c:f>
              <c:numCache>
                <c:formatCode>#\ ##,000</c:formatCode>
                <c:ptCount val="15"/>
                <c:pt idx="0">
                  <c:v>644.03400000000011</c:v>
                </c:pt>
                <c:pt idx="1">
                  <c:v>657.14100000000064</c:v>
                </c:pt>
                <c:pt idx="2">
                  <c:v>655.20100000000036</c:v>
                </c:pt>
                <c:pt idx="3">
                  <c:v>646.74600000000032</c:v>
                </c:pt>
                <c:pt idx="4">
                  <c:v>685.30400000000031</c:v>
                </c:pt>
                <c:pt idx="5">
                  <c:v>700.04600000000005</c:v>
                </c:pt>
                <c:pt idx="6">
                  <c:v>708.63300000000004</c:v>
                </c:pt>
                <c:pt idx="7">
                  <c:v>797.01799999999992</c:v>
                </c:pt>
                <c:pt idx="8">
                  <c:v>885.7170000000001</c:v>
                </c:pt>
                <c:pt idx="9" formatCode="General">
                  <c:v>964.77500000000032</c:v>
                </c:pt>
                <c:pt idx="10" formatCode="General">
                  <c:v>1019.0909999999999</c:v>
                </c:pt>
                <c:pt idx="11" formatCode="General">
                  <c:v>1024.356</c:v>
                </c:pt>
                <c:pt idx="12" formatCode="General">
                  <c:v>1048.173</c:v>
                </c:pt>
                <c:pt idx="13" formatCode="General">
                  <c:v>1045.2810000000002</c:v>
                </c:pt>
                <c:pt idx="14" formatCode="General">
                  <c:v>1051.5760000000002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03136"/>
        <c:axId val="199004928"/>
      </c:barChart>
      <c:catAx>
        <c:axId val="1990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90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900492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6.8235288252786075E-2"/>
              <c:y val="0.4241486068111455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9003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47173554872591"/>
          <c:y val="0.88638827267334619"/>
          <c:w val="0.35282081192842352"/>
          <c:h val="6.19195046439628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EVOLUCIÓN POTENCIA EFECTIVA - NACIONAL 2 001 - 2 015</a:t>
            </a:r>
          </a:p>
        </c:rich>
      </c:tx>
      <c:layout>
        <c:manualLayout>
          <c:xMode val="edge"/>
          <c:yMode val="edge"/>
          <c:x val="0.29231975632675544"/>
          <c:y val="5.6685083856043421E-2"/>
        </c:manualLayout>
      </c:layout>
      <c:overlay val="0"/>
      <c:spPr>
        <a:solidFill>
          <a:schemeClr val="tx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6117656317587498"/>
          <c:y val="0.22033934775448186"/>
          <c:w val="0.7211768848672363"/>
          <c:h val="0.5186449262528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'3.2'!$T$6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cat>
            <c:strRef>
              <c:f>'3.2'!$S$13:$S$27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'3.2'!$T$13:$T$27</c:f>
              <c:numCache>
                <c:formatCode>#\ ##,000</c:formatCode>
                <c:ptCount val="15"/>
                <c:pt idx="0">
                  <c:v>5387.1769999999997</c:v>
                </c:pt>
                <c:pt idx="1">
                  <c:v>5395.6689999999999</c:v>
                </c:pt>
                <c:pt idx="2">
                  <c:v>5421.8070000000016</c:v>
                </c:pt>
                <c:pt idx="3">
                  <c:v>5417.9590700000017</c:v>
                </c:pt>
                <c:pt idx="4">
                  <c:v>5610.9249999999993</c:v>
                </c:pt>
                <c:pt idx="5">
                  <c:v>5873.4</c:v>
                </c:pt>
                <c:pt idx="6">
                  <c:v>6352.0139999999983</c:v>
                </c:pt>
                <c:pt idx="7">
                  <c:v>6348.9440000000004</c:v>
                </c:pt>
                <c:pt idx="8">
                  <c:v>7256.3470000000016</c:v>
                </c:pt>
                <c:pt idx="9">
                  <c:v>8000.3870000000015</c:v>
                </c:pt>
                <c:pt idx="10">
                  <c:v>8045.5330000000004</c:v>
                </c:pt>
                <c:pt idx="11">
                  <c:v>8939.2569999999996</c:v>
                </c:pt>
                <c:pt idx="12">
                  <c:v>9885.271999999999</c:v>
                </c:pt>
                <c:pt idx="13">
                  <c:v>10269.342000000001</c:v>
                </c:pt>
                <c:pt idx="14">
                  <c:v>11295.836999999996</c:v>
                </c:pt>
              </c:numCache>
            </c:numRef>
          </c:val>
        </c:ser>
        <c:ser>
          <c:idx val="1"/>
          <c:order val="1"/>
          <c:tx>
            <c:strRef>
              <c:f>'3.2'!$U$6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00CC"/>
              </a:solidFill>
            </a:ln>
          </c:spPr>
          <c:invertIfNegative val="0"/>
          <c:cat>
            <c:strRef>
              <c:f>'3.2'!$S$13:$S$27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'3.2'!$U$13:$U$27</c:f>
              <c:numCache>
                <c:formatCode>#\ ##,000</c:formatCode>
                <c:ptCount val="15"/>
                <c:pt idx="0">
                  <c:v>4519.9249999999993</c:v>
                </c:pt>
                <c:pt idx="1">
                  <c:v>4572.4929999999995</c:v>
                </c:pt>
                <c:pt idx="2">
                  <c:v>4597.9300000000012</c:v>
                </c:pt>
                <c:pt idx="3">
                  <c:v>4607.7060700000011</c:v>
                </c:pt>
                <c:pt idx="4">
                  <c:v>4746.7159999999994</c:v>
                </c:pt>
                <c:pt idx="5">
                  <c:v>5000.5540000000001</c:v>
                </c:pt>
                <c:pt idx="6">
                  <c:v>5473.9199999999983</c:v>
                </c:pt>
                <c:pt idx="7">
                  <c:v>5356.4100000000008</c:v>
                </c:pt>
                <c:pt idx="8">
                  <c:v>6188.6830000000009</c:v>
                </c:pt>
                <c:pt idx="9">
                  <c:v>6887.6360000000013</c:v>
                </c:pt>
                <c:pt idx="10">
                  <c:v>6888.4620000000004</c:v>
                </c:pt>
                <c:pt idx="11">
                  <c:v>7777.549</c:v>
                </c:pt>
                <c:pt idx="12">
                  <c:v>8677.6899999999987</c:v>
                </c:pt>
                <c:pt idx="13">
                  <c:v>9049.6930000000011</c:v>
                </c:pt>
                <c:pt idx="14">
                  <c:v>10069.292999999996</c:v>
                </c:pt>
              </c:numCache>
            </c:numRef>
          </c:val>
        </c:ser>
        <c:ser>
          <c:idx val="2"/>
          <c:order val="2"/>
          <c:tx>
            <c:strRef>
              <c:f>'3.2'!$V$6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cat>
            <c:strRef>
              <c:f>'3.2'!$S$13:$S$27</c:f>
              <c:strCach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2015*</c:v>
                </c:pt>
              </c:strCache>
            </c:strRef>
          </c:cat>
          <c:val>
            <c:numRef>
              <c:f>'3.2'!$V$13:$V$27</c:f>
              <c:numCache>
                <c:formatCode>#\ ##,000</c:formatCode>
                <c:ptCount val="15"/>
                <c:pt idx="0">
                  <c:v>867.25200000000007</c:v>
                </c:pt>
                <c:pt idx="1">
                  <c:v>823.17600000000061</c:v>
                </c:pt>
                <c:pt idx="2">
                  <c:v>823.87700000000029</c:v>
                </c:pt>
                <c:pt idx="3">
                  <c:v>810.25300000000038</c:v>
                </c:pt>
                <c:pt idx="4">
                  <c:v>864.20900000000029</c:v>
                </c:pt>
                <c:pt idx="5">
                  <c:v>872.846</c:v>
                </c:pt>
                <c:pt idx="6">
                  <c:v>878.09400000000005</c:v>
                </c:pt>
                <c:pt idx="7">
                  <c:v>992.53399999999988</c:v>
                </c:pt>
                <c:pt idx="8">
                  <c:v>1067.6640000000002</c:v>
                </c:pt>
                <c:pt idx="9">
                  <c:v>1112.7510000000002</c:v>
                </c:pt>
                <c:pt idx="10">
                  <c:v>1157.0709999999999</c:v>
                </c:pt>
                <c:pt idx="11">
                  <c:v>1161.7080000000001</c:v>
                </c:pt>
                <c:pt idx="12">
                  <c:v>1207.5820000000001</c:v>
                </c:pt>
                <c:pt idx="13">
                  <c:v>1219.6490000000003</c:v>
                </c:pt>
                <c:pt idx="14">
                  <c:v>1226.5440000000003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32128"/>
        <c:axId val="199242112"/>
      </c:barChart>
      <c:catAx>
        <c:axId val="1992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92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924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7.7647117472139343E-2"/>
              <c:y val="0.416949864317807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923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410286321047475"/>
          <c:y val="0.87796752524578492"/>
          <c:w val="0.35282081192842346"/>
          <c:h val="6.77966101694915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EVOLUCIÓN DE LA MÁXIMA DEMANDA SEIN - COES
 1 995 - 2 015</a:t>
            </a:r>
          </a:p>
        </c:rich>
      </c:tx>
      <c:layout>
        <c:manualLayout>
          <c:xMode val="edge"/>
          <c:yMode val="edge"/>
          <c:x val="0.10344834866391243"/>
          <c:y val="3.893444353938516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5957066862905"/>
          <c:y val="0.1721311475409836"/>
          <c:w val="0.83164382571214357"/>
          <c:h val="0.70073329914220495"/>
        </c:manualLayout>
      </c:layout>
      <c:lineChart>
        <c:grouping val="standard"/>
        <c:varyColors val="0"/>
        <c:ser>
          <c:idx val="0"/>
          <c:order val="0"/>
          <c:tx>
            <c:strRef>
              <c:f>'4 MD'!$C$5</c:f>
              <c:strCache>
                <c:ptCount val="1"/>
                <c:pt idx="0">
                  <c:v>Máxima Demanda 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circle"/>
            <c:size val="5"/>
            <c:spPr>
              <a:ln w="3175"/>
            </c:spPr>
          </c:marker>
          <c:dLbls>
            <c:dLbl>
              <c:idx val="0"/>
              <c:layout>
                <c:manualLayout>
                  <c:x val="-3.514253483779263E-2"/>
                  <c:y val="-3.4246748825767857E-2"/>
                </c:manualLayout>
              </c:layout>
              <c:numFmt formatCode="#\ 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3252144902846047E-2"/>
                  <c:y val="2.885432886579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644964449694288E-2"/>
                  <c:y val="3.5118724103655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6752600386815587E-2"/>
                  <c:y val="2.887896511657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049913212269575E-2"/>
                  <c:y val="2.5686308127096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1347013244465195E-2"/>
                  <c:y val="2.2493651137616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5942277275148283E-2"/>
                  <c:y val="2.249314835698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1347226037723563E-2"/>
                  <c:y val="2.249314835698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5.1347013244465195E-2"/>
                  <c:y val="2.2493651137616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3239377307343903E-2"/>
                  <c:y val="2.5758959927881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9727005400905691E-2"/>
                  <c:y val="2.9024017327831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2428628609159856E-2"/>
                  <c:y val="2.5831360338351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7023892639842943E-2"/>
                  <c:y val="2.5613907716626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43214182585553E-2"/>
                  <c:y val="2.5758959927881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6306837809021292E-2"/>
                  <c:y val="2.3261477561206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0602311438362806E-2"/>
                  <c:y val="2.7880469859300396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4 579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6172238105125296E-2"/>
                  <c:y val="2.10334124901054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/>
                      <a:t>4 961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5386114261072334E-4"/>
                  <c:y val="2.4423125270260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1.0356220685396069E-2"/>
                  <c:y val="1.9071051872705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732979218548321E-3"/>
                  <c:y val="-3.6398609018638015E-3"/>
                </c:manualLayout>
              </c:layout>
              <c:numFmt formatCode="#\ 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196356168458833E-2"/>
                  <c:y val="-3.122734206960592E-2"/>
                </c:manualLayout>
              </c:layout>
              <c:numFmt formatCode="#\ 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\ 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 MD'!$B$8:$B$28</c:f>
              <c:strCache>
                <c:ptCount val="21"/>
                <c:pt idx="0">
                  <c:v>1 995</c:v>
                </c:pt>
                <c:pt idx="1">
                  <c:v>1 996</c:v>
                </c:pt>
                <c:pt idx="2">
                  <c:v>1 997</c:v>
                </c:pt>
                <c:pt idx="3">
                  <c:v>1 998</c:v>
                </c:pt>
                <c:pt idx="4">
                  <c:v>1 999</c:v>
                </c:pt>
                <c:pt idx="5">
                  <c:v>2 000</c:v>
                </c:pt>
                <c:pt idx="6">
                  <c:v>2 001</c:v>
                </c:pt>
                <c:pt idx="7">
                  <c:v>2 002</c:v>
                </c:pt>
                <c:pt idx="8">
                  <c:v>2 003</c:v>
                </c:pt>
                <c:pt idx="9">
                  <c:v>2 004</c:v>
                </c:pt>
                <c:pt idx="10">
                  <c:v>2 005</c:v>
                </c:pt>
                <c:pt idx="11">
                  <c:v>2 006</c:v>
                </c:pt>
                <c:pt idx="12">
                  <c:v>2 007</c:v>
                </c:pt>
                <c:pt idx="13">
                  <c:v>2 008</c:v>
                </c:pt>
                <c:pt idx="14">
                  <c:v>2 009</c:v>
                </c:pt>
                <c:pt idx="15">
                  <c:v>2 010</c:v>
                </c:pt>
                <c:pt idx="16">
                  <c:v>2 011</c:v>
                </c:pt>
                <c:pt idx="17">
                  <c:v>2 012</c:v>
                </c:pt>
                <c:pt idx="18">
                  <c:v>2 013</c:v>
                </c:pt>
                <c:pt idx="19">
                  <c:v>2 014</c:v>
                </c:pt>
                <c:pt idx="20">
                  <c:v>2015*</c:v>
                </c:pt>
              </c:strCache>
            </c:strRef>
          </c:cat>
          <c:val>
            <c:numRef>
              <c:f>'4 MD'!$C$8:$C$28</c:f>
              <c:numCache>
                <c:formatCode>#,##0</c:formatCode>
                <c:ptCount val="21"/>
                <c:pt idx="0">
                  <c:v>2052.1</c:v>
                </c:pt>
                <c:pt idx="1">
                  <c:v>2024.93</c:v>
                </c:pt>
                <c:pt idx="2">
                  <c:v>2400.9</c:v>
                </c:pt>
                <c:pt idx="3">
                  <c:v>2520.6</c:v>
                </c:pt>
                <c:pt idx="4">
                  <c:v>2580.3000000000002</c:v>
                </c:pt>
                <c:pt idx="5">
                  <c:v>2620.6999999999998</c:v>
                </c:pt>
                <c:pt idx="6">
                  <c:v>2792.22</c:v>
                </c:pt>
                <c:pt idx="7">
                  <c:v>2908.2</c:v>
                </c:pt>
                <c:pt idx="8">
                  <c:v>2964.7548999999999</c:v>
                </c:pt>
                <c:pt idx="9">
                  <c:v>3130.8466199999993</c:v>
                </c:pt>
                <c:pt idx="10">
                  <c:v>3305.0140500000002</c:v>
                </c:pt>
                <c:pt idx="11">
                  <c:v>3580</c:v>
                </c:pt>
                <c:pt idx="12">
                  <c:v>3965.6038100000005</c:v>
                </c:pt>
                <c:pt idx="13">
                  <c:v>4198.6589700000004</c:v>
                </c:pt>
                <c:pt idx="14">
                  <c:v>4322.3748300000007</c:v>
                </c:pt>
                <c:pt idx="15">
                  <c:v>4578.9431199999999</c:v>
                </c:pt>
                <c:pt idx="16">
                  <c:v>4961.1929899999996</c:v>
                </c:pt>
                <c:pt idx="17">
                  <c:v>5290.8930899999987</c:v>
                </c:pt>
                <c:pt idx="18">
                  <c:v>5575.2435699999996</c:v>
                </c:pt>
                <c:pt idx="19">
                  <c:v>5737.2723200000019</c:v>
                </c:pt>
                <c:pt idx="20">
                  <c:v>6274.5590500000017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61088"/>
        <c:axId val="198362624"/>
      </c:lineChart>
      <c:catAx>
        <c:axId val="198361088"/>
        <c:scaling>
          <c:orientation val="minMax"/>
        </c:scaling>
        <c:delete val="0"/>
        <c:axPos val="b"/>
        <c:numFmt formatCode="#\ ##0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836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36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 sz="1200"/>
                  <a:t>MW</a:t>
                </a:r>
              </a:p>
            </c:rich>
          </c:tx>
          <c:layout>
            <c:manualLayout>
              <c:xMode val="edge"/>
              <c:yMode val="edge"/>
              <c:x val="1.0142077761303603E-2"/>
              <c:y val="0.461539003026920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8361088"/>
        <c:crosses val="autoZero"/>
        <c:crossBetween val="between"/>
        <c:majorUnit val="500"/>
        <c:minorUnit val="1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EVOLUCIÓN DE LA MÁXIMA DEMANDA SEIN - COES 
1 995 - 2 015</a:t>
            </a:r>
          </a:p>
        </c:rich>
      </c:tx>
      <c:layout>
        <c:manualLayout>
          <c:xMode val="edge"/>
          <c:yMode val="edge"/>
          <c:x val="0.36375203099612546"/>
          <c:y val="5.8957130358705159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311330131352632E-2"/>
          <c:y val="0.24365154355705537"/>
          <c:w val="0.87142857142857144"/>
          <c:h val="0.58968378952630918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93366">
                    <a:gamma/>
                    <a:shade val="66275"/>
                    <a:invGamma/>
                  </a:srgbClr>
                </a:gs>
                <a:gs pos="100000">
                  <a:srgbClr val="993366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1.1633091318130591E-3"/>
                  <c:y val="7.3584865296467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2259603913147024E-3"/>
                  <c:y val="6.257291127469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92507754712476E-3"/>
                  <c:y val="7.75358194402388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5.1357671200190349E-3"/>
                  <c:y val="3.368825308542373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1285407505880161E-3"/>
                  <c:y val="2.013845395667473E-3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 sz="800" b="0"/>
                      <a:t>4 579</a:t>
                    </a:r>
                    <a:endParaRPr lang="es-PE"/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E" sz="800" b="0"/>
                      <a:t>4 961</a:t>
                    </a:r>
                    <a:endParaRPr lang="es-PE"/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numFmt formatCode="#\ 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0"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1.7316017316016045E-3"/>
                  <c:y val="9.5235595550556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numFmt formatCode="#\ 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\ 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 MD'!$B$8:$B$28</c:f>
              <c:strCache>
                <c:ptCount val="21"/>
                <c:pt idx="0">
                  <c:v>1 995</c:v>
                </c:pt>
                <c:pt idx="1">
                  <c:v>1 996</c:v>
                </c:pt>
                <c:pt idx="2">
                  <c:v>1 997</c:v>
                </c:pt>
                <c:pt idx="3">
                  <c:v>1 998</c:v>
                </c:pt>
                <c:pt idx="4">
                  <c:v>1 999</c:v>
                </c:pt>
                <c:pt idx="5">
                  <c:v>2 000</c:v>
                </c:pt>
                <c:pt idx="6">
                  <c:v>2 001</c:v>
                </c:pt>
                <c:pt idx="7">
                  <c:v>2 002</c:v>
                </c:pt>
                <c:pt idx="8">
                  <c:v>2 003</c:v>
                </c:pt>
                <c:pt idx="9">
                  <c:v>2 004</c:v>
                </c:pt>
                <c:pt idx="10">
                  <c:v>2 005</c:v>
                </c:pt>
                <c:pt idx="11">
                  <c:v>2 006</c:v>
                </c:pt>
                <c:pt idx="12">
                  <c:v>2 007</c:v>
                </c:pt>
                <c:pt idx="13">
                  <c:v>2 008</c:v>
                </c:pt>
                <c:pt idx="14">
                  <c:v>2 009</c:v>
                </c:pt>
                <c:pt idx="15">
                  <c:v>2 010</c:v>
                </c:pt>
                <c:pt idx="16">
                  <c:v>2 011</c:v>
                </c:pt>
                <c:pt idx="17">
                  <c:v>2 012</c:v>
                </c:pt>
                <c:pt idx="18">
                  <c:v>2 013</c:v>
                </c:pt>
                <c:pt idx="19">
                  <c:v>2 014</c:v>
                </c:pt>
                <c:pt idx="20">
                  <c:v>2015*</c:v>
                </c:pt>
              </c:strCache>
            </c:strRef>
          </c:cat>
          <c:val>
            <c:numRef>
              <c:f>'4 MD'!$C$8:$C$28</c:f>
              <c:numCache>
                <c:formatCode>#,##0</c:formatCode>
                <c:ptCount val="21"/>
                <c:pt idx="0">
                  <c:v>2052.1</c:v>
                </c:pt>
                <c:pt idx="1">
                  <c:v>2024.93</c:v>
                </c:pt>
                <c:pt idx="2">
                  <c:v>2400.9</c:v>
                </c:pt>
                <c:pt idx="3">
                  <c:v>2520.6</c:v>
                </c:pt>
                <c:pt idx="4">
                  <c:v>2580.3000000000002</c:v>
                </c:pt>
                <c:pt idx="5">
                  <c:v>2620.6999999999998</c:v>
                </c:pt>
                <c:pt idx="6">
                  <c:v>2792.22</c:v>
                </c:pt>
                <c:pt idx="7">
                  <c:v>2908.2</c:v>
                </c:pt>
                <c:pt idx="8">
                  <c:v>2964.7548999999999</c:v>
                </c:pt>
                <c:pt idx="9">
                  <c:v>3130.8466199999993</c:v>
                </c:pt>
                <c:pt idx="10">
                  <c:v>3305.0140500000002</c:v>
                </c:pt>
                <c:pt idx="11">
                  <c:v>3580</c:v>
                </c:pt>
                <c:pt idx="12">
                  <c:v>3965.6038100000005</c:v>
                </c:pt>
                <c:pt idx="13">
                  <c:v>4198.6589700000004</c:v>
                </c:pt>
                <c:pt idx="14">
                  <c:v>4322.3748300000007</c:v>
                </c:pt>
                <c:pt idx="15">
                  <c:v>4578.9431199999999</c:v>
                </c:pt>
                <c:pt idx="16">
                  <c:v>4961.1929899999996</c:v>
                </c:pt>
                <c:pt idx="17">
                  <c:v>5290.8930899999987</c:v>
                </c:pt>
                <c:pt idx="18">
                  <c:v>5575.2435699999996</c:v>
                </c:pt>
                <c:pt idx="19">
                  <c:v>5737.2723200000019</c:v>
                </c:pt>
                <c:pt idx="20">
                  <c:v>6274.5590500000017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865984"/>
        <c:axId val="195871872"/>
      </c:barChart>
      <c:catAx>
        <c:axId val="195865984"/>
        <c:scaling>
          <c:orientation val="minMax"/>
        </c:scaling>
        <c:delete val="0"/>
        <c:axPos val="b"/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587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871872"/>
        <c:scaling>
          <c:orientation val="minMax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3.2850655572815302E-3"/>
              <c:y val="0.456690413698287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958659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 LA PRODUCCIÓN DE 
ENERGÍA ELÉCTRICA  - NACIONAL 1 995 - 2 015</a:t>
            </a:r>
          </a:p>
        </c:rich>
      </c:tx>
      <c:layout>
        <c:manualLayout>
          <c:xMode val="edge"/>
          <c:yMode val="edge"/>
          <c:x val="0.33379498630409432"/>
          <c:y val="1.466275659824047E-2"/>
        </c:manualLayout>
      </c:layout>
      <c:overlay val="0"/>
      <c:spPr>
        <a:solidFill>
          <a:schemeClr val="accent1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2603878116343489"/>
          <c:y val="0.20423019814305257"/>
          <c:w val="0.80793872574294379"/>
          <c:h val="0.65402975654436157"/>
        </c:manualLayout>
      </c:layout>
      <c:areaChart>
        <c:grouping val="stacked"/>
        <c:varyColors val="0"/>
        <c:ser>
          <c:idx val="0"/>
          <c:order val="0"/>
          <c:tx>
            <c:strRef>
              <c:f>'5.1 PROD.'!$S$25</c:f>
              <c:strCache>
                <c:ptCount val="1"/>
                <c:pt idx="0">
                  <c:v>Hidráulica</c:v>
                </c:pt>
              </c:strCache>
            </c:strRef>
          </c:tx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Hidráulica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'5.1 PROD.'!$R$26:$R$46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PROD.'!$S$26:$S$46</c:f>
              <c:numCache>
                <c:formatCode>#,#00</c:formatCode>
                <c:ptCount val="21"/>
                <c:pt idx="0">
                  <c:v>12937.553461</c:v>
                </c:pt>
                <c:pt idx="1">
                  <c:v>13323.572077999999</c:v>
                </c:pt>
                <c:pt idx="2">
                  <c:v>13214.529482000002</c:v>
                </c:pt>
                <c:pt idx="3">
                  <c:v>13808.285138000003</c:v>
                </c:pt>
                <c:pt idx="4">
                  <c:v>14540.581285</c:v>
                </c:pt>
                <c:pt idx="5">
                  <c:v>16176.051366</c:v>
                </c:pt>
                <c:pt idx="6">
                  <c:v>17614.760199999997</c:v>
                </c:pt>
                <c:pt idx="7">
                  <c:v>18040.127915000005</c:v>
                </c:pt>
                <c:pt idx="8">
                  <c:v>18533.720860999994</c:v>
                </c:pt>
                <c:pt idx="9">
                  <c:v>17525.338961000005</c:v>
                </c:pt>
                <c:pt idx="10">
                  <c:v>17976.993336</c:v>
                </c:pt>
                <c:pt idx="11">
                  <c:v>19594.347163999995</c:v>
                </c:pt>
                <c:pt idx="12">
                  <c:v>19548.782020000002</c:v>
                </c:pt>
                <c:pt idx="13">
                  <c:v>19059.617748999997</c:v>
                </c:pt>
                <c:pt idx="14">
                  <c:v>19903.776404</c:v>
                </c:pt>
                <c:pt idx="15">
                  <c:v>20052.129280199999</c:v>
                </c:pt>
                <c:pt idx="16">
                  <c:v>21557.326716785243</c:v>
                </c:pt>
                <c:pt idx="17">
                  <c:v>22031.93804599997</c:v>
                </c:pt>
                <c:pt idx="18">
                  <c:v>22319.562549983006</c:v>
                </c:pt>
                <c:pt idx="19">
                  <c:v>22210.659487894649</c:v>
                </c:pt>
                <c:pt idx="20">
                  <c:v>23300.59286291938</c:v>
                </c:pt>
              </c:numCache>
            </c:numRef>
          </c:val>
        </c:ser>
        <c:ser>
          <c:idx val="1"/>
          <c:order val="1"/>
          <c:tx>
            <c:strRef>
              <c:f>'5.1 PROD.'!$T$25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Térmica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'5.1 PROD.'!$R$26:$R$46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PROD.'!$T$26:$T$46</c:f>
              <c:numCache>
                <c:formatCode>#,#00</c:formatCode>
                <c:ptCount val="21"/>
                <c:pt idx="0">
                  <c:v>3942.5611400000003</c:v>
                </c:pt>
                <c:pt idx="1">
                  <c:v>3955.8302150000004</c:v>
                </c:pt>
                <c:pt idx="2">
                  <c:v>4738.3224370000007</c:v>
                </c:pt>
                <c:pt idx="3">
                  <c:v>4773.7272680000005</c:v>
                </c:pt>
                <c:pt idx="4">
                  <c:v>4508.4115320000001</c:v>
                </c:pt>
                <c:pt idx="5">
                  <c:v>3745.8002719999995</c:v>
                </c:pt>
                <c:pt idx="6">
                  <c:v>3169.7389349999999</c:v>
                </c:pt>
                <c:pt idx="7">
                  <c:v>3940.9688570000035</c:v>
                </c:pt>
                <c:pt idx="8">
                  <c:v>4388.4066130000028</c:v>
                </c:pt>
                <c:pt idx="9">
                  <c:v>6740.4467100000011</c:v>
                </c:pt>
                <c:pt idx="10">
                  <c:v>7531.5170790000029</c:v>
                </c:pt>
                <c:pt idx="11">
                  <c:v>7774.255163580001</c:v>
                </c:pt>
                <c:pt idx="12">
                  <c:v>10393.038722000001</c:v>
                </c:pt>
                <c:pt idx="13">
                  <c:v>13402.262134000001</c:v>
                </c:pt>
                <c:pt idx="14">
                  <c:v>13039.733016999999</c:v>
                </c:pt>
                <c:pt idx="15">
                  <c:v>15854.652260999999</c:v>
                </c:pt>
                <c:pt idx="16">
                  <c:v>17247.908127223669</c:v>
                </c:pt>
                <c:pt idx="17">
                  <c:v>18943.135640407931</c:v>
                </c:pt>
                <c:pt idx="18">
                  <c:v>20812.461130502368</c:v>
                </c:pt>
                <c:pt idx="19">
                  <c:v>22882.315829837717</c:v>
                </c:pt>
                <c:pt idx="20">
                  <c:v>23932.820424744084</c:v>
                </c:pt>
              </c:numCache>
            </c:numRef>
          </c:val>
        </c:ser>
        <c:ser>
          <c:idx val="2"/>
          <c:order val="2"/>
          <c:tx>
            <c:strRef>
              <c:f>'5.1 PROD.'!$U$25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'5.1 PROD.'!$R$26:$R$46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PROD.'!$U$26:$U$46</c:f>
              <c:numCache>
                <c:formatCode>General</c:formatCode>
                <c:ptCount val="21"/>
                <c:pt idx="17" formatCode="#,#00">
                  <c:v>59.682986800000002</c:v>
                </c:pt>
                <c:pt idx="18" formatCode="#,#00">
                  <c:v>196.92788000000002</c:v>
                </c:pt>
                <c:pt idx="19" formatCode="#,#00">
                  <c:v>199.30359694553749</c:v>
                </c:pt>
                <c:pt idx="20" formatCode="#,#00">
                  <c:v>230.435323711</c:v>
                </c:pt>
              </c:numCache>
            </c:numRef>
          </c:val>
        </c:ser>
        <c:ser>
          <c:idx val="3"/>
          <c:order val="3"/>
          <c:tx>
            <c:strRef>
              <c:f>'5.1 PROD.'!$V$25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cat>
            <c:strRef>
              <c:f>'5.1 PROD.'!$R$26:$R$46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PROD.'!$V$26:$V$46</c:f>
              <c:numCache>
                <c:formatCode>General</c:formatCode>
                <c:ptCount val="21"/>
                <c:pt idx="19" formatCode="#,#00">
                  <c:v>257.5406575769008</c:v>
                </c:pt>
                <c:pt idx="20" formatCode="#,#00">
                  <c:v>602.36857652351034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312704"/>
        <c:axId val="200314240"/>
      </c:areaChart>
      <c:catAx>
        <c:axId val="2003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031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314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3764038680010004E-2"/>
              <c:y val="0.373411534701857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0312704"/>
        <c:crosses val="autoZero"/>
        <c:crossBetween val="midCat"/>
        <c:majorUnit val="5000"/>
        <c:minorUnit val="10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PRODUCCIÓN DE ENERGÍA ELÉCTRICA PERCÁPITA
1 995 - 2 015</a:t>
            </a:r>
          </a:p>
        </c:rich>
      </c:tx>
      <c:layout>
        <c:manualLayout>
          <c:xMode val="edge"/>
          <c:yMode val="edge"/>
          <c:x val="0.2125803458857673"/>
          <c:y val="2.9951550173875328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65645044727944"/>
          <c:y val="0.25217462685299719"/>
          <c:w val="0.82362024870908679"/>
          <c:h val="0.63478440552651016"/>
        </c:manualLayout>
      </c:layout>
      <c:lineChart>
        <c:grouping val="standard"/>
        <c:varyColors val="0"/>
        <c:ser>
          <c:idx val="0"/>
          <c:order val="0"/>
          <c:tx>
            <c:strRef>
              <c:f>'1.2-1.3'!$C$56</c:f>
              <c:strCache>
                <c:ptCount val="1"/>
                <c:pt idx="0">
                  <c:v> kW.h / Habitante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3.1956039002408197E-2"/>
                  <c:y val="-4.455732422032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52809441791022E-2"/>
                  <c:y val="6.8618284832523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5764757863019325E-2"/>
                  <c:y val="6.8347394142695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908982097804946E-2"/>
                  <c:y val="7.423376171668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4389043971757909E-2"/>
                  <c:y val="6.1283114814803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10881271185481E-2"/>
                  <c:y val="5.5573723814353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6223445015354615E-2"/>
                  <c:y val="5.7271534297713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917531572466021E-2"/>
                  <c:y val="7.4030571759645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5216754566174526E-2"/>
                  <c:y val="6.2343933238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4962205489256921E-2"/>
                  <c:y val="5.919599180436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8287268604287055E-2"/>
                  <c:y val="5.09411394999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6796764471189762E-2"/>
                  <c:y val="5.790243145578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4735036954736486E-2"/>
                  <c:y val="5.6763817566282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3.0154420881438899E-2"/>
                  <c:y val="5.361542850621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3675828864950163E-2"/>
                  <c:y val="3.6667199208794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2178316667471783E-3"/>
                  <c:y val="2.9110274259195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4735359000370352E-3"/>
                  <c:y val="3.2311004602685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1.0224948875255624E-2"/>
                  <c:y val="4.6376507284415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4.0899795501022499E-3"/>
                  <c:y val="2.318840579710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2084592145015106E-2"/>
                  <c:y val="1.4939309056956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4539877300613498E-2"/>
                  <c:y val="-5.7971014492753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'1.2-1.3'!$B$58:$B$78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'1.2-1.3'!$C$58:$C$78</c:f>
              <c:numCache>
                <c:formatCode>0</c:formatCode>
                <c:ptCount val="21"/>
                <c:pt idx="0">
                  <c:v>723.06036309377623</c:v>
                </c:pt>
                <c:pt idx="1">
                  <c:v>728.90449412466228</c:v>
                </c:pt>
                <c:pt idx="2">
                  <c:v>745.78035213093597</c:v>
                </c:pt>
                <c:pt idx="3">
                  <c:v>760.15395416063427</c:v>
                </c:pt>
                <c:pt idx="4">
                  <c:v>767.38836851124347</c:v>
                </c:pt>
                <c:pt idx="5">
                  <c:v>790.33195231738227</c:v>
                </c:pt>
                <c:pt idx="6">
                  <c:v>812.00561961718336</c:v>
                </c:pt>
                <c:pt idx="7">
                  <c:v>845.66794800320008</c:v>
                </c:pt>
                <c:pt idx="8">
                  <c:v>868.43415680694216</c:v>
                </c:pt>
                <c:pt idx="9">
                  <c:v>905.33121335885744</c:v>
                </c:pt>
                <c:pt idx="10">
                  <c:v>937.19421711770121</c:v>
                </c:pt>
                <c:pt idx="11" formatCode="#,##0">
                  <c:v>992.62740971440496</c:v>
                </c:pt>
                <c:pt idx="12" formatCode="#,##0">
                  <c:v>1061.0289339438154</c:v>
                </c:pt>
                <c:pt idx="13" formatCode="#,##0">
                  <c:v>1126.915956811104</c:v>
                </c:pt>
                <c:pt idx="14" formatCode="#,##0">
                  <c:v>1130.8774241244503</c:v>
                </c:pt>
                <c:pt idx="15" formatCode="#,##0">
                  <c:v>1218.7933473747291</c:v>
                </c:pt>
                <c:pt idx="16" formatCode="#,##0">
                  <c:v>1302.3310207833167</c:v>
                </c:pt>
                <c:pt idx="17" formatCode="#,##0">
                  <c:v>1361.6987418884603</c:v>
                </c:pt>
                <c:pt idx="18" formatCode="#,##0">
                  <c:v>1421.8202860824999</c:v>
                </c:pt>
                <c:pt idx="19" formatCode="#,##0">
                  <c:v>1478.2099333262956</c:v>
                </c:pt>
                <c:pt idx="20" formatCode="#,##0">
                  <c:v>1542.9753476533479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81344"/>
        <c:axId val="187882880"/>
      </c:lineChart>
      <c:catAx>
        <c:axId val="1878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788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882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kW.h / habitante</a:t>
                </a:r>
              </a:p>
            </c:rich>
          </c:tx>
          <c:layout>
            <c:manualLayout>
              <c:xMode val="edge"/>
              <c:yMode val="edge"/>
              <c:x val="8.025628216412525E-3"/>
              <c:y val="0.382609820831219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7881344"/>
        <c:crosses val="autoZero"/>
        <c:crossBetween val="between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PRODUCCIÓN DE ENERGÍA ELÉCTRICA 
PARA EL MERCADO ELÉCTRICO 1 995 - 2 015</a:t>
            </a:r>
          </a:p>
        </c:rich>
      </c:tx>
      <c:layout>
        <c:manualLayout>
          <c:xMode val="edge"/>
          <c:yMode val="edge"/>
          <c:x val="0.307905994509307"/>
          <c:y val="1.6339869281045753E-2"/>
        </c:manualLayout>
      </c:layout>
      <c:overlay val="0"/>
      <c:spPr>
        <a:solidFill>
          <a:schemeClr val="accent1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785469245418998"/>
          <c:y val="0.23202688427697443"/>
          <c:w val="0.83235686567907485"/>
          <c:h val="0.6535968571182379"/>
        </c:manualLayout>
      </c:layout>
      <c:areaChart>
        <c:grouping val="stacked"/>
        <c:varyColors val="0"/>
        <c:ser>
          <c:idx val="0"/>
          <c:order val="0"/>
          <c:tx>
            <c:strRef>
              <c:f>'5.1 PROD.'!$S$53</c:f>
              <c:strCache>
                <c:ptCount val="1"/>
                <c:pt idx="0">
                  <c:v>Hidráulica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'5.1 PROD.'!$R$54:$R$74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PROD.'!$S$54:$S$74</c:f>
              <c:numCache>
                <c:formatCode>#,#00</c:formatCode>
                <c:ptCount val="21"/>
                <c:pt idx="0">
                  <c:v>11540.590328999999</c:v>
                </c:pt>
                <c:pt idx="1">
                  <c:v>11847.925377</c:v>
                </c:pt>
                <c:pt idx="2">
                  <c:v>12264.791790000001</c:v>
                </c:pt>
                <c:pt idx="3">
                  <c:v>13367.193777000002</c:v>
                </c:pt>
                <c:pt idx="4">
                  <c:v>14110.592026</c:v>
                </c:pt>
                <c:pt idx="5">
                  <c:v>15747.323264999999</c:v>
                </c:pt>
                <c:pt idx="6">
                  <c:v>17188.330773999998</c:v>
                </c:pt>
                <c:pt idx="7">
                  <c:v>17638.158238000004</c:v>
                </c:pt>
                <c:pt idx="8">
                  <c:v>18118.333137999995</c:v>
                </c:pt>
                <c:pt idx="9">
                  <c:v>17100.664633000004</c:v>
                </c:pt>
                <c:pt idx="10">
                  <c:v>17567.105377792748</c:v>
                </c:pt>
                <c:pt idx="11">
                  <c:v>19160.751642958581</c:v>
                </c:pt>
                <c:pt idx="12">
                  <c:v>19107.193966340001</c:v>
                </c:pt>
                <c:pt idx="13">
                  <c:v>18607.792106999997</c:v>
                </c:pt>
                <c:pt idx="14">
                  <c:v>19419.221612000001</c:v>
                </c:pt>
                <c:pt idx="15">
                  <c:v>19567.404609199999</c:v>
                </c:pt>
                <c:pt idx="16">
                  <c:v>21027.418404235243</c:v>
                </c:pt>
                <c:pt idx="17">
                  <c:v>21490.80766299997</c:v>
                </c:pt>
                <c:pt idx="18">
                  <c:v>21709.384683427139</c:v>
                </c:pt>
                <c:pt idx="19">
                  <c:v>21610.924675940143</c:v>
                </c:pt>
                <c:pt idx="20">
                  <c:v>22710.260628688739</c:v>
                </c:pt>
              </c:numCache>
            </c:numRef>
          </c:val>
        </c:ser>
        <c:ser>
          <c:idx val="1"/>
          <c:order val="1"/>
          <c:tx>
            <c:strRef>
              <c:f>'5.1 PROD.'!$T$53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'5.1 PROD.'!$R$54:$R$74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PROD.'!$T$54:$T$74</c:f>
              <c:numCache>
                <c:formatCode>#,#00</c:formatCode>
                <c:ptCount val="21"/>
                <c:pt idx="0">
                  <c:v>1565.7227680000001</c:v>
                </c:pt>
                <c:pt idx="1">
                  <c:v>1459.2416440000002</c:v>
                </c:pt>
                <c:pt idx="2">
                  <c:v>3083.2094300000008</c:v>
                </c:pt>
                <c:pt idx="3">
                  <c:v>3448.2166299999999</c:v>
                </c:pt>
                <c:pt idx="4">
                  <c:v>3255.0052719999999</c:v>
                </c:pt>
                <c:pt idx="5">
                  <c:v>2579.7287539999998</c:v>
                </c:pt>
                <c:pt idx="6">
                  <c:v>2024.9494680000003</c:v>
                </c:pt>
                <c:pt idx="7">
                  <c:v>2780.1240350000003</c:v>
                </c:pt>
                <c:pt idx="8">
                  <c:v>3241.9033919999997</c:v>
                </c:pt>
                <c:pt idx="9">
                  <c:v>5518.0477580000006</c:v>
                </c:pt>
                <c:pt idx="10">
                  <c:v>6242.5431669999998</c:v>
                </c:pt>
                <c:pt idx="11">
                  <c:v>6451.7857470000008</c:v>
                </c:pt>
                <c:pt idx="12">
                  <c:v>9092.0707240000011</c:v>
                </c:pt>
                <c:pt idx="13">
                  <c:v>11965.692749000002</c:v>
                </c:pt>
                <c:pt idx="14">
                  <c:v>11501.454770999999</c:v>
                </c:pt>
                <c:pt idx="15">
                  <c:v>13977.184797999998</c:v>
                </c:pt>
                <c:pt idx="16">
                  <c:v>15219.887485999998</c:v>
                </c:pt>
                <c:pt idx="17">
                  <c:v>16809.312290999984</c:v>
                </c:pt>
                <c:pt idx="18">
                  <c:v>18757.127455751826</c:v>
                </c:pt>
                <c:pt idx="19">
                  <c:v>20778.478798658423</c:v>
                </c:pt>
                <c:pt idx="20">
                  <c:v>22003.434049992189</c:v>
                </c:pt>
              </c:numCache>
            </c:numRef>
          </c:val>
        </c:ser>
        <c:ser>
          <c:idx val="2"/>
          <c:order val="2"/>
          <c:tx>
            <c:strRef>
              <c:f>'5.1 PROD.'!$U$53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'5.1 PROD.'!$R$54:$R$74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PROD.'!$U$54:$U$74</c:f>
              <c:numCache>
                <c:formatCode>General</c:formatCode>
                <c:ptCount val="21"/>
                <c:pt idx="17" formatCode="#,#00">
                  <c:v>59.682986800000002</c:v>
                </c:pt>
                <c:pt idx="18" formatCode="#,#00">
                  <c:v>196.92788000000002</c:v>
                </c:pt>
                <c:pt idx="19" formatCode="#,#00">
                  <c:v>199.30359694553749</c:v>
                </c:pt>
                <c:pt idx="20" formatCode="#,#00">
                  <c:v>230.435323711</c:v>
                </c:pt>
              </c:numCache>
            </c:numRef>
          </c:val>
        </c:ser>
        <c:ser>
          <c:idx val="3"/>
          <c:order val="3"/>
          <c:tx>
            <c:strRef>
              <c:f>'5.1 PROD.'!$V$53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cat>
            <c:strRef>
              <c:f>'5.1 PROD.'!$R$54:$R$74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PROD.'!$V$54:$V$74</c:f>
              <c:numCache>
                <c:formatCode>General</c:formatCode>
                <c:ptCount val="21"/>
                <c:pt idx="19" formatCode="#,#00">
                  <c:v>257.5406575769008</c:v>
                </c:pt>
                <c:pt idx="20" formatCode="#,#00">
                  <c:v>602.36857652351034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350592"/>
        <c:axId val="186360576"/>
      </c:areaChart>
      <c:catAx>
        <c:axId val="1863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63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36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2191329532084351E-2"/>
              <c:y val="0.464053659959171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6350592"/>
        <c:crosses val="autoZero"/>
        <c:crossBetween val="midCat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PRODUCCIÓN DE ENERGÍA ELÉCTRICA 
PARA USO PROPIO 1 995 - 2 015</a:t>
            </a:r>
          </a:p>
        </c:rich>
      </c:tx>
      <c:layout>
        <c:manualLayout>
          <c:xMode val="edge"/>
          <c:yMode val="edge"/>
          <c:x val="0.32641816561920589"/>
          <c:y val="1.6286644951140065E-2"/>
        </c:manualLayout>
      </c:layout>
      <c:overlay val="0"/>
      <c:spPr>
        <a:solidFill>
          <a:schemeClr val="accent1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292409416586047"/>
          <c:y val="0.22801339196958972"/>
          <c:w val="0.86432847259739654"/>
          <c:h val="0.65798150254081611"/>
        </c:manualLayout>
      </c:layout>
      <c:areaChart>
        <c:grouping val="stacked"/>
        <c:varyColors val="0"/>
        <c:ser>
          <c:idx val="0"/>
          <c:order val="0"/>
          <c:tx>
            <c:strRef>
              <c:f>'5.1 PROD.'!$S$78</c:f>
              <c:strCache>
                <c:ptCount val="1"/>
                <c:pt idx="0">
                  <c:v>Hidráulica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'5.1 PROD.'!$R$79:$R$99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PROD.'!$S$79:$S$99</c:f>
              <c:numCache>
                <c:formatCode>#,#00</c:formatCode>
                <c:ptCount val="21"/>
                <c:pt idx="0">
                  <c:v>1396.9631319999999</c:v>
                </c:pt>
                <c:pt idx="1">
                  <c:v>1475.6467010000001</c:v>
                </c:pt>
                <c:pt idx="2">
                  <c:v>949.73769199999992</c:v>
                </c:pt>
                <c:pt idx="3">
                  <c:v>441.09136100000001</c:v>
                </c:pt>
                <c:pt idx="4">
                  <c:v>429.98925900000006</c:v>
                </c:pt>
                <c:pt idx="5">
                  <c:v>428.72810099999998</c:v>
                </c:pt>
                <c:pt idx="6">
                  <c:v>426.42942600000003</c:v>
                </c:pt>
                <c:pt idx="7">
                  <c:v>401.9696770000001</c:v>
                </c:pt>
                <c:pt idx="8">
                  <c:v>415.38772300000005</c:v>
                </c:pt>
                <c:pt idx="9">
                  <c:v>424.674328</c:v>
                </c:pt>
                <c:pt idx="10">
                  <c:v>409.88795820724977</c:v>
                </c:pt>
                <c:pt idx="11">
                  <c:v>433.59552104141386</c:v>
                </c:pt>
                <c:pt idx="12">
                  <c:v>441.58805366000001</c:v>
                </c:pt>
                <c:pt idx="13">
                  <c:v>451.82564200000002</c:v>
                </c:pt>
                <c:pt idx="14">
                  <c:v>484.55479200000008</c:v>
                </c:pt>
                <c:pt idx="15">
                  <c:v>484.72467099999994</c:v>
                </c:pt>
                <c:pt idx="16">
                  <c:v>529.90831255000001</c:v>
                </c:pt>
                <c:pt idx="17">
                  <c:v>541.13038300000005</c:v>
                </c:pt>
                <c:pt idx="18">
                  <c:v>610.17786655586588</c:v>
                </c:pt>
                <c:pt idx="19">
                  <c:v>599.73481195450518</c:v>
                </c:pt>
                <c:pt idx="20">
                  <c:v>590.33223423064067</c:v>
                </c:pt>
              </c:numCache>
            </c:numRef>
          </c:val>
        </c:ser>
        <c:ser>
          <c:idx val="1"/>
          <c:order val="1"/>
          <c:tx>
            <c:strRef>
              <c:f>'5.1 PROD.'!$T$78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'5.1 PROD.'!$R$79:$R$99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'5.1 PROD.'!$T$79:$T$99</c:f>
              <c:numCache>
                <c:formatCode>#,#00</c:formatCode>
                <c:ptCount val="21"/>
                <c:pt idx="0">
                  <c:v>2376.8383720000002</c:v>
                </c:pt>
                <c:pt idx="1">
                  <c:v>2496.5885710000002</c:v>
                </c:pt>
                <c:pt idx="2">
                  <c:v>1655.1130069999999</c:v>
                </c:pt>
                <c:pt idx="3">
                  <c:v>1325.5106380000002</c:v>
                </c:pt>
                <c:pt idx="4">
                  <c:v>1253.40626</c:v>
                </c:pt>
                <c:pt idx="5">
                  <c:v>1166.0715179999995</c:v>
                </c:pt>
                <c:pt idx="6">
                  <c:v>1144.7894669999996</c:v>
                </c:pt>
                <c:pt idx="7">
                  <c:v>1160.8448220000034</c:v>
                </c:pt>
                <c:pt idx="8">
                  <c:v>1146.5032210000034</c:v>
                </c:pt>
                <c:pt idx="9">
                  <c:v>1222.3989520000002</c:v>
                </c:pt>
                <c:pt idx="10">
                  <c:v>1288.9739120000033</c:v>
                </c:pt>
                <c:pt idx="11">
                  <c:v>1322.4694165800001</c:v>
                </c:pt>
                <c:pt idx="12">
                  <c:v>1300.9679980000003</c:v>
                </c:pt>
                <c:pt idx="13">
                  <c:v>1436.5693849999998</c:v>
                </c:pt>
                <c:pt idx="14">
                  <c:v>1538.2782460000001</c:v>
                </c:pt>
                <c:pt idx="15">
                  <c:v>1877.467463</c:v>
                </c:pt>
                <c:pt idx="16">
                  <c:v>2028.0206412236719</c:v>
                </c:pt>
                <c:pt idx="17">
                  <c:v>2133.8233494079464</c:v>
                </c:pt>
                <c:pt idx="18">
                  <c:v>2055.3336747505405</c:v>
                </c:pt>
                <c:pt idx="19">
                  <c:v>2103.8370311792924</c:v>
                </c:pt>
                <c:pt idx="20">
                  <c:v>1929.3863747518965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744704"/>
        <c:axId val="196746240"/>
      </c:areaChart>
      <c:catAx>
        <c:axId val="1967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7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6746240"/>
        <c:scaling>
          <c:orientation val="minMax"/>
          <c:max val="5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2129957379180814E-2"/>
              <c:y val="0.4456152590046765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744704"/>
        <c:crosses val="autoZero"/>
        <c:crossBetween val="midCat"/>
        <c:majorUnit val="1000"/>
        <c:minorUnit val="5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 LA PRODUCCIÓN DE 
ENERGÍA ELÉCTRICA 2001 - 2 015</a:t>
            </a:r>
          </a:p>
        </c:rich>
      </c:tx>
      <c:layout>
        <c:manualLayout>
          <c:xMode val="edge"/>
          <c:yMode val="edge"/>
          <c:x val="0.33379488554642744"/>
          <c:y val="1.466275659824047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2603878116343489"/>
          <c:y val="0.20423019814305257"/>
          <c:w val="0.80793872574294379"/>
          <c:h val="0.57582844653459186"/>
        </c:manualLayout>
      </c:layout>
      <c:areaChart>
        <c:grouping val="stacked"/>
        <c:varyColors val="0"/>
        <c:ser>
          <c:idx val="0"/>
          <c:order val="0"/>
          <c:tx>
            <c:strRef>
              <c:f>'5.2'!$U$22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rgbClr val="00B050"/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SEIN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'5.2'!$T$30:$T$44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'5.2'!$U$30:$U$44</c:f>
              <c:numCache>
                <c:formatCode>#,#00</c:formatCode>
                <c:ptCount val="15"/>
                <c:pt idx="0">
                  <c:v>18754.582593999996</c:v>
                </c:pt>
                <c:pt idx="1">
                  <c:v>20017.881547000005</c:v>
                </c:pt>
                <c:pt idx="2">
                  <c:v>20998.783541999997</c:v>
                </c:pt>
                <c:pt idx="3">
                  <c:v>22287.983366000004</c:v>
                </c:pt>
                <c:pt idx="4">
                  <c:v>23433.609762</c:v>
                </c:pt>
                <c:pt idx="5">
                  <c:v>25257.180576999996</c:v>
                </c:pt>
                <c:pt idx="6">
                  <c:v>27806.212583</c:v>
                </c:pt>
                <c:pt idx="7">
                  <c:v>30103.595441999998</c:v>
                </c:pt>
                <c:pt idx="8">
                  <c:v>30493.066697000002</c:v>
                </c:pt>
                <c:pt idx="9">
                  <c:v>33326.486475999998</c:v>
                </c:pt>
                <c:pt idx="10">
                  <c:v>36076.210898600002</c:v>
                </c:pt>
                <c:pt idx="11">
                  <c:v>38199.929373799954</c:v>
                </c:pt>
                <c:pt idx="12">
                  <c:v>40481.748241767418</c:v>
                </c:pt>
                <c:pt idx="13">
                  <c:v>42624.418012779774</c:v>
                </c:pt>
                <c:pt idx="14">
                  <c:v>45279.892669932269</c:v>
                </c:pt>
              </c:numCache>
            </c:numRef>
          </c:val>
        </c:ser>
        <c:ser>
          <c:idx val="1"/>
          <c:order val="1"/>
          <c:tx>
            <c:strRef>
              <c:f>'5.2'!$V$22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FFC000"/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SA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'5.2'!$T$30:$T$44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'5.2'!$V$30:$V$44</c:f>
              <c:numCache>
                <c:formatCode>#,#00</c:formatCode>
                <c:ptCount val="15"/>
                <c:pt idx="0">
                  <c:v>2031.1429409999996</c:v>
                </c:pt>
                <c:pt idx="1">
                  <c:v>1964.4416250000036</c:v>
                </c:pt>
                <c:pt idx="2">
                  <c:v>1924.5703320000036</c:v>
                </c:pt>
                <c:pt idx="3">
                  <c:v>1979.0287050000002</c:v>
                </c:pt>
                <c:pt idx="4">
                  <c:v>2076.1270530000033</c:v>
                </c:pt>
                <c:pt idx="5">
                  <c:v>2112.6481505800002</c:v>
                </c:pt>
                <c:pt idx="6">
                  <c:v>2136.8345590000004</c:v>
                </c:pt>
                <c:pt idx="7">
                  <c:v>2359.5108409999998</c:v>
                </c:pt>
                <c:pt idx="8">
                  <c:v>2451.669124</c:v>
                </c:pt>
                <c:pt idx="9">
                  <c:v>2581.5214652</c:v>
                </c:pt>
                <c:pt idx="10">
                  <c:v>2730.2503454089119</c:v>
                </c:pt>
                <c:pt idx="11">
                  <c:v>2836.0536994079462</c:v>
                </c:pt>
                <c:pt idx="12">
                  <c:v>2848.4297187179518</c:v>
                </c:pt>
                <c:pt idx="13">
                  <c:v>2925.4015594750294</c:v>
                </c:pt>
                <c:pt idx="14">
                  <c:v>2786.3245179657088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25312"/>
        <c:axId val="202527104"/>
      </c:areaChart>
      <c:catAx>
        <c:axId val="2025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25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52710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6.925233417030302E-3"/>
              <c:y val="0.439882697947214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2525312"/>
        <c:crosses val="autoZero"/>
        <c:crossBetween val="midCat"/>
        <c:majorUnit val="5000"/>
        <c:minorUnit val="10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PRODUCCIÓN DE ENERGÍA ELÉCTRICA 
PARA EL MERCADO ELÉCTRICO 2 001 - 2 015</a:t>
            </a:r>
          </a:p>
        </c:rich>
      </c:tx>
      <c:layout>
        <c:manualLayout>
          <c:xMode val="edge"/>
          <c:yMode val="edge"/>
          <c:x val="0.30790590225808551"/>
          <c:y val="1.6339869281045753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785469245418998"/>
          <c:y val="0.23202688427697443"/>
          <c:w val="0.83235686567907485"/>
          <c:h val="0.6535968571182379"/>
        </c:manualLayout>
      </c:layout>
      <c:areaChart>
        <c:grouping val="stacked"/>
        <c:varyColors val="0"/>
        <c:ser>
          <c:idx val="0"/>
          <c:order val="0"/>
          <c:tx>
            <c:strRef>
              <c:f>'5.2'!$U$52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rgbClr val="00B05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'5.2'!$T$59:$T$73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'5.2'!$U$59:$U$73</c:f>
              <c:numCache>
                <c:formatCode>#,#00</c:formatCode>
                <c:ptCount val="15"/>
                <c:pt idx="0">
                  <c:v>18630.491470999998</c:v>
                </c:pt>
                <c:pt idx="1">
                  <c:v>19906.120506000003</c:v>
                </c:pt>
                <c:pt idx="2">
                  <c:v>20890.822373999996</c:v>
                </c:pt>
                <c:pt idx="3">
                  <c:v>22091.989912000005</c:v>
                </c:pt>
                <c:pt idx="4">
                  <c:v>23233.479606792749</c:v>
                </c:pt>
                <c:pt idx="5">
                  <c:v>25037.083984958583</c:v>
                </c:pt>
                <c:pt idx="6">
                  <c:v>27593.789342340002</c:v>
                </c:pt>
                <c:pt idx="7">
                  <c:v>29905.853190999998</c:v>
                </c:pt>
                <c:pt idx="8">
                  <c:v>30289.076649000002</c:v>
                </c:pt>
                <c:pt idx="9">
                  <c:v>33073.914225</c:v>
                </c:pt>
                <c:pt idx="10">
                  <c:v>35769.459710000003</c:v>
                </c:pt>
                <c:pt idx="11">
                  <c:v>37886.352608799956</c:v>
                </c:pt>
                <c:pt idx="12">
                  <c:v>40158.779292273408</c:v>
                </c:pt>
                <c:pt idx="13">
                  <c:v>42313.748256544015</c:v>
                </c:pt>
                <c:pt idx="14">
                  <c:v>44973.15195379639</c:v>
                </c:pt>
              </c:numCache>
            </c:numRef>
          </c:val>
        </c:ser>
        <c:ser>
          <c:idx val="1"/>
          <c:order val="1"/>
          <c:tx>
            <c:strRef>
              <c:f>'5.2'!$V$52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'5.2'!$T$59:$T$73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'5.2'!$V$59:$V$73</c:f>
              <c:numCache>
                <c:formatCode>#,#00</c:formatCode>
                <c:ptCount val="15"/>
                <c:pt idx="0">
                  <c:v>584.01517100000001</c:v>
                </c:pt>
                <c:pt idx="1">
                  <c:v>513.38816700000007</c:v>
                </c:pt>
                <c:pt idx="2">
                  <c:v>470.64055600000029</c:v>
                </c:pt>
                <c:pt idx="3">
                  <c:v>527.94887900000003</c:v>
                </c:pt>
                <c:pt idx="4">
                  <c:v>577.39533800000004</c:v>
                </c:pt>
                <c:pt idx="5">
                  <c:v>576.67980499999999</c:v>
                </c:pt>
                <c:pt idx="6">
                  <c:v>606.70174800000007</c:v>
                </c:pt>
                <c:pt idx="7">
                  <c:v>668.8580649999999</c:v>
                </c:pt>
                <c:pt idx="8">
                  <c:v>632.82613400000002</c:v>
                </c:pt>
                <c:pt idx="9">
                  <c:v>471.90158220000001</c:v>
                </c:pt>
                <c:pt idx="10">
                  <c:v>479.07258023523991</c:v>
                </c:pt>
                <c:pt idx="11">
                  <c:v>474.67673200000002</c:v>
                </c:pt>
                <c:pt idx="12">
                  <c:v>505.88712690555536</c:v>
                </c:pt>
                <c:pt idx="13">
                  <c:v>532.49947257699353</c:v>
                </c:pt>
                <c:pt idx="14">
                  <c:v>573.34662511904776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3696"/>
        <c:axId val="202575232"/>
      </c:areaChart>
      <c:catAx>
        <c:axId val="2025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257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57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2191384134834388E-2"/>
              <c:y val="0.464053659959171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2573696"/>
        <c:crosses val="autoZero"/>
        <c:crossBetween val="midCat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PRODUCCIÓN DE ENERGÍA ELÉCTRICA 
PARA USO PROPIO 2 001 - 2 015</a:t>
            </a:r>
          </a:p>
        </c:rich>
      </c:tx>
      <c:layout>
        <c:manualLayout>
          <c:xMode val="edge"/>
          <c:yMode val="edge"/>
          <c:x val="0.32641816164731985"/>
          <c:y val="1.6286644951140065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292409416586047"/>
          <c:y val="0.22801339196958972"/>
          <c:w val="0.86432847259739654"/>
          <c:h val="0.65798150254081611"/>
        </c:manualLayout>
      </c:layout>
      <c:areaChart>
        <c:grouping val="stacked"/>
        <c:varyColors val="0"/>
        <c:ser>
          <c:idx val="0"/>
          <c:order val="0"/>
          <c:tx>
            <c:strRef>
              <c:f>'5.2'!$U$77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rgbClr val="00B05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'5.2'!$T$84:$T$98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'5.2'!$U$84:$U$98</c:f>
              <c:numCache>
                <c:formatCode>#,#00</c:formatCode>
                <c:ptCount val="15"/>
                <c:pt idx="0">
                  <c:v>124.09112300000001</c:v>
                </c:pt>
                <c:pt idx="1">
                  <c:v>111.76104100000001</c:v>
                </c:pt>
                <c:pt idx="2">
                  <c:v>107.96116799999999</c:v>
                </c:pt>
                <c:pt idx="3">
                  <c:v>195.99345399999999</c:v>
                </c:pt>
                <c:pt idx="4">
                  <c:v>200.13015520724974</c:v>
                </c:pt>
                <c:pt idx="5">
                  <c:v>220.09659204141394</c:v>
                </c:pt>
                <c:pt idx="6">
                  <c:v>212.42324065999998</c:v>
                </c:pt>
                <c:pt idx="7">
                  <c:v>197.74225100000001</c:v>
                </c:pt>
                <c:pt idx="8">
                  <c:v>203.990048</c:v>
                </c:pt>
                <c:pt idx="9">
                  <c:v>252.57225099999999</c:v>
                </c:pt>
                <c:pt idx="10">
                  <c:v>306.75118860000003</c:v>
                </c:pt>
                <c:pt idx="11">
                  <c:v>313.57676499999991</c:v>
                </c:pt>
                <c:pt idx="12">
                  <c:v>322.96894949401008</c:v>
                </c:pt>
                <c:pt idx="13">
                  <c:v>310.66975623576116</c:v>
                </c:pt>
                <c:pt idx="14">
                  <c:v>306.74071613587591</c:v>
                </c:pt>
              </c:numCache>
            </c:numRef>
          </c:val>
        </c:ser>
        <c:ser>
          <c:idx val="1"/>
          <c:order val="1"/>
          <c:tx>
            <c:strRef>
              <c:f>'5.2'!$V$77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'5.2'!$T$84:$T$98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'5.2'!$V$84:$V$98</c:f>
              <c:numCache>
                <c:formatCode>#,#00</c:formatCode>
                <c:ptCount val="15"/>
                <c:pt idx="0">
                  <c:v>1447.1277699999996</c:v>
                </c:pt>
                <c:pt idx="1">
                  <c:v>1451.0534580000035</c:v>
                </c:pt>
                <c:pt idx="2">
                  <c:v>1453.9297760000034</c:v>
                </c:pt>
                <c:pt idx="3">
                  <c:v>1451.0798260000001</c:v>
                </c:pt>
                <c:pt idx="4">
                  <c:v>1498.7317150000033</c:v>
                </c:pt>
                <c:pt idx="5">
                  <c:v>1535.96834558</c:v>
                </c:pt>
                <c:pt idx="6">
                  <c:v>1530.1328110000004</c:v>
                </c:pt>
                <c:pt idx="7">
                  <c:v>1690.6527759999999</c:v>
                </c:pt>
                <c:pt idx="8">
                  <c:v>1818.8429900000001</c:v>
                </c:pt>
                <c:pt idx="9">
                  <c:v>2109.6198829999998</c:v>
                </c:pt>
                <c:pt idx="10">
                  <c:v>2251.177765173672</c:v>
                </c:pt>
                <c:pt idx="11">
                  <c:v>2361.3769674079463</c:v>
                </c:pt>
                <c:pt idx="12">
                  <c:v>2342.5425918123965</c:v>
                </c:pt>
                <c:pt idx="13">
                  <c:v>2392.902086898036</c:v>
                </c:pt>
                <c:pt idx="14">
                  <c:v>2212.9778928466612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626176"/>
        <c:axId val="202627712"/>
      </c:areaChart>
      <c:catAx>
        <c:axId val="2026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26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627712"/>
        <c:scaling>
          <c:orientation val="minMax"/>
          <c:max val="4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2129934789079202E-2"/>
              <c:y val="0.4456152590046765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2626176"/>
        <c:crosses val="autoZero"/>
        <c:crossBetween val="midCat"/>
        <c:majorUnit val="1000"/>
        <c:minorUnit val="5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400" b="1" i="0" u="none" strike="noStrike" baseline="0">
                <a:solidFill>
                  <a:srgbClr val="000000"/>
                </a:solidFill>
                <a:latin typeface="Calibri"/>
              </a:rPr>
              <a:t>Producción de Energía Eléctrica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400" b="1" i="0" u="none" strike="noStrike" baseline="0">
                <a:solidFill>
                  <a:srgbClr val="000000"/>
                </a:solidFill>
                <a:latin typeface="Calibri"/>
              </a:rPr>
              <a:t>RER 2015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FFCC66"/>
              </a:solidFill>
            </c:spPr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Lbls>
            <c:dLbl>
              <c:idx val="0"/>
              <c:layout>
                <c:manualLayout>
                  <c:x val="6.8496709650424134E-2"/>
                  <c:y val="5.54337999416739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RER-Hidro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52%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es-PE" sz="1050" b="1" i="0" u="none" strike="noStrike" baseline="0">
                      <a:solidFill>
                        <a:srgbClr val="000000"/>
                      </a:solidFill>
                      <a:latin typeface="Calibri"/>
                    </a:endParaRP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0095667389402325E-2"/>
                  <c:y val="-4.5749489647127441E-4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Biomasa y biogás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9%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3278557571607899E-2"/>
                  <c:y val="-3.6264216972878389E-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Solar 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11%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es-PE" sz="1050" b="1" i="0" u="none" strike="noStrike" baseline="0">
                      <a:solidFill>
                        <a:srgbClr val="000000"/>
                      </a:solidFill>
                      <a:latin typeface="Calibri"/>
                    </a:endParaRP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764616379474306E-2"/>
                  <c:y val="0.1022543015456401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Eólica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 sz="1050" b="1" i="0" u="none" strike="noStrike" baseline="0">
                        <a:solidFill>
                          <a:srgbClr val="000000"/>
                        </a:solidFill>
                        <a:latin typeface="Calibri"/>
                      </a:rPr>
                      <a:t> 28%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es-PE" sz="1050" b="1" i="0" u="none" strike="noStrike" baseline="0">
                      <a:solidFill>
                        <a:srgbClr val="000000"/>
                      </a:solidFill>
                      <a:latin typeface="Calibri"/>
                    </a:endParaRP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multiLvlStrRef>
              <c:f>'5.5'!$J$26:$M$27</c:f>
              <c:multiLvlStrCache>
                <c:ptCount val="4"/>
                <c:lvl>
                  <c:pt idx="0">
                    <c:v>52%</c:v>
                  </c:pt>
                  <c:pt idx="1">
                    <c:v>9%</c:v>
                  </c:pt>
                  <c:pt idx="2">
                    <c:v>11%</c:v>
                  </c:pt>
                  <c:pt idx="3">
                    <c:v>28%</c:v>
                  </c:pt>
                </c:lvl>
                <c:lvl>
                  <c:pt idx="0">
                    <c:v>RER-Hidro</c:v>
                  </c:pt>
                  <c:pt idx="1">
                    <c:v>Biomasa</c:v>
                  </c:pt>
                  <c:pt idx="2">
                    <c:v>Solar</c:v>
                  </c:pt>
                  <c:pt idx="3">
                    <c:v>Eólica</c:v>
                  </c:pt>
                </c:lvl>
              </c:multiLvlStrCache>
            </c:multiLvlStrRef>
          </c:cat>
          <c:val>
            <c:numRef>
              <c:f>'[5]2.5'!$J$28:$M$28</c:f>
              <c:numCache>
                <c:formatCode>General</c:formatCode>
                <c:ptCount val="4"/>
                <c:pt idx="0">
                  <c:v>0.35143412087516829</c:v>
                </c:pt>
                <c:pt idx="1">
                  <c:v>0.15939243836517414</c:v>
                </c:pt>
                <c:pt idx="2">
                  <c:v>0.19731365677700474</c:v>
                </c:pt>
                <c:pt idx="3">
                  <c:v>0.29185978398265289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LÍNEAS DE TRANSMISIÓN A NIVEL NACIONAL
1995 - 2015</a:t>
            </a:r>
          </a:p>
        </c:rich>
      </c:tx>
      <c:layout>
        <c:manualLayout>
          <c:xMode val="edge"/>
          <c:yMode val="edge"/>
          <c:x val="0.25247007906459157"/>
          <c:y val="2.60871148331892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6206132453468"/>
          <c:y val="0.20689380173632141"/>
          <c:w val="0.81440443213296398"/>
          <c:h val="0.5764784978800726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'6.1 LLTT'!$P$14:$P$15</c:f>
              <c:strCache>
                <c:ptCount val="1"/>
                <c:pt idx="0">
                  <c:v>500</c:v>
                </c:pt>
              </c:strCache>
            </c:strRef>
          </c:tx>
          <c:invertIfNegative val="0"/>
          <c:cat>
            <c:strRef>
              <c:f>'6.1 LLTT'!$N$16:$N$36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2011**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'6.1 LLTT'!$P$16:$P$36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89.9</c:v>
                </c:pt>
                <c:pt idx="17">
                  <c:v>611.9</c:v>
                </c:pt>
                <c:pt idx="18">
                  <c:v>621.86</c:v>
                </c:pt>
                <c:pt idx="19">
                  <c:v>1838.46</c:v>
                </c:pt>
                <c:pt idx="20">
                  <c:v>1838.46</c:v>
                </c:pt>
              </c:numCache>
            </c:numRef>
          </c:val>
        </c:ser>
        <c:ser>
          <c:idx val="2"/>
          <c:order val="1"/>
          <c:tx>
            <c:strRef>
              <c:f>'6.1 LLTT'!$Q$14:$Q$15</c:f>
              <c:strCache>
                <c:ptCount val="1"/>
                <c:pt idx="0">
                  <c:v>220</c:v>
                </c:pt>
              </c:strCache>
            </c:strRef>
          </c:tx>
          <c:invertIfNegative val="0"/>
          <c:cat>
            <c:strRef>
              <c:f>'6.1 LLTT'!$N$16:$N$36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2011**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'6.1 LLTT'!$Q$16:$Q$36</c:f>
              <c:numCache>
                <c:formatCode>#,##0</c:formatCode>
                <c:ptCount val="21"/>
                <c:pt idx="0">
                  <c:v>3129.692</c:v>
                </c:pt>
                <c:pt idx="1">
                  <c:v>3129.692</c:v>
                </c:pt>
                <c:pt idx="2">
                  <c:v>3625.4960000000001</c:v>
                </c:pt>
                <c:pt idx="3">
                  <c:v>3625.4960000000001</c:v>
                </c:pt>
                <c:pt idx="4">
                  <c:v>3996.306</c:v>
                </c:pt>
                <c:pt idx="5">
                  <c:v>4860.0660900000003</c:v>
                </c:pt>
                <c:pt idx="6">
                  <c:v>5318.1030899999996</c:v>
                </c:pt>
                <c:pt idx="7">
                  <c:v>5558.6770900000001</c:v>
                </c:pt>
                <c:pt idx="8">
                  <c:v>5558.6770900000001</c:v>
                </c:pt>
                <c:pt idx="9">
                  <c:v>5613.9770900000003</c:v>
                </c:pt>
                <c:pt idx="10">
                  <c:v>5613.9770900000003</c:v>
                </c:pt>
                <c:pt idx="11">
                  <c:v>5664.0870899999991</c:v>
                </c:pt>
                <c:pt idx="12">
                  <c:v>5676.9770899999985</c:v>
                </c:pt>
                <c:pt idx="13">
                  <c:v>5710.7150899999997</c:v>
                </c:pt>
                <c:pt idx="14">
                  <c:v>5714.2660900000001</c:v>
                </c:pt>
                <c:pt idx="15">
                  <c:v>5862.5670899999986</c:v>
                </c:pt>
                <c:pt idx="16">
                  <c:v>7105.9870899999996</c:v>
                </c:pt>
                <c:pt idx="17">
                  <c:v>7459.7680899999996</c:v>
                </c:pt>
                <c:pt idx="18">
                  <c:v>7841.6769999999997</c:v>
                </c:pt>
                <c:pt idx="19">
                  <c:v>8240.8355100000008</c:v>
                </c:pt>
                <c:pt idx="20">
                  <c:v>8665.1200000000008</c:v>
                </c:pt>
              </c:numCache>
            </c:numRef>
          </c:val>
        </c:ser>
        <c:ser>
          <c:idx val="3"/>
          <c:order val="2"/>
          <c:tx>
            <c:strRef>
              <c:f>'6.1 LLTT'!$R$14:$R$15</c:f>
              <c:strCache>
                <c:ptCount val="1"/>
                <c:pt idx="0">
                  <c:v>138</c:v>
                </c:pt>
              </c:strCache>
            </c:strRef>
          </c:tx>
          <c:invertIfNegative val="0"/>
          <c:cat>
            <c:strRef>
              <c:f>'6.1 LLTT'!$N$16:$N$36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2011**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'6.1 LLTT'!$R$16:$R$36</c:f>
              <c:numCache>
                <c:formatCode>#,##0</c:formatCode>
                <c:ptCount val="21"/>
                <c:pt idx="0">
                  <c:v>1872.9719999999998</c:v>
                </c:pt>
                <c:pt idx="1">
                  <c:v>1872.9719999999998</c:v>
                </c:pt>
                <c:pt idx="2">
                  <c:v>2240.8330000000005</c:v>
                </c:pt>
                <c:pt idx="3">
                  <c:v>2410.5329999999999</c:v>
                </c:pt>
                <c:pt idx="4">
                  <c:v>2920.413</c:v>
                </c:pt>
                <c:pt idx="5">
                  <c:v>3135.1529999999998</c:v>
                </c:pt>
                <c:pt idx="6">
                  <c:v>3183.0039999999999</c:v>
                </c:pt>
                <c:pt idx="7">
                  <c:v>3331.1639999999998</c:v>
                </c:pt>
                <c:pt idx="8">
                  <c:v>3338.1639999999998</c:v>
                </c:pt>
                <c:pt idx="9">
                  <c:v>3337.61</c:v>
                </c:pt>
                <c:pt idx="10">
                  <c:v>3435</c:v>
                </c:pt>
                <c:pt idx="11">
                  <c:v>3636.3779999999997</c:v>
                </c:pt>
                <c:pt idx="12">
                  <c:v>3636.3779999999997</c:v>
                </c:pt>
                <c:pt idx="13">
                  <c:v>3636.3779999999992</c:v>
                </c:pt>
                <c:pt idx="14">
                  <c:v>4057.0279999999998</c:v>
                </c:pt>
                <c:pt idx="15">
                  <c:v>4252.0780000000004</c:v>
                </c:pt>
                <c:pt idx="16">
                  <c:v>4277.8440000000001</c:v>
                </c:pt>
                <c:pt idx="17">
                  <c:v>4285.6540000000005</c:v>
                </c:pt>
                <c:pt idx="18">
                  <c:v>4416.9339999999993</c:v>
                </c:pt>
                <c:pt idx="19">
                  <c:v>4368.3289000000004</c:v>
                </c:pt>
                <c:pt idx="20">
                  <c:v>4368.78</c:v>
                </c:pt>
              </c:numCache>
            </c:numRef>
          </c:val>
        </c:ser>
        <c:ser>
          <c:idx val="4"/>
          <c:order val="3"/>
          <c:tx>
            <c:strRef>
              <c:f>'6.1 LLTT'!$S$14:$S$15</c:f>
              <c:strCache>
                <c:ptCount val="1"/>
                <c:pt idx="0">
                  <c:v>60 - 69</c:v>
                </c:pt>
              </c:strCache>
            </c:strRef>
          </c:tx>
          <c:invertIfNegative val="0"/>
          <c:cat>
            <c:strRef>
              <c:f>'6.1 LLTT'!$N$16:$N$36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2011**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'6.1 LLTT'!$S$16:$S$36</c:f>
              <c:numCache>
                <c:formatCode>#,##0</c:formatCode>
                <c:ptCount val="21"/>
                <c:pt idx="0">
                  <c:v>3030.6320000000001</c:v>
                </c:pt>
                <c:pt idx="1">
                  <c:v>3277.7189999999996</c:v>
                </c:pt>
                <c:pt idx="2">
                  <c:v>3629.1389999999992</c:v>
                </c:pt>
                <c:pt idx="3">
                  <c:v>3894.5229999999988</c:v>
                </c:pt>
                <c:pt idx="4">
                  <c:v>4189.570999999999</c:v>
                </c:pt>
                <c:pt idx="5">
                  <c:v>4213.37</c:v>
                </c:pt>
                <c:pt idx="6">
                  <c:v>4309.5889999999999</c:v>
                </c:pt>
                <c:pt idx="7">
                  <c:v>4334.5889999999999</c:v>
                </c:pt>
                <c:pt idx="8">
                  <c:v>4335.3109999999997</c:v>
                </c:pt>
                <c:pt idx="9">
                  <c:v>4335.3109999999997</c:v>
                </c:pt>
                <c:pt idx="10">
                  <c:v>4678</c:v>
                </c:pt>
                <c:pt idx="11">
                  <c:v>4841.8579999999993</c:v>
                </c:pt>
                <c:pt idx="12">
                  <c:v>4852.7879999999996</c:v>
                </c:pt>
                <c:pt idx="13">
                  <c:v>4862.1620000000003</c:v>
                </c:pt>
                <c:pt idx="14">
                  <c:v>4992.9470000000001</c:v>
                </c:pt>
                <c:pt idx="15">
                  <c:v>5204.0582000000004</c:v>
                </c:pt>
                <c:pt idx="16">
                  <c:v>5607.8222000000023</c:v>
                </c:pt>
                <c:pt idx="17">
                  <c:v>5782.9882000000034</c:v>
                </c:pt>
                <c:pt idx="18">
                  <c:v>5907.1522000000004</c:v>
                </c:pt>
                <c:pt idx="19">
                  <c:v>4888.8531000000021</c:v>
                </c:pt>
                <c:pt idx="20">
                  <c:v>4947.1499999999996</c:v>
                </c:pt>
              </c:numCache>
            </c:numRef>
          </c:val>
        </c:ser>
        <c:ser>
          <c:idx val="0"/>
          <c:order val="4"/>
          <c:tx>
            <c:strRef>
              <c:f>'6.1 LLTT'!$T$14:$T$15</c:f>
              <c:strCache>
                <c:ptCount val="1"/>
                <c:pt idx="0">
                  <c:v>30 - 50</c:v>
                </c:pt>
              </c:strCache>
            </c:strRef>
          </c:tx>
          <c:invertIfNegative val="0"/>
          <c:cat>
            <c:strRef>
              <c:f>'6.1 LLTT'!$N$16:$N$36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2011**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'6.1 LLTT'!$T$16:$T$36</c:f>
              <c:numCache>
                <c:formatCode>#,##0</c:formatCode>
                <c:ptCount val="21"/>
                <c:pt idx="0">
                  <c:v>1098.24</c:v>
                </c:pt>
                <c:pt idx="1">
                  <c:v>1129.69</c:v>
                </c:pt>
                <c:pt idx="2">
                  <c:v>1328.998</c:v>
                </c:pt>
                <c:pt idx="3">
                  <c:v>1397.6559999999999</c:v>
                </c:pt>
                <c:pt idx="4">
                  <c:v>1421.38</c:v>
                </c:pt>
                <c:pt idx="5">
                  <c:v>1447.4109999999998</c:v>
                </c:pt>
                <c:pt idx="6">
                  <c:v>1449.94</c:v>
                </c:pt>
                <c:pt idx="7">
                  <c:v>1454.345</c:v>
                </c:pt>
                <c:pt idx="8">
                  <c:v>1460.845</c:v>
                </c:pt>
                <c:pt idx="9">
                  <c:v>1569.7659999999996</c:v>
                </c:pt>
                <c:pt idx="10">
                  <c:v>1545</c:v>
                </c:pt>
                <c:pt idx="11">
                  <c:v>1545.7479999999998</c:v>
                </c:pt>
                <c:pt idx="12">
                  <c:v>1545.7479999999998</c:v>
                </c:pt>
                <c:pt idx="13">
                  <c:v>1545.7479999999998</c:v>
                </c:pt>
                <c:pt idx="14">
                  <c:v>1555.16</c:v>
                </c:pt>
                <c:pt idx="15">
                  <c:v>1746.1599999999999</c:v>
                </c:pt>
                <c:pt idx="16">
                  <c:v>1751.7279999999994</c:v>
                </c:pt>
                <c:pt idx="17">
                  <c:v>1795.4479999999992</c:v>
                </c:pt>
                <c:pt idx="18">
                  <c:v>1797.4960000000001</c:v>
                </c:pt>
                <c:pt idx="19">
                  <c:v>2252.5648200000005</c:v>
                </c:pt>
                <c:pt idx="20">
                  <c:v>2278.5619999999999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125696"/>
        <c:axId val="204127232"/>
      </c:barChart>
      <c:catAx>
        <c:axId val="2041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41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412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(km)</a:t>
                </a:r>
              </a:p>
            </c:rich>
          </c:tx>
          <c:layout>
            <c:manualLayout>
              <c:xMode val="edge"/>
              <c:yMode val="edge"/>
              <c:x val="2.3545610568765432E-2"/>
              <c:y val="0.4608705414713334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4125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512933565628154"/>
          <c:y val="0.86608681607106808"/>
          <c:w val="0.59210327386456185"/>
          <c:h val="8.3991928754570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PORCENTAJE DE PÉRDIDAS DE ENERGÍA ELÉCTRICA EN  EL SISTEMA PRINCIPAL Y GARANTIZADO DE TRANSMISIÓN 1995 - 2014</a:t>
            </a:r>
          </a:p>
        </c:rich>
      </c:tx>
      <c:layout>
        <c:manualLayout>
          <c:xMode val="edge"/>
          <c:yMode val="edge"/>
          <c:x val="0.13594276014899337"/>
          <c:y val="1.7975455770731362E-2"/>
        </c:manualLayout>
      </c:layout>
      <c:overlay val="1"/>
      <c:spPr>
        <a:solidFill>
          <a:schemeClr val="bg1">
            <a:lumMod val="7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256425363560172"/>
          <c:y val="0.21287128712871287"/>
          <c:w val="0.79336466782833093"/>
          <c:h val="0.55198019801980203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rgbClr val="0070C0"/>
              </a:solidFill>
            </a:ln>
          </c:spPr>
          <c:marker>
            <c:symbol val="circle"/>
            <c:size val="7"/>
            <c:spPr>
              <a:solidFill>
                <a:srgbClr val="FFC00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286688419869675E-2"/>
                  <c:y val="-5.3898492548868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8164301989119657E-2"/>
                  <c:y val="6.2146403606981954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3,6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5351867515423692E-2"/>
                  <c:y val="6.628855637033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691471476084481E-2"/>
                  <c:y val="5.726542412037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3645104262512868E-2"/>
                  <c:y val="6.422469647000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352271783176284E-2"/>
                  <c:y val="6.82527290097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1938341009601995E-2"/>
                  <c:y val="6.5149429584643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3277944970262832E-2"/>
                  <c:y val="5.612158404487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307742837831262E-2"/>
                  <c:y val="5.4801264157617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0109337189902864E-2"/>
                  <c:y val="5.6988963954430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8524960367742127E-2"/>
                  <c:y val="6.342880963495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8402573936992095E-2"/>
                  <c:y val="5.8886356809172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6818197114831247E-2"/>
                  <c:y val="6.1240816744854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8157801075492032E-2"/>
                  <c:y val="5.7561030538820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8288898098264034E-2"/>
                  <c:y val="4.6097183797971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3642459670924119E-2"/>
                  <c:y val="4.7823608652745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3553130420100996E-4"/>
                  <c:y val="3.1931332907710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5594541910331383E-2"/>
                  <c:y val="6.4864864864864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5928143712574849E-2"/>
                  <c:y val="-5.7657657657657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'6.2 '!$B$8:$B$27</c:f>
              <c:strCache>
                <c:ptCount val="2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2006*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strCache>
            </c:strRef>
          </c:cat>
          <c:val>
            <c:numRef>
              <c:f>'6.2 '!$C$8:$C$27</c:f>
              <c:numCache>
                <c:formatCode>0.00</c:formatCode>
                <c:ptCount val="20"/>
                <c:pt idx="0">
                  <c:v>3.66</c:v>
                </c:pt>
                <c:pt idx="1">
                  <c:v>3.57</c:v>
                </c:pt>
                <c:pt idx="2">
                  <c:v>3.38</c:v>
                </c:pt>
                <c:pt idx="3">
                  <c:v>2.9</c:v>
                </c:pt>
                <c:pt idx="4">
                  <c:v>2.77</c:v>
                </c:pt>
                <c:pt idx="5">
                  <c:v>2.52</c:v>
                </c:pt>
                <c:pt idx="6">
                  <c:v>2.31</c:v>
                </c:pt>
                <c:pt idx="7">
                  <c:v>2.2999999999999998</c:v>
                </c:pt>
                <c:pt idx="8">
                  <c:v>2.08</c:v>
                </c:pt>
                <c:pt idx="9">
                  <c:v>1.81</c:v>
                </c:pt>
                <c:pt idx="10">
                  <c:v>1.88</c:v>
                </c:pt>
                <c:pt idx="11">
                  <c:v>1.86</c:v>
                </c:pt>
                <c:pt idx="12">
                  <c:v>2.15</c:v>
                </c:pt>
                <c:pt idx="13">
                  <c:v>2.11</c:v>
                </c:pt>
                <c:pt idx="14">
                  <c:v>2.2400000000000002</c:v>
                </c:pt>
                <c:pt idx="15">
                  <c:v>2.68</c:v>
                </c:pt>
                <c:pt idx="16">
                  <c:v>2.93</c:v>
                </c:pt>
                <c:pt idx="17">
                  <c:v>4.32</c:v>
                </c:pt>
                <c:pt idx="18">
                  <c:v>4.3499999999999996</c:v>
                </c:pt>
                <c:pt idx="19">
                  <c:v>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87360"/>
        <c:axId val="196349952"/>
      </c:lineChart>
      <c:catAx>
        <c:axId val="2022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349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34995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%</a:t>
                </a:r>
              </a:p>
            </c:rich>
          </c:tx>
          <c:layout>
            <c:manualLayout>
              <c:xMode val="edge"/>
              <c:yMode val="edge"/>
              <c:x val="3.0165967278042341E-2"/>
              <c:y val="0.460396112648081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2287360"/>
        <c:crosses val="autoZero"/>
        <c:crossBetween val="between"/>
        <c:majorUnit val="1"/>
        <c:minorUnit val="0.5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DEL NÚMERO DE CLIENTES REGULADOS
1995 - 2015</a:t>
            </a:r>
          </a:p>
        </c:rich>
      </c:tx>
      <c:layout>
        <c:manualLayout>
          <c:xMode val="edge"/>
          <c:yMode val="edge"/>
          <c:x val="0.25037206414771923"/>
          <c:y val="3.3232628398791542E-2"/>
        </c:manualLayout>
      </c:layout>
      <c:overlay val="0"/>
      <c:spPr>
        <a:solidFill>
          <a:schemeClr val="bg1">
            <a:lumMod val="8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2279984532778733"/>
          <c:y val="0.23343911316221425"/>
          <c:w val="0.85356558788659043"/>
          <c:h val="0.57392070606541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'7.1'!$D$6</c:f>
              <c:strCache>
                <c:ptCount val="1"/>
                <c:pt idx="0">
                  <c:v>Regulado</c:v>
                </c:pt>
              </c:strCache>
            </c:strRef>
          </c:tx>
          <c:invertIfNegative val="0"/>
          <c:cat>
            <c:strRef>
              <c:f>'7.1'!$B$7:$B$28</c:f>
              <c:strCache>
                <c:ptCount val="22"/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2015*</c:v>
                </c:pt>
              </c:strCache>
            </c:strRef>
          </c:cat>
          <c:val>
            <c:numRef>
              <c:f>'7.1'!$D$7:$D$28</c:f>
              <c:numCache>
                <c:formatCode>#,##0</c:formatCode>
                <c:ptCount val="22"/>
                <c:pt idx="1">
                  <c:v>2491629</c:v>
                </c:pt>
                <c:pt idx="2">
                  <c:v>2775514</c:v>
                </c:pt>
                <c:pt idx="3">
                  <c:v>2964103</c:v>
                </c:pt>
                <c:pt idx="4">
                  <c:v>3057102</c:v>
                </c:pt>
                <c:pt idx="5">
                  <c:v>3216835</c:v>
                </c:pt>
                <c:pt idx="6">
                  <c:v>3351980</c:v>
                </c:pt>
                <c:pt idx="7">
                  <c:v>3462610</c:v>
                </c:pt>
                <c:pt idx="8">
                  <c:v>3614223</c:v>
                </c:pt>
                <c:pt idx="9">
                  <c:v>3727019</c:v>
                </c:pt>
                <c:pt idx="10">
                  <c:v>3860270</c:v>
                </c:pt>
                <c:pt idx="11">
                  <c:v>3976856.25</c:v>
                </c:pt>
                <c:pt idx="12">
                  <c:v>4165037</c:v>
                </c:pt>
                <c:pt idx="13">
                  <c:v>4359612</c:v>
                </c:pt>
                <c:pt idx="14">
                  <c:v>4624534</c:v>
                </c:pt>
                <c:pt idx="15">
                  <c:v>4878695</c:v>
                </c:pt>
                <c:pt idx="16">
                  <c:v>5170638</c:v>
                </c:pt>
                <c:pt idx="17">
                  <c:v>5494961</c:v>
                </c:pt>
                <c:pt idx="18">
                  <c:v>5834625</c:v>
                </c:pt>
                <c:pt idx="19">
                  <c:v>6156035</c:v>
                </c:pt>
                <c:pt idx="20">
                  <c:v>6432444</c:v>
                </c:pt>
                <c:pt idx="21">
                  <c:v>6718310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168192"/>
        <c:axId val="200169728"/>
      </c:barChart>
      <c:catAx>
        <c:axId val="20016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016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169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Número de Clientes</a:t>
                </a:r>
              </a:p>
            </c:rich>
          </c:tx>
          <c:layout>
            <c:manualLayout>
              <c:xMode val="edge"/>
              <c:yMode val="edge"/>
              <c:x val="1.1578675616367625E-2"/>
              <c:y val="0.293051676697512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0168192"/>
        <c:crosses val="autoZero"/>
        <c:crossBetween val="between"/>
        <c:minorUnit val="300000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DEL NÚMERO DE CLIENTES LIBRES
1995 - 2015</a:t>
            </a:r>
          </a:p>
        </c:rich>
      </c:tx>
      <c:layout>
        <c:manualLayout>
          <c:xMode val="edge"/>
          <c:yMode val="edge"/>
          <c:x val="0.27264134088502096"/>
          <c:y val="3.3536585365853661E-2"/>
        </c:manualLayout>
      </c:layout>
      <c:overlay val="0"/>
      <c:spPr>
        <a:solidFill>
          <a:schemeClr val="bg1">
            <a:lumMod val="8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863960742230782"/>
          <c:y val="0.20731738179631198"/>
          <c:w val="0.85025698415493889"/>
          <c:h val="0.60975700528327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'7.1'!$E$6</c:f>
              <c:strCache>
                <c:ptCount val="1"/>
                <c:pt idx="0">
                  <c:v>Libre</c:v>
                </c:pt>
              </c:strCache>
            </c:strRef>
          </c:tx>
          <c:invertIfNegative val="0"/>
          <c:cat>
            <c:strRef>
              <c:f>'7.1'!$B$7:$B$28</c:f>
              <c:strCache>
                <c:ptCount val="22"/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2015*</c:v>
                </c:pt>
              </c:strCache>
            </c:strRef>
          </c:cat>
          <c:val>
            <c:numRef>
              <c:f>'7.1'!$E$7:$E$28</c:f>
              <c:numCache>
                <c:formatCode>#,##0</c:formatCode>
                <c:ptCount val="22"/>
                <c:pt idx="1">
                  <c:v>206</c:v>
                </c:pt>
                <c:pt idx="2">
                  <c:v>199</c:v>
                </c:pt>
                <c:pt idx="3">
                  <c:v>212</c:v>
                </c:pt>
                <c:pt idx="4">
                  <c:v>218</c:v>
                </c:pt>
                <c:pt idx="5">
                  <c:v>223</c:v>
                </c:pt>
                <c:pt idx="6">
                  <c:v>229</c:v>
                </c:pt>
                <c:pt idx="7">
                  <c:v>241</c:v>
                </c:pt>
                <c:pt idx="8">
                  <c:v>261</c:v>
                </c:pt>
                <c:pt idx="9">
                  <c:v>247</c:v>
                </c:pt>
                <c:pt idx="10">
                  <c:v>245</c:v>
                </c:pt>
                <c:pt idx="11">
                  <c:v>244</c:v>
                </c:pt>
                <c:pt idx="12">
                  <c:v>237</c:v>
                </c:pt>
                <c:pt idx="13">
                  <c:v>250</c:v>
                </c:pt>
                <c:pt idx="14">
                  <c:v>258</c:v>
                </c:pt>
                <c:pt idx="15">
                  <c:v>269</c:v>
                </c:pt>
                <c:pt idx="16">
                  <c:v>258</c:v>
                </c:pt>
                <c:pt idx="17">
                  <c:v>261</c:v>
                </c:pt>
                <c:pt idx="18">
                  <c:v>262</c:v>
                </c:pt>
                <c:pt idx="19">
                  <c:v>280</c:v>
                </c:pt>
                <c:pt idx="20">
                  <c:v>299.05376357461842</c:v>
                </c:pt>
                <c:pt idx="21">
                  <c:v>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194304"/>
        <c:axId val="200196096"/>
      </c:barChart>
      <c:catAx>
        <c:axId val="20019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01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196096"/>
        <c:scaling>
          <c:orientation val="minMax"/>
          <c:max val="3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Número de Clientes</a:t>
                </a:r>
              </a:p>
            </c:rich>
          </c:tx>
          <c:layout>
            <c:manualLayout>
              <c:xMode val="edge"/>
              <c:yMode val="edge"/>
              <c:x val="1.7769919110988318E-2"/>
              <c:y val="0.313041738685103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00194304"/>
        <c:crosses val="autoZero"/>
        <c:crossBetween val="between"/>
        <c:majorUnit val="50"/>
        <c:minorUnit val="50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600" b="1" i="0" u="none" strike="noStrike" baseline="0">
                <a:solidFill>
                  <a:srgbClr val="000000"/>
                </a:solidFill>
                <a:latin typeface="Calibri"/>
              </a:rPr>
              <a:t>EVOLUCIÓN DE LAS INVERSIONES EJECUTADAS EN EL SECTOR ELÉCTRICO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600" b="1" i="0" u="none" strike="noStrike" baseline="0">
                <a:solidFill>
                  <a:srgbClr val="000000"/>
                </a:solidFill>
                <a:latin typeface="Calibri"/>
              </a:rPr>
              <a:t>POR EMPRESA ESTATAL* Y PRIVADA  1995 - 2015  </a:t>
            </a:r>
          </a:p>
        </c:rich>
      </c:tx>
      <c:layout>
        <c:manualLayout>
          <c:xMode val="edge"/>
          <c:yMode val="edge"/>
          <c:x val="0.19014680581195292"/>
          <c:y val="2.2690063005023634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7.7511997940339944E-2"/>
          <c:y val="0.17011532443275063"/>
          <c:w val="0.85645973032844758"/>
          <c:h val="0.72201564485029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'1.4'!$S$9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'1.4'!$B$11:$B$31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2001**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'1.4'!$S$11:$S$31</c:f>
              <c:numCache>
                <c:formatCode>#\ #,#00</c:formatCode>
                <c:ptCount val="21"/>
                <c:pt idx="0">
                  <c:v>220.87862900000002</c:v>
                </c:pt>
                <c:pt idx="1">
                  <c:v>372.89737700000001</c:v>
                </c:pt>
                <c:pt idx="2">
                  <c:v>547.62588100000005</c:v>
                </c:pt>
                <c:pt idx="3">
                  <c:v>561.51143100000002</c:v>
                </c:pt>
                <c:pt idx="4">
                  <c:v>709.53922801183433</c:v>
                </c:pt>
                <c:pt idx="5">
                  <c:v>605.803</c:v>
                </c:pt>
                <c:pt idx="6">
                  <c:v>305.89697000000001</c:v>
                </c:pt>
                <c:pt idx="7">
                  <c:v>242.19900000000001</c:v>
                </c:pt>
                <c:pt idx="8">
                  <c:v>191.95699999999999</c:v>
                </c:pt>
                <c:pt idx="9">
                  <c:v>284.69500000000005</c:v>
                </c:pt>
                <c:pt idx="10">
                  <c:v>348.49189000000001</c:v>
                </c:pt>
                <c:pt idx="11">
                  <c:v>446.20400000000001</c:v>
                </c:pt>
                <c:pt idx="12">
                  <c:v>539.07312999999999</c:v>
                </c:pt>
                <c:pt idx="13">
                  <c:v>762.52</c:v>
                </c:pt>
                <c:pt idx="14">
                  <c:v>992.11972000000003</c:v>
                </c:pt>
                <c:pt idx="15">
                  <c:v>1144.3617822261485</c:v>
                </c:pt>
                <c:pt idx="16">
                  <c:v>1748.7</c:v>
                </c:pt>
                <c:pt idx="17">
                  <c:v>2589.04386045</c:v>
                </c:pt>
                <c:pt idx="18">
                  <c:v>2439.6153999999997</c:v>
                </c:pt>
                <c:pt idx="19">
                  <c:v>2474.5684952176703</c:v>
                </c:pt>
                <c:pt idx="20">
                  <c:v>2267.297321448606</c:v>
                </c:pt>
              </c:numCache>
            </c:numRef>
          </c:val>
        </c:ser>
        <c:ser>
          <c:idx val="1"/>
          <c:order val="1"/>
          <c:tx>
            <c:strRef>
              <c:f>'1.4'!$T$9</c:f>
              <c:strCache>
                <c:ptCount val="1"/>
                <c:pt idx="0">
                  <c:v>Estatal (*)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'1.4'!$B$11:$B$31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2001**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'1.4'!$T$11:$T$31</c:f>
              <c:numCache>
                <c:formatCode>#\ ##,000</c:formatCode>
                <c:ptCount val="21"/>
                <c:pt idx="0">
                  <c:v>154.712999</c:v>
                </c:pt>
                <c:pt idx="1">
                  <c:v>176.97620699999999</c:v>
                </c:pt>
                <c:pt idx="2">
                  <c:v>207.88996599999999</c:v>
                </c:pt>
                <c:pt idx="3">
                  <c:v>202.79134299999998</c:v>
                </c:pt>
                <c:pt idx="4">
                  <c:v>201.72455901183432</c:v>
                </c:pt>
                <c:pt idx="5">
                  <c:v>165.994</c:v>
                </c:pt>
                <c:pt idx="6">
                  <c:v>95.058679999999995</c:v>
                </c:pt>
                <c:pt idx="7">
                  <c:v>109.85599999999999</c:v>
                </c:pt>
                <c:pt idx="8">
                  <c:v>110.83199999999999</c:v>
                </c:pt>
                <c:pt idx="9">
                  <c:v>116.143</c:v>
                </c:pt>
                <c:pt idx="10">
                  <c:v>117.43026999999999</c:v>
                </c:pt>
                <c:pt idx="11">
                  <c:v>95.745000000000005</c:v>
                </c:pt>
                <c:pt idx="12">
                  <c:v>139.72556</c:v>
                </c:pt>
                <c:pt idx="13">
                  <c:v>128.88</c:v>
                </c:pt>
                <c:pt idx="14">
                  <c:v>250.28899999999999</c:v>
                </c:pt>
                <c:pt idx="15">
                  <c:v>165.61058222614841</c:v>
                </c:pt>
                <c:pt idx="16">
                  <c:v>107</c:v>
                </c:pt>
                <c:pt idx="17">
                  <c:v>121.623</c:v>
                </c:pt>
                <c:pt idx="18">
                  <c:v>209.3229</c:v>
                </c:pt>
                <c:pt idx="19">
                  <c:v>178.33149350396769</c:v>
                </c:pt>
                <c:pt idx="20">
                  <c:v>131.09463552652863</c:v>
                </c:pt>
              </c:numCache>
            </c:numRef>
          </c:val>
        </c:ser>
        <c:ser>
          <c:idx val="2"/>
          <c:order val="2"/>
          <c:tx>
            <c:strRef>
              <c:f>'1.4'!$U$9</c:f>
              <c:strCache>
                <c:ptCount val="1"/>
                <c:pt idx="0">
                  <c:v>Privada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'1.4'!$B$11:$B$31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2001**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'1.4'!$U$11:$U$31</c:f>
              <c:numCache>
                <c:formatCode>#\ ##,000</c:formatCode>
                <c:ptCount val="21"/>
                <c:pt idx="0">
                  <c:v>66.165630000000007</c:v>
                </c:pt>
                <c:pt idx="1">
                  <c:v>195.92117000000002</c:v>
                </c:pt>
                <c:pt idx="2">
                  <c:v>339.73591500000003</c:v>
                </c:pt>
                <c:pt idx="3">
                  <c:v>358.72008800000003</c:v>
                </c:pt>
                <c:pt idx="4">
                  <c:v>507.81466899999998</c:v>
                </c:pt>
                <c:pt idx="5">
                  <c:v>439.80900000000003</c:v>
                </c:pt>
                <c:pt idx="6">
                  <c:v>210.83829</c:v>
                </c:pt>
                <c:pt idx="7">
                  <c:v>132.34300000000002</c:v>
                </c:pt>
                <c:pt idx="8">
                  <c:v>81.125</c:v>
                </c:pt>
                <c:pt idx="9">
                  <c:v>168.55199999999999</c:v>
                </c:pt>
                <c:pt idx="10">
                  <c:v>231.06162000000003</c:v>
                </c:pt>
                <c:pt idx="11">
                  <c:v>350.459</c:v>
                </c:pt>
                <c:pt idx="12">
                  <c:v>399.34757000000002</c:v>
                </c:pt>
                <c:pt idx="13">
                  <c:v>633.64</c:v>
                </c:pt>
                <c:pt idx="14">
                  <c:v>741.83071999999993</c:v>
                </c:pt>
                <c:pt idx="15">
                  <c:v>978.75120000000004</c:v>
                </c:pt>
                <c:pt idx="16">
                  <c:v>1641.7</c:v>
                </c:pt>
                <c:pt idx="17">
                  <c:v>2467.42086045</c:v>
                </c:pt>
                <c:pt idx="18">
                  <c:v>2230.2925</c:v>
                </c:pt>
                <c:pt idx="19">
                  <c:v>2296.2370017137027</c:v>
                </c:pt>
                <c:pt idx="20">
                  <c:v>2136.2026859220773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12576"/>
        <c:axId val="195518464"/>
      </c:barChart>
      <c:catAx>
        <c:axId val="1955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5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51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millones US $</a:t>
                </a:r>
              </a:p>
            </c:rich>
          </c:tx>
          <c:layout>
            <c:manualLayout>
              <c:xMode val="edge"/>
              <c:yMode val="edge"/>
              <c:x val="1.8264803024023911E-2"/>
              <c:y val="0.409615972450618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55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811822326036994"/>
          <c:y val="0.31070672676971889"/>
          <c:w val="0.30717713395873364"/>
          <c:h val="5.9770292841158978E-2"/>
        </c:manualLayout>
      </c:layout>
      <c:overlay val="0"/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400" b="1" i="0" u="none" strike="noStrike" baseline="0">
                <a:solidFill>
                  <a:srgbClr val="000000"/>
                </a:solidFill>
                <a:latin typeface="Calibri"/>
              </a:rPr>
              <a:t>EVOLUCIÓN DE VENTAS DE ENERGÍA ELÉCTRICA  POR TIPO DE MERCADO</a:t>
            </a:r>
            <a:endParaRPr lang="es-PE" sz="1600" b="1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600" b="1" i="0" u="none" strike="noStrike" baseline="0">
                <a:solidFill>
                  <a:srgbClr val="000000"/>
                </a:solidFill>
                <a:latin typeface="Calibri"/>
              </a:rPr>
              <a:t>1995 - 2015</a:t>
            </a:r>
          </a:p>
        </c:rich>
      </c:tx>
      <c:layout>
        <c:manualLayout>
          <c:xMode val="edge"/>
          <c:yMode val="edge"/>
          <c:x val="0.15543185008850638"/>
          <c:y val="2.0482827347116369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046511627906977"/>
          <c:y val="0.25133689839572193"/>
          <c:w val="0.85697674418604652"/>
          <c:h val="0.63368983957219249"/>
        </c:manualLayout>
      </c:layout>
      <c:areaChart>
        <c:grouping val="stacked"/>
        <c:varyColors val="0"/>
        <c:ser>
          <c:idx val="0"/>
          <c:order val="0"/>
          <c:tx>
            <c:strRef>
              <c:f>'8.1'!$O$8</c:f>
              <c:strCache>
                <c:ptCount val="1"/>
                <c:pt idx="0">
                  <c:v>Regulados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Regulado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'8.1'!$N$10:$N$30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'8.1'!$O$10:$O$30</c:f>
              <c:numCache>
                <c:formatCode>#\ ##,000</c:formatCode>
                <c:ptCount val="21"/>
                <c:pt idx="0">
                  <c:v>6430.3848620000044</c:v>
                </c:pt>
                <c:pt idx="1">
                  <c:v>6781.8158419999918</c:v>
                </c:pt>
                <c:pt idx="2">
                  <c:v>7291.6494419999917</c:v>
                </c:pt>
                <c:pt idx="3">
                  <c:v>7755.838101999997</c:v>
                </c:pt>
                <c:pt idx="4">
                  <c:v>8071.8733350000111</c:v>
                </c:pt>
                <c:pt idx="5">
                  <c:v>8406.7782800000132</c:v>
                </c:pt>
                <c:pt idx="6">
                  <c:v>8654.8532329999871</c:v>
                </c:pt>
                <c:pt idx="7">
                  <c:v>9221.8888070000012</c:v>
                </c:pt>
                <c:pt idx="8">
                  <c:v>9610.7902890000005</c:v>
                </c:pt>
                <c:pt idx="9">
                  <c:v>10352.511363000001</c:v>
                </c:pt>
                <c:pt idx="10">
                  <c:v>11150.106846222223</c:v>
                </c:pt>
                <c:pt idx="11">
                  <c:v>12169.514937999998</c:v>
                </c:pt>
                <c:pt idx="12">
                  <c:v>13346.184469</c:v>
                </c:pt>
                <c:pt idx="13">
                  <c:v>14569.444074000001</c:v>
                </c:pt>
                <c:pt idx="14">
                  <c:v>15204.704771999996</c:v>
                </c:pt>
                <c:pt idx="15">
                  <c:v>16430.850569000002</c:v>
                </c:pt>
                <c:pt idx="16">
                  <c:v>17891.5565232511</c:v>
                </c:pt>
                <c:pt idx="17">
                  <c:v>18962.169935999998</c:v>
                </c:pt>
                <c:pt idx="18">
                  <c:v>19883.276369286003</c:v>
                </c:pt>
                <c:pt idx="19">
                  <c:v>20763.97139729272</c:v>
                </c:pt>
                <c:pt idx="20">
                  <c:v>21564.640493245512</c:v>
                </c:pt>
              </c:numCache>
            </c:numRef>
          </c:val>
        </c:ser>
        <c:ser>
          <c:idx val="1"/>
          <c:order val="1"/>
          <c:tx>
            <c:strRef>
              <c:f>'8.1'!$P$8</c:f>
              <c:strCache>
                <c:ptCount val="1"/>
                <c:pt idx="0">
                  <c:v>Libres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Libre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'8.1'!$N$10:$N$30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'8.1'!$P$10:$P$30</c:f>
              <c:numCache>
                <c:formatCode>#\ ##,000</c:formatCode>
                <c:ptCount val="21"/>
                <c:pt idx="0">
                  <c:v>3418.8712659999997</c:v>
                </c:pt>
                <c:pt idx="1">
                  <c:v>3549.0237560000005</c:v>
                </c:pt>
                <c:pt idx="2">
                  <c:v>5159.5807179999993</c:v>
                </c:pt>
                <c:pt idx="3">
                  <c:v>6252.7387210000006</c:v>
                </c:pt>
                <c:pt idx="4">
                  <c:v>6520.0182239999995</c:v>
                </c:pt>
                <c:pt idx="5">
                  <c:v>7138.8171120000006</c:v>
                </c:pt>
                <c:pt idx="6">
                  <c:v>7973.901312</c:v>
                </c:pt>
                <c:pt idx="7">
                  <c:v>8383.4371068479995</c:v>
                </c:pt>
                <c:pt idx="8">
                  <c:v>8764.545121000001</c:v>
                </c:pt>
                <c:pt idx="9">
                  <c:v>9288.1397469999993</c:v>
                </c:pt>
                <c:pt idx="10">
                  <c:v>9551.2760340000004</c:v>
                </c:pt>
                <c:pt idx="11">
                  <c:v>10120.546214999998</c:v>
                </c:pt>
                <c:pt idx="12">
                  <c:v>11375.564084000001</c:v>
                </c:pt>
                <c:pt idx="13">
                  <c:v>12394.970522</c:v>
                </c:pt>
                <c:pt idx="14">
                  <c:v>11882.301004999999</c:v>
                </c:pt>
                <c:pt idx="15">
                  <c:v>13005.324554999999</c:v>
                </c:pt>
                <c:pt idx="16">
                  <c:v>13928.794281999999</c:v>
                </c:pt>
                <c:pt idx="17">
                  <c:v>14686.015995</c:v>
                </c:pt>
                <c:pt idx="18">
                  <c:v>15729.474291</c:v>
                </c:pt>
                <c:pt idx="19">
                  <c:v>16563.805596905629</c:v>
                </c:pt>
                <c:pt idx="20">
                  <c:v>18141.314912917212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19968"/>
        <c:axId val="216825856"/>
      </c:areaChart>
      <c:catAx>
        <c:axId val="21681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682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82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8139534883720929E-3"/>
              <c:y val="0.486631016042780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6819968"/>
        <c:crosses val="autoZero"/>
        <c:crossBetween val="midCat"/>
        <c:majorUnit val="4000"/>
        <c:minorUnit val="10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 VENTAS DE ENERGÍA POR TIPO DE EMPRESA
1995 - 2015</a:t>
            </a:r>
          </a:p>
        </c:rich>
      </c:tx>
      <c:layout>
        <c:manualLayout>
          <c:xMode val="edge"/>
          <c:yMode val="edge"/>
          <c:x val="0.21528385340721298"/>
          <c:y val="4.096716810654423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3657422844128467"/>
          <c:y val="0.24552460328659897"/>
          <c:w val="0.81250091835408345"/>
          <c:h val="0.62915679592190987"/>
        </c:manualLayout>
      </c:layout>
      <c:areaChart>
        <c:grouping val="stacked"/>
        <c:varyColors val="0"/>
        <c:ser>
          <c:idx val="0"/>
          <c:order val="0"/>
          <c:tx>
            <c:strRef>
              <c:f>'8.1'!$O$38</c:f>
              <c:strCache>
                <c:ptCount val="1"/>
                <c:pt idx="0">
                  <c:v>Distribuidoras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'8.1'!$N$41:$N$61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'8.1'!$O$41:$O$61</c:f>
              <c:numCache>
                <c:formatCode>#\ ##,000</c:formatCode>
                <c:ptCount val="21"/>
                <c:pt idx="0">
                  <c:v>8673.7080870000045</c:v>
                </c:pt>
                <c:pt idx="1">
                  <c:v>8770.6107359999914</c:v>
                </c:pt>
                <c:pt idx="2">
                  <c:v>9377.8946799999903</c:v>
                </c:pt>
                <c:pt idx="3">
                  <c:v>9878.6615729999976</c:v>
                </c:pt>
                <c:pt idx="4">
                  <c:v>10198.891027000011</c:v>
                </c:pt>
                <c:pt idx="5">
                  <c:v>10763.269271000014</c:v>
                </c:pt>
                <c:pt idx="6">
                  <c:v>10522.374724999987</c:v>
                </c:pt>
                <c:pt idx="7">
                  <c:v>11113.547163000001</c:v>
                </c:pt>
                <c:pt idx="8">
                  <c:v>11303.613573000001</c:v>
                </c:pt>
                <c:pt idx="9">
                  <c:v>12001.305316000002</c:v>
                </c:pt>
                <c:pt idx="10">
                  <c:v>12914.287800222222</c:v>
                </c:pt>
                <c:pt idx="11">
                  <c:v>14043.638326999999</c:v>
                </c:pt>
                <c:pt idx="12">
                  <c:v>15032.180855000001</c:v>
                </c:pt>
                <c:pt idx="13">
                  <c:v>16297.176545</c:v>
                </c:pt>
                <c:pt idx="14">
                  <c:v>17000.664144999995</c:v>
                </c:pt>
                <c:pt idx="15">
                  <c:v>18195.325098000001</c:v>
                </c:pt>
                <c:pt idx="16">
                  <c:v>19753.040698251101</c:v>
                </c:pt>
                <c:pt idx="17">
                  <c:v>20947.295381</c:v>
                </c:pt>
                <c:pt idx="18">
                  <c:v>21938.578439286001</c:v>
                </c:pt>
                <c:pt idx="19">
                  <c:v>22781.971993398343</c:v>
                </c:pt>
                <c:pt idx="20">
                  <c:v>23582.947281861023</c:v>
                </c:pt>
              </c:numCache>
            </c:numRef>
          </c:val>
        </c:ser>
        <c:ser>
          <c:idx val="1"/>
          <c:order val="1"/>
          <c:tx>
            <c:strRef>
              <c:f>'8.1'!$P$38</c:f>
              <c:strCache>
                <c:ptCount val="1"/>
                <c:pt idx="0">
                  <c:v>Generadoras</c:v>
                </c:pt>
              </c:strCache>
            </c:strRef>
          </c:tx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Generadoras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'8.1'!$N$41:$N$61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'8.1'!$P$41:$P$61</c:f>
              <c:numCache>
                <c:formatCode>#\ ##,000</c:formatCode>
                <c:ptCount val="21"/>
                <c:pt idx="0">
                  <c:v>1175.548041</c:v>
                </c:pt>
                <c:pt idx="1">
                  <c:v>1560.2288619999999</c:v>
                </c:pt>
                <c:pt idx="2">
                  <c:v>3073.3354799999997</c:v>
                </c:pt>
                <c:pt idx="3">
                  <c:v>4129.9152500000009</c:v>
                </c:pt>
                <c:pt idx="4">
                  <c:v>4393.000532</c:v>
                </c:pt>
                <c:pt idx="5">
                  <c:v>4782.3261210000001</c:v>
                </c:pt>
                <c:pt idx="6">
                  <c:v>6106.3798200000001</c:v>
                </c:pt>
                <c:pt idx="7">
                  <c:v>6491.7787508479996</c:v>
                </c:pt>
                <c:pt idx="8">
                  <c:v>7071.721837000001</c:v>
                </c:pt>
                <c:pt idx="9">
                  <c:v>7639.3457939999998</c:v>
                </c:pt>
                <c:pt idx="10">
                  <c:v>7787.095080000001</c:v>
                </c:pt>
                <c:pt idx="11">
                  <c:v>8246.4228259999982</c:v>
                </c:pt>
                <c:pt idx="12">
                  <c:v>9689.5676980000007</c:v>
                </c:pt>
                <c:pt idx="13">
                  <c:v>10667.238051</c:v>
                </c:pt>
                <c:pt idx="14">
                  <c:v>10086.341632</c:v>
                </c:pt>
                <c:pt idx="15">
                  <c:v>11240.850026</c:v>
                </c:pt>
                <c:pt idx="16">
                  <c:v>12067.310106999999</c:v>
                </c:pt>
                <c:pt idx="17">
                  <c:v>12700.89055</c:v>
                </c:pt>
                <c:pt idx="18">
                  <c:v>13674.172221000001</c:v>
                </c:pt>
                <c:pt idx="19">
                  <c:v>14545.805000800003</c:v>
                </c:pt>
                <c:pt idx="20">
                  <c:v>16123.008124301699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64256"/>
        <c:axId val="216865792"/>
      </c:areaChart>
      <c:catAx>
        <c:axId val="2168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686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86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7870370370370367E-3"/>
              <c:y val="0.468031227554356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6864256"/>
        <c:crosses val="autoZero"/>
        <c:crossBetween val="midCat"/>
        <c:majorUnit val="4000"/>
        <c:minorUnit val="10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 LA FACTURACIÓN POR VENTA FINAL DE ENERGÍA ELÉCTRICA AL MERCADO LIBRE Y REGULADO 1 995 - 2 015</a:t>
            </a:r>
          </a:p>
        </c:rich>
      </c:tx>
      <c:layout>
        <c:manualLayout>
          <c:xMode val="edge"/>
          <c:yMode val="edge"/>
          <c:x val="0.15846821518851645"/>
          <c:y val="2.2013091737026848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5283287121324216"/>
          <c:y val="0.22289156626506024"/>
          <c:w val="0.80896019762871274"/>
          <c:h val="0.67469879518072284"/>
        </c:manualLayout>
      </c:layout>
      <c:areaChart>
        <c:grouping val="stacked"/>
        <c:varyColors val="0"/>
        <c:ser>
          <c:idx val="0"/>
          <c:order val="0"/>
          <c:tx>
            <c:strRef>
              <c:f>'9.1'!$O$8</c:f>
              <c:strCache>
                <c:ptCount val="1"/>
                <c:pt idx="0">
                  <c:v>Regulados</c:v>
                </c:pt>
              </c:strCache>
            </c:strRef>
          </c:tx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Regulado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'9.1'!$N$9:$N$29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'9.1'!$O$9:$O$29</c:f>
              <c:numCache>
                <c:formatCode>#\ ##,000</c:formatCode>
                <c:ptCount val="21"/>
                <c:pt idx="0">
                  <c:v>652594.70505039126</c:v>
                </c:pt>
                <c:pt idx="1">
                  <c:v>703942.0843935553</c:v>
                </c:pt>
                <c:pt idx="2">
                  <c:v>739882.06859937776</c:v>
                </c:pt>
                <c:pt idx="3">
                  <c:v>678887.14895575435</c:v>
                </c:pt>
                <c:pt idx="4">
                  <c:v>670509.97864915198</c:v>
                </c:pt>
                <c:pt idx="5">
                  <c:v>740329.43935992219</c:v>
                </c:pt>
                <c:pt idx="6">
                  <c:v>761192.05792891572</c:v>
                </c:pt>
                <c:pt idx="7">
                  <c:v>764543.09032842796</c:v>
                </c:pt>
                <c:pt idx="8">
                  <c:v>811107.14639795315</c:v>
                </c:pt>
                <c:pt idx="9">
                  <c:v>897997.70685053943</c:v>
                </c:pt>
                <c:pt idx="10">
                  <c:v>1048137.0214944701</c:v>
                </c:pt>
                <c:pt idx="11">
                  <c:v>1120521.0639498956</c:v>
                </c:pt>
                <c:pt idx="12">
                  <c:v>1213689.4778540342</c:v>
                </c:pt>
                <c:pt idx="13">
                  <c:v>1393393.8557439279</c:v>
                </c:pt>
                <c:pt idx="14">
                  <c:v>1556915.7010486</c:v>
                </c:pt>
                <c:pt idx="15">
                  <c:v>1718589.3030064055</c:v>
                </c:pt>
                <c:pt idx="16">
                  <c:v>1984402.415805182</c:v>
                </c:pt>
                <c:pt idx="17">
                  <c:v>2313676.253838758</c:v>
                </c:pt>
                <c:pt idx="18">
                  <c:v>2432390.4404826723</c:v>
                </c:pt>
                <c:pt idx="19">
                  <c:v>2788652.8472374799</c:v>
                </c:pt>
                <c:pt idx="20">
                  <c:v>2946488.7014594637</c:v>
                </c:pt>
              </c:numCache>
            </c:numRef>
          </c:val>
        </c:ser>
        <c:ser>
          <c:idx val="1"/>
          <c:order val="1"/>
          <c:tx>
            <c:strRef>
              <c:f>'9.1'!$P$8</c:f>
              <c:strCache>
                <c:ptCount val="1"/>
                <c:pt idx="0">
                  <c:v>Libres</c:v>
                </c:pt>
              </c:strCache>
            </c:strRef>
          </c:tx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Libre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'9.1'!$N$9:$N$29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'9.1'!$P$9:$P$29</c:f>
              <c:numCache>
                <c:formatCode>#\ ##,000</c:formatCode>
                <c:ptCount val="21"/>
                <c:pt idx="0">
                  <c:v>174081.29663935103</c:v>
                </c:pt>
                <c:pt idx="1">
                  <c:v>189428.31074726206</c:v>
                </c:pt>
                <c:pt idx="2">
                  <c:v>279655.46801755915</c:v>
                </c:pt>
                <c:pt idx="3">
                  <c:v>309257.82158949709</c:v>
                </c:pt>
                <c:pt idx="4">
                  <c:v>321449.38961757824</c:v>
                </c:pt>
                <c:pt idx="5">
                  <c:v>372740.06090845715</c:v>
                </c:pt>
                <c:pt idx="6">
                  <c:v>378166.4559096325</c:v>
                </c:pt>
                <c:pt idx="7">
                  <c:v>392524.06993930548</c:v>
                </c:pt>
                <c:pt idx="8">
                  <c:v>406102.99727272848</c:v>
                </c:pt>
                <c:pt idx="9">
                  <c:v>484302.30495956831</c:v>
                </c:pt>
                <c:pt idx="10">
                  <c:v>531072.24960191001</c:v>
                </c:pt>
                <c:pt idx="11">
                  <c:v>562647.84035601164</c:v>
                </c:pt>
                <c:pt idx="12">
                  <c:v>616942.18558020808</c:v>
                </c:pt>
                <c:pt idx="13">
                  <c:v>822706.11743943871</c:v>
                </c:pt>
                <c:pt idx="14">
                  <c:v>679142.45276880008</c:v>
                </c:pt>
                <c:pt idx="15">
                  <c:v>729945.72519655328</c:v>
                </c:pt>
                <c:pt idx="16">
                  <c:v>875989.13955361466</c:v>
                </c:pt>
                <c:pt idx="17">
                  <c:v>985449.24548825587</c:v>
                </c:pt>
                <c:pt idx="18">
                  <c:v>1103835.8889688132</c:v>
                </c:pt>
                <c:pt idx="19">
                  <c:v>1236693.2682361822</c:v>
                </c:pt>
                <c:pt idx="20">
                  <c:v>1319574.3240707251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67680"/>
        <c:axId val="217369216"/>
      </c:areaChart>
      <c:catAx>
        <c:axId val="2173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736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36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Miles de US $</a:t>
                </a:r>
              </a:p>
            </c:rich>
          </c:tx>
          <c:layout>
            <c:manualLayout>
              <c:xMode val="edge"/>
              <c:yMode val="edge"/>
              <c:x val="2.1080368906455864E-2"/>
              <c:y val="0.2771084337349397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7367680"/>
        <c:crosses val="autoZero"/>
        <c:crossBetween val="midCat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 LA FACTURACIÓN POR VENTA DE ENERGÍA SEGÚN TIPO DE EMPRESA 1 995 - 2 015</a:t>
            </a:r>
          </a:p>
        </c:rich>
      </c:tx>
      <c:layout>
        <c:manualLayout>
          <c:xMode val="edge"/>
          <c:yMode val="edge"/>
          <c:x val="0.16837051907481182"/>
          <c:y val="3.2544378698224852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5323655855024881"/>
          <c:y val="0.19526627218934911"/>
          <c:w val="0.81770198053968979"/>
          <c:h val="0.71597633136094674"/>
        </c:manualLayout>
      </c:layout>
      <c:areaChart>
        <c:grouping val="stacked"/>
        <c:varyColors val="0"/>
        <c:ser>
          <c:idx val="0"/>
          <c:order val="0"/>
          <c:tx>
            <c:strRef>
              <c:f>'9.1'!$O$36</c:f>
              <c:strCache>
                <c:ptCount val="1"/>
                <c:pt idx="0">
                  <c:v>Distribuidoras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'9.1'!$N$39:$N$59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'9.1'!$O$39:$O$59</c:f>
              <c:numCache>
                <c:formatCode>#\ ##,000</c:formatCode>
                <c:ptCount val="21"/>
                <c:pt idx="0">
                  <c:v>776779.19139398972</c:v>
                </c:pt>
                <c:pt idx="1">
                  <c:v>822460.27859264216</c:v>
                </c:pt>
                <c:pt idx="2">
                  <c:v>859351.67959043023</c:v>
                </c:pt>
                <c:pt idx="3">
                  <c:v>786060.99965563859</c:v>
                </c:pt>
                <c:pt idx="4">
                  <c:v>778389.13985393988</c:v>
                </c:pt>
                <c:pt idx="5">
                  <c:v>866072.13672822504</c:v>
                </c:pt>
                <c:pt idx="6">
                  <c:v>862632.28368588316</c:v>
                </c:pt>
                <c:pt idx="7">
                  <c:v>862228.11757443007</c:v>
                </c:pt>
                <c:pt idx="8">
                  <c:v>901096.17241545301</c:v>
                </c:pt>
                <c:pt idx="9">
                  <c:v>986870.11767828721</c:v>
                </c:pt>
                <c:pt idx="10">
                  <c:v>1147775.8928376874</c:v>
                </c:pt>
                <c:pt idx="11">
                  <c:v>1222413.6377595204</c:v>
                </c:pt>
                <c:pt idx="12">
                  <c:v>1305447.8754961956</c:v>
                </c:pt>
                <c:pt idx="13">
                  <c:v>1501002.7378177985</c:v>
                </c:pt>
                <c:pt idx="14">
                  <c:v>1675664.7528214001</c:v>
                </c:pt>
                <c:pt idx="15">
                  <c:v>1841104.1163105767</c:v>
                </c:pt>
                <c:pt idx="16">
                  <c:v>2130475.7425380684</c:v>
                </c:pt>
                <c:pt idx="17">
                  <c:v>2474533.5608113483</c:v>
                </c:pt>
                <c:pt idx="18">
                  <c:v>2617666.0377429985</c:v>
                </c:pt>
                <c:pt idx="19">
                  <c:v>2974214.4336703988</c:v>
                </c:pt>
                <c:pt idx="20">
                  <c:v>3137958.6764348825</c:v>
                </c:pt>
              </c:numCache>
            </c:numRef>
          </c:val>
        </c:ser>
        <c:ser>
          <c:idx val="1"/>
          <c:order val="1"/>
          <c:tx>
            <c:strRef>
              <c:f>'9.1'!$P$36</c:f>
              <c:strCache>
                <c:ptCount val="1"/>
                <c:pt idx="0">
                  <c:v>Generadoras</c:v>
                </c:pt>
              </c:strCache>
            </c:strRef>
          </c:tx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Generadoras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'9.1'!$N$39:$N$59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'9.1'!$P$39:$P$59</c:f>
              <c:numCache>
                <c:formatCode>#\ ##,000</c:formatCode>
                <c:ptCount val="21"/>
                <c:pt idx="0">
                  <c:v>49896.810295752563</c:v>
                </c:pt>
                <c:pt idx="1">
                  <c:v>70910.116548175167</c:v>
                </c:pt>
                <c:pt idx="2">
                  <c:v>160185.85702650671</c:v>
                </c:pt>
                <c:pt idx="3">
                  <c:v>202083.97088961289</c:v>
                </c:pt>
                <c:pt idx="4">
                  <c:v>213570.22841279037</c:v>
                </c:pt>
                <c:pt idx="5">
                  <c:v>246997.36354015436</c:v>
                </c:pt>
                <c:pt idx="6">
                  <c:v>276726.23015266506</c:v>
                </c:pt>
                <c:pt idx="7">
                  <c:v>294839.04269330332</c:v>
                </c:pt>
                <c:pt idx="8">
                  <c:v>316113.97125522856</c:v>
                </c:pt>
                <c:pt idx="9">
                  <c:v>395429.89413182059</c:v>
                </c:pt>
                <c:pt idx="10">
                  <c:v>431433.37825869262</c:v>
                </c:pt>
                <c:pt idx="11">
                  <c:v>460755.2665463867</c:v>
                </c:pt>
                <c:pt idx="12">
                  <c:v>525183.78793804673</c:v>
                </c:pt>
                <c:pt idx="13">
                  <c:v>715097.23536556808</c:v>
                </c:pt>
                <c:pt idx="14">
                  <c:v>560393.40099600004</c:v>
                </c:pt>
                <c:pt idx="15">
                  <c:v>607430.91189238196</c:v>
                </c:pt>
                <c:pt idx="16">
                  <c:v>729915.81282072805</c:v>
                </c:pt>
                <c:pt idx="17">
                  <c:v>824591.93851566571</c:v>
                </c:pt>
                <c:pt idx="18">
                  <c:v>918560.29170848709</c:v>
                </c:pt>
                <c:pt idx="19">
                  <c:v>1051131.6818032635</c:v>
                </c:pt>
                <c:pt idx="20">
                  <c:v>1128104.3490953064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170304"/>
        <c:axId val="217171840"/>
      </c:areaChart>
      <c:catAx>
        <c:axId val="21717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717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171840"/>
        <c:scaling>
          <c:orientation val="minMax"/>
          <c:max val="450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Miles de US $</a:t>
                </a:r>
              </a:p>
            </c:rich>
          </c:tx>
          <c:layout>
            <c:manualLayout>
              <c:xMode val="edge"/>
              <c:yMode val="edge"/>
              <c:x val="3.5667107001321002E-2"/>
              <c:y val="0.4053254437869822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7170304"/>
        <c:crosses val="autoZero"/>
        <c:crossBetween val="midCat"/>
        <c:majorUnit val="500000"/>
        <c:minorUnit val="100000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DEl PRECIO MEDIO DE ENERGÍA ELÉCTRICA AL MERCADO LIBRE Y REGULADO 1995 - 2015</a:t>
            </a:r>
          </a:p>
        </c:rich>
      </c:tx>
      <c:layout>
        <c:manualLayout>
          <c:xMode val="edge"/>
          <c:yMode val="edge"/>
          <c:x val="0.13311980070287824"/>
          <c:y val="1.6376687853777314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124122719551371"/>
          <c:y val="0.22092000410749257"/>
          <c:w val="0.86055751908332767"/>
          <c:h val="0.554216867469879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'10,1'!$O$8</c:f>
              <c:strCache>
                <c:ptCount val="1"/>
                <c:pt idx="0">
                  <c:v>Regulados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cat>
            <c:strRef>
              <c:f>'10,1'!$N$10:$N$30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'10,1'!$O$10:$O$30</c:f>
              <c:numCache>
                <c:formatCode>#\ ##,000</c:formatCode>
                <c:ptCount val="21"/>
                <c:pt idx="0">
                  <c:v>10.148610371781364</c:v>
                </c:pt>
                <c:pt idx="1">
                  <c:v>10.37984664865154</c:v>
                </c:pt>
                <c:pt idx="2">
                  <c:v>10.146978053246057</c:v>
                </c:pt>
                <c:pt idx="3">
                  <c:v>8.753240333635766</c:v>
                </c:pt>
                <c:pt idx="4">
                  <c:v>8.3066426364644457</c:v>
                </c:pt>
                <c:pt idx="5">
                  <c:v>8.8063395358146757</c:v>
                </c:pt>
                <c:pt idx="6">
                  <c:v>8.7949736111824013</c:v>
                </c:pt>
                <c:pt idx="7">
                  <c:v>8.2905260118522683</c:v>
                </c:pt>
                <c:pt idx="8">
                  <c:v>8.4395468219330851</c:v>
                </c:pt>
                <c:pt idx="9">
                  <c:v>8.6742016054190874</c:v>
                </c:pt>
                <c:pt idx="10">
                  <c:v>9.4007778088619069</c:v>
                </c:pt>
                <c:pt idx="11">
                  <c:v>9.2054198190234704</c:v>
                </c:pt>
                <c:pt idx="12">
                  <c:v>9.0939060573690185</c:v>
                </c:pt>
                <c:pt idx="13">
                  <c:v>9.5638093579048657</c:v>
                </c:pt>
                <c:pt idx="14">
                  <c:v>10.220209425572106</c:v>
                </c:pt>
                <c:pt idx="15">
                  <c:v>10.459527312900395</c:v>
                </c:pt>
                <c:pt idx="16">
                  <c:v>11.091278800848533</c:v>
                </c:pt>
                <c:pt idx="17">
                  <c:v>12.201537385477197</c:v>
                </c:pt>
                <c:pt idx="18">
                  <c:v>12.233886288512146</c:v>
                </c:pt>
                <c:pt idx="19">
                  <c:v>13.430247970776314</c:v>
                </c:pt>
                <c:pt idx="20">
                  <c:v>13.6635187699158</c:v>
                </c:pt>
              </c:numCache>
            </c:numRef>
          </c:val>
        </c:ser>
        <c:ser>
          <c:idx val="1"/>
          <c:order val="1"/>
          <c:tx>
            <c:strRef>
              <c:f>'10,1'!$P$8</c:f>
              <c:strCache>
                <c:ptCount val="1"/>
                <c:pt idx="0">
                  <c:v>Libres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strRef>
              <c:f>'10,1'!$N$10:$N$30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'10,1'!$P$10:$P$30</c:f>
              <c:numCache>
                <c:formatCode>#\ ##,000</c:formatCode>
                <c:ptCount val="21"/>
                <c:pt idx="0">
                  <c:v>5.0917768788358657</c:v>
                </c:pt>
                <c:pt idx="1">
                  <c:v>5.3374765504742943</c:v>
                </c:pt>
                <c:pt idx="2">
                  <c:v>5.4201200311090698</c:v>
                </c:pt>
                <c:pt idx="3">
                  <c:v>4.9459578496514798</c:v>
                </c:pt>
                <c:pt idx="4">
                  <c:v>4.9301915818936246</c:v>
                </c:pt>
                <c:pt idx="5">
                  <c:v>5.2213140505014408</c:v>
                </c:pt>
                <c:pt idx="6">
                  <c:v>4.7425532789429576</c:v>
                </c:pt>
                <c:pt idx="7">
                  <c:v>4.6821377072021297</c:v>
                </c:pt>
                <c:pt idx="8">
                  <c:v>4.6334748884993324</c:v>
                </c:pt>
                <c:pt idx="9">
                  <c:v>5.2142013164260836</c:v>
                </c:pt>
                <c:pt idx="10">
                  <c:v>5.5617579225654694</c:v>
                </c:pt>
                <c:pt idx="11">
                  <c:v>5.5547819540921299</c:v>
                </c:pt>
                <c:pt idx="12">
                  <c:v>5.4233986202754707</c:v>
                </c:pt>
                <c:pt idx="13">
                  <c:v>6.63741891099464</c:v>
                </c:pt>
                <c:pt idx="14">
                  <c:v>5.7155802776107931</c:v>
                </c:pt>
                <c:pt idx="15">
                  <c:v>5.6126682737488451</c:v>
                </c:pt>
                <c:pt idx="16">
                  <c:v>6.2890521736374838</c:v>
                </c:pt>
                <c:pt idx="17">
                  <c:v>6.7101196509343106</c:v>
                </c:pt>
                <c:pt idx="18">
                  <c:v>7.018399935430935</c:v>
                </c:pt>
                <c:pt idx="19">
                  <c:v>7.4662387275736641</c:v>
                </c:pt>
                <c:pt idx="20">
                  <c:v>7.2738627275736798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443008"/>
        <c:axId val="198444544"/>
      </c:barChart>
      <c:catAx>
        <c:axId val="198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84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444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Cent. US $/kWh</a:t>
                </a:r>
              </a:p>
            </c:rich>
          </c:tx>
          <c:layout>
            <c:manualLayout>
              <c:xMode val="edge"/>
              <c:yMode val="edge"/>
              <c:x val="3.6890727642095583E-2"/>
              <c:y val="0.392203459507320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8443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0579776680457313"/>
          <c:y val="0.88855421686746983"/>
          <c:w val="0.20421632041757487"/>
          <c:h val="7.8313253012048167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DEL PRECIO MEDIO DE ENERGÍA POR TIPO DE EMPRESA
1995 - 2015</a:t>
            </a:r>
          </a:p>
        </c:rich>
      </c:tx>
      <c:layout>
        <c:manualLayout>
          <c:xMode val="edge"/>
          <c:yMode val="edge"/>
          <c:x val="0.2083495656437023"/>
          <c:y val="3.3484929428069278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275017456707546"/>
          <c:y val="0.23372781065088757"/>
          <c:w val="0.86786807075866179"/>
          <c:h val="0.55128623527736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'10,1'!$O$37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</c:spPr>
          <c:invertIfNegative val="0"/>
          <c:cat>
            <c:strRef>
              <c:f>'10,1'!$N$40:$N$60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'10,1'!$O$40:$O$60</c:f>
              <c:numCache>
                <c:formatCode>#\ ##,000</c:formatCode>
                <c:ptCount val="21"/>
                <c:pt idx="0">
                  <c:v>8.9555606852646115</c:v>
                </c:pt>
                <c:pt idx="1">
                  <c:v>9.3774573213785253</c:v>
                </c:pt>
                <c:pt idx="2">
                  <c:v>9.1635885122824927</c:v>
                </c:pt>
                <c:pt idx="3">
                  <c:v>7.9571609356886182</c:v>
                </c:pt>
                <c:pt idx="4">
                  <c:v>7.6320210282889089</c:v>
                </c:pt>
                <c:pt idx="5">
                  <c:v>8.0465527241033001</c:v>
                </c:pt>
                <c:pt idx="6">
                  <c:v>8.1980760639170676</c:v>
                </c:pt>
                <c:pt idx="7">
                  <c:v>7.758352080828165</c:v>
                </c:pt>
                <c:pt idx="8">
                  <c:v>7.971753161907678</c:v>
                </c:pt>
                <c:pt idx="9">
                  <c:v>8.2230231770089492</c:v>
                </c:pt>
                <c:pt idx="10">
                  <c:v>8.8884914595819442</c:v>
                </c:pt>
                <c:pt idx="11">
                  <c:v>8.7025840778489254</c:v>
                </c:pt>
                <c:pt idx="12">
                  <c:v>8.6843545064319656</c:v>
                </c:pt>
                <c:pt idx="13">
                  <c:v>9.2102011270063144</c:v>
                </c:pt>
                <c:pt idx="14">
                  <c:v>9.8347670342884221</c:v>
                </c:pt>
                <c:pt idx="15">
                  <c:v>10.118555763056673</c:v>
                </c:pt>
                <c:pt idx="16" formatCode="#,#\ ##,000">
                  <c:v>10.785558411402899</c:v>
                </c:pt>
                <c:pt idx="17" formatCode="#,#\ ##,000">
                  <c:v>11.813141103914758</c:v>
                </c:pt>
                <c:pt idx="18" formatCode="#,#\ ##,000">
                  <c:v>11.933029674417638</c:v>
                </c:pt>
                <c:pt idx="19" formatCode="#,#\ ##,000">
                  <c:v>13.055122860006383</c:v>
                </c:pt>
                <c:pt idx="20" formatCode="#,#\ ##,000">
                  <c:v>13.306050232825701</c:v>
                </c:pt>
              </c:numCache>
            </c:numRef>
          </c:val>
        </c:ser>
        <c:ser>
          <c:idx val="1"/>
          <c:order val="1"/>
          <c:tx>
            <c:strRef>
              <c:f>'10,1'!$P$37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</c:spPr>
          <c:invertIfNegative val="0"/>
          <c:cat>
            <c:strRef>
              <c:f>'10,1'!$N$40:$N$60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'10,1'!$P$40:$P$60</c:f>
              <c:numCache>
                <c:formatCode>#\ ##,000</c:formatCode>
                <c:ptCount val="21"/>
                <c:pt idx="0">
                  <c:v>4.2445573090579085</c:v>
                </c:pt>
                <c:pt idx="1">
                  <c:v>4.5448535324028105</c:v>
                </c:pt>
                <c:pt idx="2">
                  <c:v>5.2121175208150961</c:v>
                </c:pt>
                <c:pt idx="3">
                  <c:v>4.8931747664703975</c:v>
                </c:pt>
                <c:pt idx="4">
                  <c:v>4.8616026075361827</c:v>
                </c:pt>
                <c:pt idx="5">
                  <c:v>5.1647954842633439</c:v>
                </c:pt>
                <c:pt idx="6">
                  <c:v>4.5317559390314024</c:v>
                </c:pt>
                <c:pt idx="7">
                  <c:v>4.5417296862557039</c:v>
                </c:pt>
                <c:pt idx="8">
                  <c:v>4.4701131993241967</c:v>
                </c:pt>
                <c:pt idx="9">
                  <c:v>5.1762271900611463</c:v>
                </c:pt>
                <c:pt idx="10">
                  <c:v>5.5416076080909722</c:v>
                </c:pt>
                <c:pt idx="11">
                  <c:v>5.581447756240201</c:v>
                </c:pt>
                <c:pt idx="12">
                  <c:v>5.4200951405339648</c:v>
                </c:pt>
                <c:pt idx="13">
                  <c:v>6.703677483775019</c:v>
                </c:pt>
                <c:pt idx="14">
                  <c:v>5.6537603270098931</c:v>
                </c:pt>
                <c:pt idx="15">
                  <c:v>5.4037809461686521</c:v>
                </c:pt>
                <c:pt idx="16" formatCode="#,#\ ##,000">
                  <c:v>6.048703533336055</c:v>
                </c:pt>
                <c:pt idx="17" formatCode="#,#\ ##,000">
                  <c:v>6.4923946475231222</c:v>
                </c:pt>
                <c:pt idx="18" formatCode="#,#\ ##,000">
                  <c:v>6.7174837111051282</c:v>
                </c:pt>
                <c:pt idx="19" formatCode="#,#\ ##,000">
                  <c:v>7.2263562019802521</c:v>
                </c:pt>
                <c:pt idx="20" formatCode="#,#\ ##,000">
                  <c:v>6.9968602657648633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486656"/>
        <c:axId val="198492544"/>
      </c:barChart>
      <c:catAx>
        <c:axId val="198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849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49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Cent. US $/kWh</a:t>
                </a:r>
              </a:p>
            </c:rich>
          </c:tx>
          <c:layout>
            <c:manualLayout>
              <c:xMode val="edge"/>
              <c:yMode val="edge"/>
              <c:x val="3.6988144135741578E-2"/>
              <c:y val="0.319526475119813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848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760939620588431"/>
          <c:y val="0.89770809622248549"/>
          <c:w val="0.34874535899413489"/>
          <c:h val="8.2840220193714731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PORCENTAJE DE PÉRDIDAS DE ENERGÍA ELÉCTRICA EN  DISTRIBUCIÓN 1 995 - 2 015</a:t>
            </a:r>
          </a:p>
        </c:rich>
      </c:tx>
      <c:layout>
        <c:manualLayout>
          <c:xMode val="edge"/>
          <c:yMode val="edge"/>
          <c:x val="0.18809904704859595"/>
          <c:y val="2.3986821467136429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8.7745904454886392E-2"/>
          <c:y val="0.21588115486531054"/>
          <c:w val="0.88824461772100205"/>
          <c:h val="0.58809004256412178"/>
        </c:manualLayout>
      </c:layout>
      <c:lineChart>
        <c:grouping val="standard"/>
        <c:varyColors val="0"/>
        <c:ser>
          <c:idx val="0"/>
          <c:order val="0"/>
          <c:spPr>
            <a:ln w="31750"/>
          </c:spPr>
          <c:marker>
            <c:symbol val="circle"/>
            <c:size val="7"/>
            <c:spPr>
              <a:solidFill>
                <a:schemeClr val="tx2"/>
              </a:solidFill>
            </c:spPr>
          </c:marker>
          <c:dLbls>
            <c:dLbl>
              <c:idx val="0"/>
              <c:layout>
                <c:manualLayout>
                  <c:x val="-1.2203645668170327E-2"/>
                  <c:y val="-5.01091590368201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5975705964585724E-2"/>
                  <c:y val="4.2919823609436608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17,0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7910509923708243E-2"/>
                  <c:y val="3.125721945880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178128401563113E-2"/>
                  <c:y val="3.396688186054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8497188565961908E-2"/>
                  <c:y val="4.531176195533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3790527887088713E-2"/>
                  <c:y val="4.6473157490372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032425521671684E-2"/>
                  <c:y val="4.9857770875613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7402927372614319E-2"/>
                  <c:y val="5.0632034565638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6644825007197256E-2"/>
                  <c:y val="5.985187426204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4963726341222891E-2"/>
                  <c:y val="5.859230127518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7821367770529572E-2"/>
                  <c:y val="5.89794331201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4627567513292441E-2"/>
                  <c:y val="6.255497873282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0510929785871029E-2"/>
                  <c:y val="6.1107315113376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3.7317129528633898E-2"/>
                  <c:y val="5.95895673920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1097578729758622E-2"/>
                  <c:y val="6.5497308331953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2442442317531225E-2"/>
                  <c:y val="6.20753036501068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7.8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2274396762211381E-2"/>
                  <c:y val="6.3620470864565348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7.6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8239972380631501E-2"/>
                  <c:y val="6.7730407572927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0257184571421441E-2"/>
                  <c:y val="5.972239956491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3.0353020452475135E-2"/>
                  <c:y val="5.047220448795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5356576862123614E-2"/>
                  <c:y val="-6.006006006005998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'11'!$B$7:$B$27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 *</c:v>
                </c:pt>
              </c:strCache>
            </c:strRef>
          </c:cat>
          <c:val>
            <c:numRef>
              <c:f>'11'!$C$7:$C$27</c:f>
              <c:numCache>
                <c:formatCode>#,#00</c:formatCode>
                <c:ptCount val="21"/>
                <c:pt idx="0" formatCode="General">
                  <c:v>19.7</c:v>
                </c:pt>
                <c:pt idx="1">
                  <c:v>17</c:v>
                </c:pt>
                <c:pt idx="2" formatCode="General">
                  <c:v>14.5</c:v>
                </c:pt>
                <c:pt idx="3" formatCode="General">
                  <c:v>12.4</c:v>
                </c:pt>
                <c:pt idx="4" formatCode="General">
                  <c:v>11.3</c:v>
                </c:pt>
                <c:pt idx="5" formatCode="General">
                  <c:v>10.4</c:v>
                </c:pt>
                <c:pt idx="6" formatCode="General">
                  <c:v>9.6999999999999993</c:v>
                </c:pt>
                <c:pt idx="7">
                  <c:v>9.1</c:v>
                </c:pt>
                <c:pt idx="8">
                  <c:v>9.07</c:v>
                </c:pt>
                <c:pt idx="9">
                  <c:v>8.6999999999999993</c:v>
                </c:pt>
                <c:pt idx="10">
                  <c:v>8.4</c:v>
                </c:pt>
                <c:pt idx="11">
                  <c:v>8.5519999999999996</c:v>
                </c:pt>
                <c:pt idx="12">
                  <c:v>8.1739999999999995</c:v>
                </c:pt>
                <c:pt idx="13">
                  <c:v>8.0039999999999996</c:v>
                </c:pt>
                <c:pt idx="14">
                  <c:v>7.85</c:v>
                </c:pt>
                <c:pt idx="15">
                  <c:v>7.81</c:v>
                </c:pt>
                <c:pt idx="16">
                  <c:v>7.5990000000000002</c:v>
                </c:pt>
                <c:pt idx="17">
                  <c:v>7.7190000000000003</c:v>
                </c:pt>
                <c:pt idx="18">
                  <c:v>7.468</c:v>
                </c:pt>
                <c:pt idx="19">
                  <c:v>7.4</c:v>
                </c:pt>
                <c:pt idx="20">
                  <c:v>7.45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12640"/>
        <c:axId val="218914176"/>
      </c:lineChart>
      <c:catAx>
        <c:axId val="2189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914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18914176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%</a:t>
                </a:r>
              </a:p>
            </c:rich>
          </c:tx>
          <c:layout>
            <c:manualLayout>
              <c:xMode val="edge"/>
              <c:yMode val="edge"/>
              <c:x val="7.5643793337243298E-3"/>
              <c:y val="0.481390051468791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912640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DEL CONSUMO DE ENERGÍA ELÉCTRICA POR TIPO DE EMPRESA 1 995 - 2 015</a:t>
            </a:r>
          </a:p>
        </c:rich>
      </c:tx>
      <c:layout>
        <c:manualLayout>
          <c:xMode val="edge"/>
          <c:yMode val="edge"/>
          <c:x val="0.17382059509598852"/>
          <c:y val="2.7522156547407702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2285581826611033"/>
          <c:y val="0.26790450928381965"/>
          <c:w val="0.83031988873435325"/>
          <c:h val="0.51458885941644561"/>
        </c:manualLayout>
      </c:layout>
      <c:lineChart>
        <c:grouping val="standard"/>
        <c:varyColors val="0"/>
        <c:ser>
          <c:idx val="0"/>
          <c:order val="0"/>
          <c:tx>
            <c:v>Consumo total</c:v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CC00"/>
              </a:solidFill>
              <a:ln>
                <a:solidFill>
                  <a:srgbClr val="00008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layout>
                <c:manualLayout>
                  <c:x val="-3.7014809866430118E-2"/>
                  <c:y val="-6.0973426067099636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13 623.1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delete val="1"/>
            </c:dLbl>
            <c:dLbl>
              <c:idx val="19"/>
              <c:delete val="1"/>
            </c:dLbl>
            <c:dLbl>
              <c:idx val="20"/>
              <c:layout>
                <c:manualLayout>
                  <c:x val="-1.1916083507642212E-2"/>
                  <c:y val="-7.8169830893154241E-2"/>
                </c:manualLayout>
              </c:layout>
              <c:tx>
                <c:rich>
                  <a:bodyPr/>
                  <a:lstStyle/>
                  <a:p>
                    <a:r>
                      <a:rPr lang="es-PE"/>
                      <a:t>42 225,7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'12'!$B$8:$B$28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'12'!$C$8:$C$28</c:f>
              <c:numCache>
                <c:formatCode>#\ #,#00</c:formatCode>
                <c:ptCount val="21"/>
                <c:pt idx="0">
                  <c:v>13623.056128000004</c:v>
                </c:pt>
                <c:pt idx="1">
                  <c:v>14303.139597999991</c:v>
                </c:pt>
                <c:pt idx="2">
                  <c:v>15056.08015999999</c:v>
                </c:pt>
                <c:pt idx="3">
                  <c:v>15775.176823</c:v>
                </c:pt>
                <c:pt idx="4">
                  <c:v>16274.991559000011</c:v>
                </c:pt>
                <c:pt idx="5">
                  <c:v>17140.395011000015</c:v>
                </c:pt>
                <c:pt idx="6">
                  <c:v>18199.95454499999</c:v>
                </c:pt>
                <c:pt idx="7">
                  <c:v>19168.140412848003</c:v>
                </c:pt>
                <c:pt idx="8">
                  <c:v>19937.226353999995</c:v>
                </c:pt>
                <c:pt idx="9">
                  <c:v>21287.724389999999</c:v>
                </c:pt>
                <c:pt idx="10">
                  <c:v>22400.244750429476</c:v>
                </c:pt>
                <c:pt idx="11">
                  <c:v>24046.126090621408</c:v>
                </c:pt>
                <c:pt idx="12">
                  <c:v>26464.304604659999</c:v>
                </c:pt>
                <c:pt idx="13">
                  <c:v>28833.06706300001</c:v>
                </c:pt>
                <c:pt idx="14">
                  <c:v>29109.838815000003</c:v>
                </c:pt>
                <c:pt idx="15">
                  <c:v>31798.367258000002</c:v>
                </c:pt>
                <c:pt idx="16">
                  <c:v>34378.27911780111</c:v>
                </c:pt>
                <c:pt idx="17">
                  <c:v>36323.139667407937</c:v>
                </c:pt>
                <c:pt idx="18">
                  <c:v>38278.262203306404</c:v>
                </c:pt>
                <c:pt idx="19">
                  <c:v>40031.348837332138</c:v>
                </c:pt>
                <c:pt idx="20">
                  <c:v>42225.674015145254</c:v>
                </c:pt>
              </c:numCache>
            </c:numRef>
          </c:val>
          <c:smooth val="0"/>
        </c:ser>
        <c:ser>
          <c:idx val="1"/>
          <c:order val="1"/>
          <c:tx>
            <c:v>Ventas Distribuidoras</c:v>
          </c:tx>
          <c:spPr>
            <a:ln w="31750">
              <a:solidFill>
                <a:schemeClr val="tx2"/>
              </a:solidFill>
            </a:ln>
          </c:spPr>
          <c:marker>
            <c:symbol val="circ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/>
                </a:solidFill>
              </a:ln>
            </c:spPr>
          </c:marker>
          <c:dLbls>
            <c:dLbl>
              <c:idx val="19"/>
              <c:layout>
                <c:manualLayout>
                  <c:x val="-5.5632823365785811E-3"/>
                  <c:y val="-6.7197170645446502E-2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/>
                      <a:t>23 582.9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'12'!$B$8:$B$28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'12'!$E$8:$E$28</c:f>
              <c:numCache>
                <c:formatCode>#\ #,#00</c:formatCode>
                <c:ptCount val="21"/>
                <c:pt idx="0">
                  <c:v>8673.7080870000045</c:v>
                </c:pt>
                <c:pt idx="1">
                  <c:v>8770.6107359999914</c:v>
                </c:pt>
                <c:pt idx="2">
                  <c:v>9377.8946799999903</c:v>
                </c:pt>
                <c:pt idx="3">
                  <c:v>9878.6615729999976</c:v>
                </c:pt>
                <c:pt idx="4">
                  <c:v>10198.991027000011</c:v>
                </c:pt>
                <c:pt idx="5">
                  <c:v>10763.269271000014</c:v>
                </c:pt>
                <c:pt idx="6">
                  <c:v>10522.374724999987</c:v>
                </c:pt>
                <c:pt idx="7">
                  <c:v>11113.547163000001</c:v>
                </c:pt>
                <c:pt idx="8">
                  <c:v>11303.613572999999</c:v>
                </c:pt>
                <c:pt idx="9">
                  <c:v>12001.305316</c:v>
                </c:pt>
                <c:pt idx="10">
                  <c:v>12914.287800222222</c:v>
                </c:pt>
                <c:pt idx="11">
                  <c:v>14043.638326999999</c:v>
                </c:pt>
                <c:pt idx="12">
                  <c:v>15032.180854999999</c:v>
                </c:pt>
                <c:pt idx="13">
                  <c:v>16297.176545000008</c:v>
                </c:pt>
                <c:pt idx="14">
                  <c:v>17000.664145000002</c:v>
                </c:pt>
                <c:pt idx="15">
                  <c:v>18195.325098000001</c:v>
                </c:pt>
                <c:pt idx="16">
                  <c:v>19753.040698251105</c:v>
                </c:pt>
                <c:pt idx="17">
                  <c:v>20947.295380999996</c:v>
                </c:pt>
                <c:pt idx="18">
                  <c:v>21938.578438999997</c:v>
                </c:pt>
                <c:pt idx="19">
                  <c:v>22781.971993398343</c:v>
                </c:pt>
                <c:pt idx="20">
                  <c:v>23582.947281861023</c:v>
                </c:pt>
              </c:numCache>
            </c:numRef>
          </c:val>
          <c:smooth val="0"/>
        </c:ser>
        <c:ser>
          <c:idx val="2"/>
          <c:order val="2"/>
          <c:tx>
            <c:v>Ventas Generadoras</c:v>
          </c:tx>
          <c:spPr>
            <a:ln w="31750">
              <a:solidFill>
                <a:schemeClr val="accent3"/>
              </a:solidFill>
            </a:ln>
          </c:spPr>
          <c:marker>
            <c:symbol val="circle"/>
            <c:size val="7"/>
            <c:spPr>
              <a:solidFill>
                <a:schemeClr val="accent3">
                  <a:lumMod val="60000"/>
                  <a:lumOff val="40000"/>
                </a:schemeClr>
              </a:solidFill>
            </c:spPr>
          </c:marker>
          <c:dLbls>
            <c:dLbl>
              <c:idx val="19"/>
              <c:layout>
                <c:manualLayout>
                  <c:x val="-5.5632823365785811E-3"/>
                  <c:y val="-5.3050397877984087E-2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/>
                      <a:t>16 123,0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'12'!$B$8:$B$28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'12'!$F$8:$F$28</c:f>
              <c:numCache>
                <c:formatCode>#\ #,#00</c:formatCode>
                <c:ptCount val="21"/>
                <c:pt idx="0">
                  <c:v>1175.548041</c:v>
                </c:pt>
                <c:pt idx="1">
                  <c:v>1560.2288619999999</c:v>
                </c:pt>
                <c:pt idx="2">
                  <c:v>3073.3354799999997</c:v>
                </c:pt>
                <c:pt idx="3">
                  <c:v>4129.9152500000009</c:v>
                </c:pt>
                <c:pt idx="4">
                  <c:v>4393.000532</c:v>
                </c:pt>
                <c:pt idx="5">
                  <c:v>4782.3261210000001</c:v>
                </c:pt>
                <c:pt idx="6">
                  <c:v>6106.3798200000001</c:v>
                </c:pt>
                <c:pt idx="7">
                  <c:v>6491.7787508479996</c:v>
                </c:pt>
                <c:pt idx="8">
                  <c:v>7071.7218369999982</c:v>
                </c:pt>
                <c:pt idx="9">
                  <c:v>7639.3457940000008</c:v>
                </c:pt>
                <c:pt idx="10">
                  <c:v>7787.095080000001</c:v>
                </c:pt>
                <c:pt idx="11">
                  <c:v>8246.4228259999982</c:v>
                </c:pt>
                <c:pt idx="12">
                  <c:v>9689.5676979999989</c:v>
                </c:pt>
                <c:pt idx="13">
                  <c:v>10667.238051000004</c:v>
                </c:pt>
                <c:pt idx="14">
                  <c:v>10086.341632</c:v>
                </c:pt>
                <c:pt idx="15">
                  <c:v>11240.850026</c:v>
                </c:pt>
                <c:pt idx="16">
                  <c:v>12067.310107000005</c:v>
                </c:pt>
                <c:pt idx="17">
                  <c:v>12700.890554</c:v>
                </c:pt>
                <c:pt idx="18">
                  <c:v>13674.172223</c:v>
                </c:pt>
                <c:pt idx="19">
                  <c:v>14545.805000800003</c:v>
                </c:pt>
                <c:pt idx="20">
                  <c:v>16123.008124301699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'12'!$G$5:$G$6</c:f>
              <c:strCache>
                <c:ptCount val="1"/>
                <c:pt idx="0">
                  <c:v>Generación de uso propio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0C0C0"/>
              </a:solidFill>
              <a:ln>
                <a:solidFill>
                  <a:srgbClr val="666699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19"/>
              <c:layout>
                <c:manualLayout>
                  <c:x val="1.8544274455261937E-3"/>
                  <c:y val="-4.951370468611848E-2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PE"/>
                      <a:t>2 519,7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'12'!$B$8:$B$28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'12'!$G$8:$G$28</c:f>
              <c:numCache>
                <c:formatCode>#\ #,#00</c:formatCode>
                <c:ptCount val="21"/>
                <c:pt idx="0">
                  <c:v>3773.8</c:v>
                </c:pt>
                <c:pt idx="1">
                  <c:v>3972.3</c:v>
                </c:pt>
                <c:pt idx="2">
                  <c:v>2604.85</c:v>
                </c:pt>
                <c:pt idx="3">
                  <c:v>1766.6</c:v>
                </c:pt>
                <c:pt idx="4">
                  <c:v>1683</c:v>
                </c:pt>
                <c:pt idx="5">
                  <c:v>1594.7996189999999</c:v>
                </c:pt>
                <c:pt idx="6">
                  <c:v>1571.2</c:v>
                </c:pt>
                <c:pt idx="7">
                  <c:v>1562.8144990000035</c:v>
                </c:pt>
                <c:pt idx="8">
                  <c:v>1561.8909439999998</c:v>
                </c:pt>
                <c:pt idx="9">
                  <c:v>1647.0732800000003</c:v>
                </c:pt>
                <c:pt idx="10">
                  <c:v>1698.8618702072531</c:v>
                </c:pt>
                <c:pt idx="11">
                  <c:v>1756.0649376214139</c:v>
                </c:pt>
                <c:pt idx="12">
                  <c:v>1742.5560516600001</c:v>
                </c:pt>
                <c:pt idx="13">
                  <c:v>1868.6524669999999</c:v>
                </c:pt>
                <c:pt idx="14">
                  <c:v>2022.8330379999998</c:v>
                </c:pt>
                <c:pt idx="15">
                  <c:v>2362.1921340000008</c:v>
                </c:pt>
                <c:pt idx="16">
                  <c:v>2557.9283125500001</c:v>
                </c:pt>
                <c:pt idx="17">
                  <c:v>2674.9537324079452</c:v>
                </c:pt>
                <c:pt idx="18">
                  <c:v>2665.5115413064059</c:v>
                </c:pt>
                <c:pt idx="19">
                  <c:v>2703.5718431337964</c:v>
                </c:pt>
                <c:pt idx="20">
                  <c:v>2519.7186089825373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70336"/>
        <c:axId val="218276224"/>
      </c:lineChart>
      <c:catAx>
        <c:axId val="2182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27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7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483541956420955E-2"/>
              <c:y val="0.3952254641909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27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1404728789986"/>
          <c:y val="0.86737400530503983"/>
          <c:w val="0.62447844228094573"/>
          <c:h val="0.1061007957559682"/>
        </c:manualLayout>
      </c:layout>
      <c:overlay val="0"/>
      <c:txPr>
        <a:bodyPr/>
        <a:lstStyle/>
        <a:p>
          <a:pPr>
            <a:defRPr sz="7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DEL CONSUMO DE ENERGÍA ELÉCTRICA 
1995 - 2015</a:t>
            </a:r>
          </a:p>
        </c:rich>
      </c:tx>
      <c:layout>
        <c:manualLayout>
          <c:xMode val="edge"/>
          <c:yMode val="edge"/>
          <c:x val="0.23622090095880871"/>
          <c:y val="4.6954289638000628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4444464036002652"/>
          <c:y val="0.21850899742930591"/>
          <c:w val="0.79722330352553106"/>
          <c:h val="0.56041131105398456"/>
        </c:manualLayout>
      </c:layout>
      <c:areaChart>
        <c:grouping val="stacked"/>
        <c:varyColors val="0"/>
        <c:ser>
          <c:idx val="0"/>
          <c:order val="0"/>
          <c:tx>
            <c:strRef>
              <c:f>'12'!$D$5</c:f>
              <c:strCache>
                <c:ptCount val="1"/>
                <c:pt idx="0">
                  <c:v>Ventas a Cliente Final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 sz="1100" b="1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Ventas a Cliente Final</a:t>
                    </a:r>
                    <a:endParaRPr lang="es-PE" sz="11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endParaRPr lang="es-PE" sz="11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'12'!$B$8:$B$28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'12'!$D$8:$D$28</c:f>
              <c:numCache>
                <c:formatCode>#\ #,#00</c:formatCode>
                <c:ptCount val="21"/>
                <c:pt idx="0">
                  <c:v>9849.2561280000045</c:v>
                </c:pt>
                <c:pt idx="1">
                  <c:v>10330.839597999991</c:v>
                </c:pt>
                <c:pt idx="2">
                  <c:v>12451.23015999999</c:v>
                </c:pt>
                <c:pt idx="3">
                  <c:v>14008.576822999999</c:v>
                </c:pt>
                <c:pt idx="4">
                  <c:v>14591.991559000011</c:v>
                </c:pt>
                <c:pt idx="5">
                  <c:v>15545.595392000014</c:v>
                </c:pt>
                <c:pt idx="6">
                  <c:v>16628.754544999989</c:v>
                </c:pt>
                <c:pt idx="7">
                  <c:v>17605.325913847999</c:v>
                </c:pt>
                <c:pt idx="8">
                  <c:v>18375.335409999996</c:v>
                </c:pt>
                <c:pt idx="9">
                  <c:v>19640.651109999999</c:v>
                </c:pt>
                <c:pt idx="10">
                  <c:v>20701.382880222223</c:v>
                </c:pt>
                <c:pt idx="11">
                  <c:v>22290.061152999995</c:v>
                </c:pt>
                <c:pt idx="12">
                  <c:v>24721.748552999998</c:v>
                </c:pt>
                <c:pt idx="13">
                  <c:v>26964.41459600001</c:v>
                </c:pt>
                <c:pt idx="14">
                  <c:v>27087.005777000002</c:v>
                </c:pt>
                <c:pt idx="15">
                  <c:v>29436.175124000001</c:v>
                </c:pt>
                <c:pt idx="16">
                  <c:v>31820.35080525111</c:v>
                </c:pt>
                <c:pt idx="17">
                  <c:v>33648.185934999994</c:v>
                </c:pt>
                <c:pt idx="18">
                  <c:v>35612.750661999999</c:v>
                </c:pt>
                <c:pt idx="19">
                  <c:v>37327.776994198342</c:v>
                </c:pt>
                <c:pt idx="20">
                  <c:v>39705.95540616272</c:v>
                </c:pt>
              </c:numCache>
            </c:numRef>
          </c:val>
        </c:ser>
        <c:ser>
          <c:idx val="1"/>
          <c:order val="1"/>
          <c:tx>
            <c:strRef>
              <c:f>'12'!$G$5:$G$6</c:f>
              <c:strCache>
                <c:ptCount val="1"/>
                <c:pt idx="0">
                  <c:v>Generación de uso propio</c:v>
                </c:pt>
              </c:strCache>
            </c:strRef>
          </c:tx>
          <c:spPr>
            <a:solidFill>
              <a:schemeClr val="accent6"/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PE"/>
                      <a:t>Generación de Uso Propio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'12'!$B$8:$B$28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'12'!$G$8:$G$28</c:f>
              <c:numCache>
                <c:formatCode>#\ #,#00</c:formatCode>
                <c:ptCount val="21"/>
                <c:pt idx="0">
                  <c:v>3773.8</c:v>
                </c:pt>
                <c:pt idx="1">
                  <c:v>3972.3</c:v>
                </c:pt>
                <c:pt idx="2">
                  <c:v>2604.85</c:v>
                </c:pt>
                <c:pt idx="3">
                  <c:v>1766.6</c:v>
                </c:pt>
                <c:pt idx="4">
                  <c:v>1683</c:v>
                </c:pt>
                <c:pt idx="5">
                  <c:v>1594.7996189999999</c:v>
                </c:pt>
                <c:pt idx="6">
                  <c:v>1571.2</c:v>
                </c:pt>
                <c:pt idx="7">
                  <c:v>1562.8144990000035</c:v>
                </c:pt>
                <c:pt idx="8">
                  <c:v>1561.8909439999998</c:v>
                </c:pt>
                <c:pt idx="9">
                  <c:v>1647.0732800000003</c:v>
                </c:pt>
                <c:pt idx="10">
                  <c:v>1698.8618702072531</c:v>
                </c:pt>
                <c:pt idx="11">
                  <c:v>1756.0649376214139</c:v>
                </c:pt>
                <c:pt idx="12">
                  <c:v>1742.5560516600001</c:v>
                </c:pt>
                <c:pt idx="13">
                  <c:v>1868.6524669999999</c:v>
                </c:pt>
                <c:pt idx="14">
                  <c:v>2022.8330379999998</c:v>
                </c:pt>
                <c:pt idx="15">
                  <c:v>2362.1921340000008</c:v>
                </c:pt>
                <c:pt idx="16">
                  <c:v>2557.9283125500001</c:v>
                </c:pt>
                <c:pt idx="17">
                  <c:v>2674.9537324079452</c:v>
                </c:pt>
                <c:pt idx="18">
                  <c:v>2665.5115413064059</c:v>
                </c:pt>
                <c:pt idx="19">
                  <c:v>2703.5718431337964</c:v>
                </c:pt>
                <c:pt idx="20">
                  <c:v>2519.7186089825373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461696"/>
        <c:axId val="218463232"/>
      </c:areaChart>
      <c:catAx>
        <c:axId val="2184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46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46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1947970789365615E-2"/>
              <c:y val="0.462533418041571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46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5972253468316464"/>
          <c:y val="0.92030854333917311"/>
          <c:w val="0.51527844733694006"/>
          <c:h val="4.3701749995187056E-2"/>
        </c:manualLayout>
      </c:layout>
      <c:overlay val="0"/>
      <c:txPr>
        <a:bodyPr/>
        <a:lstStyle/>
        <a:p>
          <a:pPr>
            <a:defRPr sz="7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VENTA DE ENERGÍA ELÉCTRICA POR SECTORES DE CONSUMO  1 995 - 2 015
</a:t>
            </a:r>
          </a:p>
        </c:rich>
      </c:tx>
      <c:layout>
        <c:manualLayout>
          <c:xMode val="edge"/>
          <c:yMode val="edge"/>
          <c:x val="0.15621845346254795"/>
          <c:y val="2.6803575228772077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128217808766286"/>
          <c:y val="0.16666703324498797"/>
          <c:w val="0.80641126603974611"/>
          <c:h val="0.6959474766581254"/>
        </c:manualLayout>
      </c:layout>
      <c:areaChart>
        <c:grouping val="stacked"/>
        <c:varyColors val="0"/>
        <c:ser>
          <c:idx val="0"/>
          <c:order val="0"/>
          <c:tx>
            <c:strRef>
              <c:f>'13'!$B$5:$B$6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2"/>
            </a:solidFill>
            <a:effectLst/>
          </c:spPr>
          <c:cat>
            <c:strRef>
              <c:f>'13'!$A$8:$A$28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'13'!$B$8:$B$28</c:f>
              <c:numCache>
                <c:formatCode>#\ #,#00</c:formatCode>
                <c:ptCount val="21"/>
                <c:pt idx="0">
                  <c:v>3963.76629</c:v>
                </c:pt>
                <c:pt idx="1">
                  <c:v>4305.2964009999996</c:v>
                </c:pt>
                <c:pt idx="2">
                  <c:v>6058.1311180000002</c:v>
                </c:pt>
                <c:pt idx="3">
                  <c:v>7473.8484369999996</c:v>
                </c:pt>
                <c:pt idx="4">
                  <c:v>7855.6</c:v>
                </c:pt>
                <c:pt idx="5">
                  <c:v>8375.0166531150007</c:v>
                </c:pt>
                <c:pt idx="6">
                  <c:v>9280.5600399650011</c:v>
                </c:pt>
                <c:pt idx="7">
                  <c:v>9567.6060768480002</c:v>
                </c:pt>
                <c:pt idx="8">
                  <c:v>10038.680803439998</c:v>
                </c:pt>
                <c:pt idx="9">
                  <c:v>10813.356356900718</c:v>
                </c:pt>
                <c:pt idx="10">
                  <c:v>11280.688346002735</c:v>
                </c:pt>
                <c:pt idx="11">
                  <c:v>12136.089942735412</c:v>
                </c:pt>
                <c:pt idx="12">
                  <c:v>13798.540004759721</c:v>
                </c:pt>
                <c:pt idx="13">
                  <c:v>15437.253867346535</c:v>
                </c:pt>
                <c:pt idx="14">
                  <c:v>14942.95020594519</c:v>
                </c:pt>
                <c:pt idx="15">
                  <c:v>16434.708415297537</c:v>
                </c:pt>
                <c:pt idx="16">
                  <c:v>17841.423398594416</c:v>
                </c:pt>
                <c:pt idx="17">
                  <c:v>18690.461999999996</c:v>
                </c:pt>
                <c:pt idx="18">
                  <c:v>19214.618997431797</c:v>
                </c:pt>
                <c:pt idx="19">
                  <c:v>20739.148158269898</c:v>
                </c:pt>
                <c:pt idx="20">
                  <c:v>22002.545581787104</c:v>
                </c:pt>
              </c:numCache>
            </c:numRef>
          </c:val>
        </c:ser>
        <c:ser>
          <c:idx val="1"/>
          <c:order val="1"/>
          <c:tx>
            <c:strRef>
              <c:f>'13'!$C$5:$C$6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'13'!$A$8:$A$28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'13'!$C$8:$C$28</c:f>
              <c:numCache>
                <c:formatCode>#\ #,#00</c:formatCode>
                <c:ptCount val="21"/>
                <c:pt idx="0">
                  <c:v>2248.6685050000001</c:v>
                </c:pt>
                <c:pt idx="1">
                  <c:v>2350.988429</c:v>
                </c:pt>
                <c:pt idx="2">
                  <c:v>2480.103368</c:v>
                </c:pt>
                <c:pt idx="3">
                  <c:v>2360.432139</c:v>
                </c:pt>
                <c:pt idx="4">
                  <c:v>2420.3000000000002</c:v>
                </c:pt>
                <c:pt idx="5">
                  <c:v>2693.3458028849996</c:v>
                </c:pt>
                <c:pt idx="6">
                  <c:v>2762.2040670349998</c:v>
                </c:pt>
                <c:pt idx="7">
                  <c:v>3013.1152699999998</c:v>
                </c:pt>
                <c:pt idx="8">
                  <c:v>3341.0911065599998</c:v>
                </c:pt>
                <c:pt idx="9">
                  <c:v>3504.8279079211602</c:v>
                </c:pt>
                <c:pt idx="10">
                  <c:v>3767.9322343479389</c:v>
                </c:pt>
                <c:pt idx="11">
                  <c:v>4105.6804275968852</c:v>
                </c:pt>
                <c:pt idx="12">
                  <c:v>4390.6377944514816</c:v>
                </c:pt>
                <c:pt idx="13">
                  <c:v>4494.8960123117677</c:v>
                </c:pt>
                <c:pt idx="14">
                  <c:v>4815.0810091037401</c:v>
                </c:pt>
                <c:pt idx="15">
                  <c:v>5205.8243711895484</c:v>
                </c:pt>
                <c:pt idx="16">
                  <c:v>5563.1179861174478</c:v>
                </c:pt>
                <c:pt idx="17">
                  <c:v>6061.7719999999999</c:v>
                </c:pt>
                <c:pt idx="18">
                  <c:v>6760.1032092000005</c:v>
                </c:pt>
                <c:pt idx="19">
                  <c:v>6802.8150635601469</c:v>
                </c:pt>
                <c:pt idx="20">
                  <c:v>7116.0461508608887</c:v>
                </c:pt>
              </c:numCache>
            </c:numRef>
          </c:val>
        </c:ser>
        <c:ser>
          <c:idx val="2"/>
          <c:order val="2"/>
          <c:tx>
            <c:strRef>
              <c:f>'13'!$D$5:$D$6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'13'!$A$8:$A$28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'13'!$D$8:$D$28</c:f>
              <c:numCache>
                <c:formatCode>#\ #,#00</c:formatCode>
                <c:ptCount val="21"/>
                <c:pt idx="0">
                  <c:v>3154.1445019999996</c:v>
                </c:pt>
                <c:pt idx="1">
                  <c:v>3185.061631</c:v>
                </c:pt>
                <c:pt idx="2">
                  <c:v>3385.5230000000001</c:v>
                </c:pt>
                <c:pt idx="3">
                  <c:v>3639.3</c:v>
                </c:pt>
                <c:pt idx="4">
                  <c:v>3772.7</c:v>
                </c:pt>
                <c:pt idx="5">
                  <c:v>3936.241469000001</c:v>
                </c:pt>
                <c:pt idx="6">
                  <c:v>4043.9688309999992</c:v>
                </c:pt>
                <c:pt idx="7">
                  <c:v>4464.8754000000008</c:v>
                </c:pt>
                <c:pt idx="8">
                  <c:v>4425.3378269999994</c:v>
                </c:pt>
                <c:pt idx="9">
                  <c:v>4720.0091641781228</c:v>
                </c:pt>
                <c:pt idx="10">
                  <c:v>5020.7356088993256</c:v>
                </c:pt>
                <c:pt idx="11">
                  <c:v>5404.3689646677021</c:v>
                </c:pt>
                <c:pt idx="12">
                  <c:v>5877.1253377887988</c:v>
                </c:pt>
                <c:pt idx="13">
                  <c:v>6357.3192643417178</c:v>
                </c:pt>
                <c:pt idx="14">
                  <c:v>6644.5992379510635</c:v>
                </c:pt>
                <c:pt idx="15">
                  <c:v>7086.2453335129212</c:v>
                </c:pt>
                <c:pt idx="16">
                  <c:v>7663.0902881815</c:v>
                </c:pt>
                <c:pt idx="17">
                  <c:v>8110.4380000000001</c:v>
                </c:pt>
                <c:pt idx="18">
                  <c:v>8757.8845147454758</c:v>
                </c:pt>
                <c:pt idx="19">
                  <c:v>8920.5096610756154</c:v>
                </c:pt>
                <c:pt idx="20">
                  <c:v>9574.3098743853134</c:v>
                </c:pt>
              </c:numCache>
            </c:numRef>
          </c:val>
        </c:ser>
        <c:ser>
          <c:idx val="3"/>
          <c:order val="3"/>
          <c:tx>
            <c:strRef>
              <c:f>'13'!$E$5:$E$6</c:f>
              <c:strCache>
                <c:ptCount val="1"/>
                <c:pt idx="0">
                  <c:v>Alumbrado Público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'13'!$A$8:$A$28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'13'!$E$8:$E$28</c:f>
              <c:numCache>
                <c:formatCode>#\ #,#00</c:formatCode>
                <c:ptCount val="21"/>
                <c:pt idx="0">
                  <c:v>482.67683</c:v>
                </c:pt>
                <c:pt idx="1">
                  <c:v>489.44556999999998</c:v>
                </c:pt>
                <c:pt idx="2">
                  <c:v>527.47299999999996</c:v>
                </c:pt>
                <c:pt idx="3">
                  <c:v>535.06510000000003</c:v>
                </c:pt>
                <c:pt idx="4">
                  <c:v>543.29999999999995</c:v>
                </c:pt>
                <c:pt idx="5">
                  <c:v>540.99195400000008</c:v>
                </c:pt>
                <c:pt idx="6">
                  <c:v>542.02161799999999</c:v>
                </c:pt>
                <c:pt idx="7">
                  <c:v>559.72912000000008</c:v>
                </c:pt>
                <c:pt idx="8">
                  <c:v>570.22551099999998</c:v>
                </c:pt>
                <c:pt idx="9">
                  <c:v>602.45768099999998</c:v>
                </c:pt>
                <c:pt idx="10">
                  <c:v>632.02669097222213</c:v>
                </c:pt>
                <c:pt idx="11">
                  <c:v>643.92181799999992</c:v>
                </c:pt>
                <c:pt idx="12">
                  <c:v>655.44541600000002</c:v>
                </c:pt>
                <c:pt idx="13">
                  <c:v>674.94545200000016</c:v>
                </c:pt>
                <c:pt idx="14">
                  <c:v>684.37532399999998</c:v>
                </c:pt>
                <c:pt idx="15">
                  <c:v>709.39700400000015</c:v>
                </c:pt>
                <c:pt idx="16">
                  <c:v>752.71913235773729</c:v>
                </c:pt>
                <c:pt idx="17">
                  <c:v>785.51400000000012</c:v>
                </c:pt>
                <c:pt idx="18">
                  <c:v>877.0459806227276</c:v>
                </c:pt>
                <c:pt idx="19">
                  <c:v>865.30411129276445</c:v>
                </c:pt>
                <c:pt idx="20">
                  <c:v>1013.0537991293908</c:v>
                </c:pt>
              </c:numCache>
            </c:numRef>
          </c:val>
        </c:ser>
        <c:ser>
          <c:idx val="4"/>
          <c:order val="4"/>
          <c:tx>
            <c:strRef>
              <c:f>'13'!$G$4:$G$6</c:f>
              <c:strCache>
                <c:ptCount val="1"/>
                <c:pt idx="0">
                  <c:v>Generación  por Uso Propio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'13'!$A$8:$A$28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'13'!$G$8:$G$28</c:f>
              <c:numCache>
                <c:formatCode>#\ #,#00</c:formatCode>
                <c:ptCount val="21"/>
                <c:pt idx="0">
                  <c:v>3773.8</c:v>
                </c:pt>
                <c:pt idx="1">
                  <c:v>3972.3</c:v>
                </c:pt>
                <c:pt idx="2">
                  <c:v>2604.85</c:v>
                </c:pt>
                <c:pt idx="3">
                  <c:v>1766.6</c:v>
                </c:pt>
                <c:pt idx="4">
                  <c:v>1683</c:v>
                </c:pt>
                <c:pt idx="5">
                  <c:v>1594.7996189999999</c:v>
                </c:pt>
                <c:pt idx="6">
                  <c:v>1571.2</c:v>
                </c:pt>
                <c:pt idx="7">
                  <c:v>1562.8145069999996</c:v>
                </c:pt>
                <c:pt idx="8">
                  <c:v>1561.8909440000034</c:v>
                </c:pt>
                <c:pt idx="9">
                  <c:v>1647.0732800000003</c:v>
                </c:pt>
                <c:pt idx="10">
                  <c:v>1698.861870207249</c:v>
                </c:pt>
                <c:pt idx="11">
                  <c:v>1756.0649376214142</c:v>
                </c:pt>
                <c:pt idx="12">
                  <c:v>1742.5560516600001</c:v>
                </c:pt>
                <c:pt idx="13">
                  <c:v>1868.6524669999999</c:v>
                </c:pt>
                <c:pt idx="14">
                  <c:v>2022.8330379999998</c:v>
                </c:pt>
                <c:pt idx="15">
                  <c:v>2362.1921340000008</c:v>
                </c:pt>
                <c:pt idx="16">
                  <c:v>2557.9283125500001</c:v>
                </c:pt>
                <c:pt idx="17">
                  <c:v>2674.9537324079452</c:v>
                </c:pt>
                <c:pt idx="18">
                  <c:v>2665.5090713064064</c:v>
                </c:pt>
                <c:pt idx="19">
                  <c:v>2703.5718431338</c:v>
                </c:pt>
                <c:pt idx="20">
                  <c:v>3028.4833358222841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407296"/>
        <c:axId val="218408832"/>
      </c:areaChart>
      <c:catAx>
        <c:axId val="21840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40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40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6.41025641025641E-3"/>
              <c:y val="0.461712657539429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840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603741839962312"/>
          <c:y val="0.21794164242983138"/>
          <c:w val="0.24102591022276063"/>
          <c:h val="0.25675722967061548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600" b="1" i="0" u="none" strike="noStrike" baseline="0">
                <a:solidFill>
                  <a:srgbClr val="000000"/>
                </a:solidFill>
                <a:latin typeface="Calibri"/>
              </a:rPr>
              <a:t>EVOLUCIÓN DE LAS INVERSIONES  EJECUTADAS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600" b="1" i="0" u="none" strike="noStrike" baseline="0">
                <a:solidFill>
                  <a:srgbClr val="000000"/>
                </a:solidFill>
                <a:latin typeface="Calibri"/>
              </a:rPr>
              <a:t>EN EL SECTOR ELÉCTRICO 1995-2015  </a:t>
            </a:r>
          </a:p>
        </c:rich>
      </c:tx>
      <c:layout>
        <c:manualLayout>
          <c:xMode val="edge"/>
          <c:yMode val="edge"/>
          <c:x val="0.28802281368821292"/>
          <c:y val="1.0060362173038229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551330798479087"/>
          <c:y val="0.16901408450704225"/>
          <c:w val="0.84569074778200248"/>
          <c:h val="0.68209255533199198"/>
        </c:manualLayout>
      </c:layout>
      <c:lineChart>
        <c:grouping val="standard"/>
        <c:varyColors val="0"/>
        <c:ser>
          <c:idx val="0"/>
          <c:order val="0"/>
          <c:tx>
            <c:strRef>
              <c:f>'1.4'!$S$91</c:f>
              <c:strCache>
                <c:ptCount val="1"/>
                <c:pt idx="0">
                  <c:v>Generadoras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545377376103121E-3"/>
                  <c:y val="-1.48625212184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8950494145545039E-4"/>
                  <c:y val="1.585784445447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106963463702167E-2"/>
                  <c:y val="-3.1186356195215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5239372759786926E-3"/>
                  <c:y val="1.2697161340953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524876118079454E-3"/>
                  <c:y val="-2.5470707652608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9618625402421246E-2"/>
                  <c:y val="-5.736517249134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06006180296032E-2"/>
                  <c:y val="-3.1023662215017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4653194728769641E-2"/>
                  <c:y val="-3.967854104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5348542458808617E-3"/>
                  <c:y val="-2.146210596914824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5348542458808617E-3"/>
                  <c:y val="-1.8779342723004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'1.4'!$R$92:$R$112</c:f>
              <c:strCache>
                <c:ptCount val="21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2015*</c:v>
                </c:pt>
              </c:strCache>
            </c:strRef>
          </c:cat>
          <c:val>
            <c:numRef>
              <c:f>'1.4'!$S$92:$S$112</c:f>
              <c:numCache>
                <c:formatCode>#,##0</c:formatCode>
                <c:ptCount val="21"/>
                <c:pt idx="0">
                  <c:v>46.066738999999991</c:v>
                </c:pt>
                <c:pt idx="1">
                  <c:v>163.01889699999998</c:v>
                </c:pt>
                <c:pt idx="2">
                  <c:v>343.44413100000003</c:v>
                </c:pt>
                <c:pt idx="3">
                  <c:v>365.36324100000002</c:v>
                </c:pt>
                <c:pt idx="4">
                  <c:v>417.232328</c:v>
                </c:pt>
                <c:pt idx="5">
                  <c:v>337.65800000000002</c:v>
                </c:pt>
                <c:pt idx="6">
                  <c:v>109.77217999999999</c:v>
                </c:pt>
                <c:pt idx="7">
                  <c:v>107.84</c:v>
                </c:pt>
                <c:pt idx="8">
                  <c:v>87.165000000000006</c:v>
                </c:pt>
                <c:pt idx="9">
                  <c:v>159.566</c:v>
                </c:pt>
                <c:pt idx="10">
                  <c:v>193.49135000000001</c:v>
                </c:pt>
                <c:pt idx="11">
                  <c:v>289.57499999999999</c:v>
                </c:pt>
                <c:pt idx="12">
                  <c:v>318.03030000000001</c:v>
                </c:pt>
                <c:pt idx="13">
                  <c:v>483.51</c:v>
                </c:pt>
                <c:pt idx="14">
                  <c:v>448.38329999999996</c:v>
                </c:pt>
                <c:pt idx="15">
                  <c:v>558.63338222614846</c:v>
                </c:pt>
                <c:pt idx="16">
                  <c:v>1240.8</c:v>
                </c:pt>
                <c:pt idx="17">
                  <c:v>1781.40966045</c:v>
                </c:pt>
                <c:pt idx="18">
                  <c:v>1829.8335</c:v>
                </c:pt>
                <c:pt idx="19">
                  <c:v>1829.2607998337028</c:v>
                </c:pt>
                <c:pt idx="20">
                  <c:v>1553.6569439220775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'1.4'!$T$91</c:f>
              <c:strCache>
                <c:ptCount val="1"/>
                <c:pt idx="0">
                  <c:v>Transmisoras</c:v>
                </c:pt>
              </c:strCache>
            </c:strRef>
          </c:tx>
          <c:spPr>
            <a:ln w="31750">
              <a:solidFill>
                <a:srgbClr val="FF00FF"/>
              </a:solidFill>
            </a:ln>
          </c:spPr>
          <c:marker>
            <c:symbol val="circle"/>
            <c:size val="5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dLbls>
            <c:dLbl>
              <c:idx val="0"/>
              <c:layout>
                <c:manualLayout>
                  <c:x val="-7.2219799383570009E-4"/>
                  <c:y val="-3.1392452489016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508351565911567E-2"/>
                  <c:y val="-2.7829333747506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257362711714746E-3"/>
                  <c:y val="-1.5669693241501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7391847217580692E-2"/>
                  <c:y val="-2.4936978456832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573766897161438E-3"/>
                  <c:y val="1.487428584270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9.0366759619482165E-3"/>
                  <c:y val="-1.85694979131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584600907110207E-3"/>
                  <c:y val="-1.531377742223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0559660213137697E-3"/>
                  <c:y val="-1.199853399859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89759781044151E-3"/>
                  <c:y val="-1.4286147938468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20600408359585E-2"/>
                  <c:y val="-3.842061510267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570773554842232E-2"/>
                  <c:y val="2.1160596346513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5430498225743444E-2"/>
                  <c:y val="-3.8655932625020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'1.4'!$R$92:$R$112</c:f>
              <c:strCache>
                <c:ptCount val="21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2015*</c:v>
                </c:pt>
              </c:strCache>
            </c:strRef>
          </c:cat>
          <c:val>
            <c:numRef>
              <c:f>'1.4'!$T$92:$T$112</c:f>
              <c:numCache>
                <c:formatCode>#,##0</c:formatCode>
                <c:ptCount val="21"/>
                <c:pt idx="0">
                  <c:v>11.412649999999999</c:v>
                </c:pt>
                <c:pt idx="1">
                  <c:v>16.600999999999999</c:v>
                </c:pt>
                <c:pt idx="2">
                  <c:v>32.720779999999998</c:v>
                </c:pt>
                <c:pt idx="3">
                  <c:v>59.643269999999994</c:v>
                </c:pt>
                <c:pt idx="4">
                  <c:v>170.80662000000001</c:v>
                </c:pt>
                <c:pt idx="5">
                  <c:v>128.93899999999999</c:v>
                </c:pt>
                <c:pt idx="6">
                  <c:v>61.743000000000002</c:v>
                </c:pt>
                <c:pt idx="7">
                  <c:v>37.657000000000004</c:v>
                </c:pt>
                <c:pt idx="8">
                  <c:v>12.826000000000001</c:v>
                </c:pt>
                <c:pt idx="9">
                  <c:v>24.366</c:v>
                </c:pt>
                <c:pt idx="10">
                  <c:v>20.633900000000001</c:v>
                </c:pt>
                <c:pt idx="11">
                  <c:v>16.542999999999999</c:v>
                </c:pt>
                <c:pt idx="12">
                  <c:v>69.635899999999992</c:v>
                </c:pt>
                <c:pt idx="13">
                  <c:v>43.1</c:v>
                </c:pt>
                <c:pt idx="14">
                  <c:v>254.363</c:v>
                </c:pt>
                <c:pt idx="15">
                  <c:v>332.55720000000002</c:v>
                </c:pt>
                <c:pt idx="16">
                  <c:v>278.5</c:v>
                </c:pt>
                <c:pt idx="17">
                  <c:v>470.27</c:v>
                </c:pt>
                <c:pt idx="18">
                  <c:v>188.4134</c:v>
                </c:pt>
                <c:pt idx="19">
                  <c:v>244.01244188000001</c:v>
                </c:pt>
                <c:pt idx="20">
                  <c:v>341.36752000000001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'1.4'!$U$91</c:f>
              <c:strCache>
                <c:ptCount val="1"/>
                <c:pt idx="0">
                  <c:v>Distribuidoras</c:v>
                </c:pt>
              </c:strCache>
            </c:strRef>
          </c:tx>
          <c:spPr>
            <a:ln w="3175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rgbClr val="FFC000"/>
                </a:solidFill>
              </a:ln>
            </c:spPr>
          </c:marker>
          <c:dLbls>
            <c:dLbl>
              <c:idx val="0"/>
              <c:layout>
                <c:manualLayout>
                  <c:x val="-6.0132071903596521E-3"/>
                  <c:y val="-1.7123999881462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339288851296497E-3"/>
                  <c:y val="1.5145354449116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792520440593094E-3"/>
                  <c:y val="-1.4611711970812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5015252220705132E-3"/>
                  <c:y val="1.823047659016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1406844106463832E-2"/>
                  <c:y val="-2.6809651474530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7996546802022135E-3"/>
                  <c:y val="1.4173430108472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998273401011068E-2"/>
                  <c:y val="-1.9842802151861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4780224429104373E-3"/>
                  <c:y val="1.0760257142197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2573356931440744E-3"/>
                  <c:y val="1.8280155920119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0766677243900742E-2"/>
                  <c:y val="-2.9222811561733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0139416983523447E-2"/>
                  <c:y val="2.6827632461435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1.5209125475285171E-2"/>
                  <c:y val="2.9510184466378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999933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'1.4'!$R$92:$R$112</c:f>
              <c:strCache>
                <c:ptCount val="21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2015*</c:v>
                </c:pt>
              </c:strCache>
            </c:strRef>
          </c:cat>
          <c:val>
            <c:numRef>
              <c:f>'1.4'!$U$92:$U$112</c:f>
              <c:numCache>
                <c:formatCode>#,##0</c:formatCode>
                <c:ptCount val="21"/>
                <c:pt idx="0">
                  <c:v>163.39924000000002</c:v>
                </c:pt>
                <c:pt idx="1">
                  <c:v>193.27748000000003</c:v>
                </c:pt>
                <c:pt idx="2">
                  <c:v>171.46097</c:v>
                </c:pt>
                <c:pt idx="3">
                  <c:v>136.50492</c:v>
                </c:pt>
                <c:pt idx="4">
                  <c:v>121.50028001183432</c:v>
                </c:pt>
                <c:pt idx="5">
                  <c:v>139.20599999999999</c:v>
                </c:pt>
                <c:pt idx="6">
                  <c:v>134.38179</c:v>
                </c:pt>
                <c:pt idx="7">
                  <c:v>96.701999999999998</c:v>
                </c:pt>
                <c:pt idx="8">
                  <c:v>91.965999999999994</c:v>
                </c:pt>
                <c:pt idx="9">
                  <c:v>100.76300000000001</c:v>
                </c:pt>
                <c:pt idx="10">
                  <c:v>134.36663999999999</c:v>
                </c:pt>
                <c:pt idx="11">
                  <c:v>140.08600000000001</c:v>
                </c:pt>
                <c:pt idx="12">
                  <c:v>151.40692999999999</c:v>
                </c:pt>
                <c:pt idx="13">
                  <c:v>235.91</c:v>
                </c:pt>
                <c:pt idx="14">
                  <c:v>289.37342000000001</c:v>
                </c:pt>
                <c:pt idx="15">
                  <c:v>253.1712</c:v>
                </c:pt>
                <c:pt idx="16">
                  <c:v>229.4</c:v>
                </c:pt>
                <c:pt idx="17">
                  <c:v>337.36420000000004</c:v>
                </c:pt>
                <c:pt idx="18">
                  <c:v>421.36850000000004</c:v>
                </c:pt>
                <c:pt idx="19">
                  <c:v>401.29525350396761</c:v>
                </c:pt>
                <c:pt idx="20">
                  <c:v>372.27285752652858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'1.4'!$V$91</c:f>
              <c:strCache>
                <c:ptCount val="1"/>
                <c:pt idx="0">
                  <c:v>DGER</c:v>
                </c:pt>
              </c:strCache>
            </c:strRef>
          </c:tx>
          <c:spPr>
            <a:ln w="31750">
              <a:solidFill>
                <a:schemeClr val="accent5"/>
              </a:solidFill>
            </a:ln>
          </c:spPr>
          <c:marker>
            <c:symbol val="circle"/>
            <c:size val="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897733637745537E-3"/>
                  <c:y val="-4.4827461221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7925134515924502E-3"/>
                  <c:y val="-2.0977370911669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9897943307766236E-3"/>
                  <c:y val="2.7893843445243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2222594983844396E-4"/>
                  <c:y val="1.1434736136083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9898083087779113E-3"/>
                  <c:y val="1.1720813096324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5249660376564241E-3"/>
                  <c:y val="1.9126633396737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255236966311823E-3"/>
                  <c:y val="2.18694910555611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5.0662062402696178E-3"/>
                  <c:y val="-1.4173430108472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571757749250939E-2"/>
                  <c:y val="-3.7713405976268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0132412480539144E-2"/>
                  <c:y val="-2.2677488173555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465170280876257E-2"/>
                  <c:y val="-1.7008116130166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7679954787101155E-3"/>
                  <c:y val="-1.225968223839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9.2120702499529153E-3"/>
                  <c:y val="-2.894783033980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3941698352344647E-2"/>
                  <c:y val="3.219315895372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3941698352344833E-2"/>
                  <c:y val="4.0241448692152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2674271229404403E-2"/>
                  <c:y val="2.4144869215291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2674271229404309E-2"/>
                  <c:y val="3.2193158953722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1.5209125475285171E-2"/>
                  <c:y val="2.951039570757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2.5348542458808617E-3"/>
                  <c:y val="2.1461894727947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8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'1.4'!$R$92:$R$112</c:f>
              <c:strCache>
                <c:ptCount val="21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2015*</c:v>
                </c:pt>
              </c:strCache>
            </c:strRef>
          </c:cat>
          <c:val>
            <c:numRef>
              <c:f>'1.4'!$V$92:$V$112</c:f>
              <c:numCache>
                <c:formatCode>#,##0</c:formatCode>
                <c:ptCount val="21"/>
                <c:pt idx="0">
                  <c:v>74.287999999999997</c:v>
                </c:pt>
                <c:pt idx="1">
                  <c:v>135.94999999999999</c:v>
                </c:pt>
                <c:pt idx="2">
                  <c:v>46.558</c:v>
                </c:pt>
                <c:pt idx="3">
                  <c:v>51.488</c:v>
                </c:pt>
                <c:pt idx="4">
                  <c:v>54.64</c:v>
                </c:pt>
                <c:pt idx="5">
                  <c:v>53.411000000000001</c:v>
                </c:pt>
                <c:pt idx="6">
                  <c:v>45.167000000000002</c:v>
                </c:pt>
                <c:pt idx="7">
                  <c:v>17.329999999999998</c:v>
                </c:pt>
                <c:pt idx="8">
                  <c:v>43.427999999999997</c:v>
                </c:pt>
                <c:pt idx="9">
                  <c:v>39.078000000000003</c:v>
                </c:pt>
                <c:pt idx="10">
                  <c:v>45.244</c:v>
                </c:pt>
                <c:pt idx="11">
                  <c:v>33.953000000000003</c:v>
                </c:pt>
                <c:pt idx="12">
                  <c:v>89.927000000000007</c:v>
                </c:pt>
                <c:pt idx="13">
                  <c:v>99.486999999999995</c:v>
                </c:pt>
                <c:pt idx="14">
                  <c:v>184.72200000000001</c:v>
                </c:pt>
                <c:pt idx="15">
                  <c:v>223.376</c:v>
                </c:pt>
                <c:pt idx="16">
                  <c:v>131.30000000000001</c:v>
                </c:pt>
                <c:pt idx="17">
                  <c:v>149.8812093018218</c:v>
                </c:pt>
                <c:pt idx="18">
                  <c:v>149.41353189887735</c:v>
                </c:pt>
                <c:pt idx="19">
                  <c:v>111.02398648648649</c:v>
                </c:pt>
                <c:pt idx="20">
                  <c:v>116.49476124567477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95136"/>
        <c:axId val="186796672"/>
      </c:lineChart>
      <c:catAx>
        <c:axId val="1867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679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796672"/>
        <c:scaling>
          <c:orientation val="minMax"/>
          <c:max val="19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millones US $</a:t>
                </a:r>
              </a:p>
            </c:rich>
          </c:tx>
          <c:layout>
            <c:manualLayout>
              <c:xMode val="edge"/>
              <c:yMode val="edge"/>
              <c:x val="4.3313773040727324E-2"/>
              <c:y val="0.426076247511314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6795136"/>
        <c:crosses val="autoZero"/>
        <c:crossBetween val="between"/>
        <c:majorUnit val="100"/>
        <c:minorUnit val="50"/>
      </c:valAx>
    </c:plotArea>
    <c:legend>
      <c:legendPos val="r"/>
      <c:layout>
        <c:manualLayout>
          <c:xMode val="edge"/>
          <c:yMode val="edge"/>
          <c:x val="0.13403041825095058"/>
          <c:y val="0.94164989939637822"/>
          <c:w val="0.74904942965779475"/>
          <c:h val="4.0241448692152959E-2"/>
        </c:manualLayout>
      </c:layout>
      <c:overlay val="0"/>
      <c:txPr>
        <a:bodyPr/>
        <a:lstStyle/>
        <a:p>
          <a:pPr>
            <a:defRPr sz="88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FACTURACIÓN DE ENERGÍA ELÉCTRICA POR SECTORES DE CONSUMO  1995 - 2015</a:t>
            </a:r>
          </a:p>
        </c:rich>
      </c:tx>
      <c:layout>
        <c:manualLayout>
          <c:xMode val="edge"/>
          <c:yMode val="edge"/>
          <c:x val="0.12906765544699336"/>
          <c:y val="9.8380075371934435E-3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4993132490874106"/>
          <c:y val="0.173423804863028"/>
          <c:w val="0.76478730870880751"/>
          <c:h val="0.66216361856792516"/>
        </c:manualLayout>
      </c:layout>
      <c:areaChart>
        <c:grouping val="stacked"/>
        <c:varyColors val="0"/>
        <c:ser>
          <c:idx val="0"/>
          <c:order val="0"/>
          <c:tx>
            <c:strRef>
              <c:f>'14'!$B$6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'14'!$A$9:$A$29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'14'!$B$9:$B$29</c:f>
              <c:numCache>
                <c:formatCode>#\ #,#00</c:formatCode>
                <c:ptCount val="21"/>
                <c:pt idx="0">
                  <c:v>229035.54403785348</c:v>
                </c:pt>
                <c:pt idx="1">
                  <c:v>258447.72612741796</c:v>
                </c:pt>
                <c:pt idx="2">
                  <c:v>355516.10470524785</c:v>
                </c:pt>
                <c:pt idx="3">
                  <c:v>405108.58810399019</c:v>
                </c:pt>
                <c:pt idx="4">
                  <c:v>419536.44763941609</c:v>
                </c:pt>
                <c:pt idx="5">
                  <c:v>470947.31940472691</c:v>
                </c:pt>
                <c:pt idx="6">
                  <c:v>479868.23409751739</c:v>
                </c:pt>
                <c:pt idx="7">
                  <c:v>488098.27845652425</c:v>
                </c:pt>
                <c:pt idx="8">
                  <c:v>506532.8631156623</c:v>
                </c:pt>
                <c:pt idx="9">
                  <c:v>596267.04432617116</c:v>
                </c:pt>
                <c:pt idx="10">
                  <c:v>669716.05900215998</c:v>
                </c:pt>
                <c:pt idx="11">
                  <c:v>715993.84226713481</c:v>
                </c:pt>
                <c:pt idx="12">
                  <c:v>794759.59169783501</c:v>
                </c:pt>
                <c:pt idx="13">
                  <c:v>1027831.8916520025</c:v>
                </c:pt>
                <c:pt idx="14">
                  <c:v>910151.82885370869</c:v>
                </c:pt>
                <c:pt idx="15">
                  <c:v>971594.08601682109</c:v>
                </c:pt>
                <c:pt idx="16">
                  <c:v>1196612.7704490384</c:v>
                </c:pt>
                <c:pt idx="17">
                  <c:v>1379656.1115939592</c:v>
                </c:pt>
                <c:pt idx="18">
                  <c:v>1441539.8024168243</c:v>
                </c:pt>
                <c:pt idx="19">
                  <c:v>1665612.65626033</c:v>
                </c:pt>
                <c:pt idx="20">
                  <c:v>1776076.028528241</c:v>
                </c:pt>
              </c:numCache>
            </c:numRef>
          </c:val>
        </c:ser>
        <c:ser>
          <c:idx val="1"/>
          <c:order val="1"/>
          <c:tx>
            <c:strRef>
              <c:f>'14'!$C$6</c:f>
              <c:strCache>
                <c:ptCount val="1"/>
                <c:pt idx="0">
                  <c:v>Comercial</c:v>
                </c:pt>
              </c:strCache>
            </c:strRef>
          </c:tx>
          <c:cat>
            <c:strRef>
              <c:f>'14'!$A$9:$A$29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'14'!$C$9:$C$29</c:f>
              <c:numCache>
                <c:formatCode>#\ #,#00</c:formatCode>
                <c:ptCount val="21"/>
                <c:pt idx="0">
                  <c:v>200811.42160772084</c:v>
                </c:pt>
                <c:pt idx="1">
                  <c:v>213222.6714817289</c:v>
                </c:pt>
                <c:pt idx="2">
                  <c:v>221239.00181128312</c:v>
                </c:pt>
                <c:pt idx="3">
                  <c:v>175416.57536486135</c:v>
                </c:pt>
                <c:pt idx="4">
                  <c:v>170042.7141646184</c:v>
                </c:pt>
                <c:pt idx="5">
                  <c:v>197172.92008066195</c:v>
                </c:pt>
                <c:pt idx="6">
                  <c:v>202560.16293720153</c:v>
                </c:pt>
                <c:pt idx="7">
                  <c:v>223817.53067643259</c:v>
                </c:pt>
                <c:pt idx="8">
                  <c:v>238398.63946284784</c:v>
                </c:pt>
                <c:pt idx="9">
                  <c:v>257743.9102776775</c:v>
                </c:pt>
                <c:pt idx="10">
                  <c:v>300420.25850854366</c:v>
                </c:pt>
                <c:pt idx="11">
                  <c:v>317868.59748703917</c:v>
                </c:pt>
                <c:pt idx="12">
                  <c:v>340153.50271927071</c:v>
                </c:pt>
                <c:pt idx="13">
                  <c:v>399555.0703387963</c:v>
                </c:pt>
                <c:pt idx="14">
                  <c:v>454550.76665939082</c:v>
                </c:pt>
                <c:pt idx="15">
                  <c:v>526340.05433409393</c:v>
                </c:pt>
                <c:pt idx="16">
                  <c:v>568041.68320329254</c:v>
                </c:pt>
                <c:pt idx="17">
                  <c:v>665764.93903639342</c:v>
                </c:pt>
                <c:pt idx="18">
                  <c:v>737391.51220428827</c:v>
                </c:pt>
                <c:pt idx="19">
                  <c:v>836842.30774737417</c:v>
                </c:pt>
                <c:pt idx="20">
                  <c:v>873466.71138115006</c:v>
                </c:pt>
              </c:numCache>
            </c:numRef>
          </c:val>
        </c:ser>
        <c:ser>
          <c:idx val="2"/>
          <c:order val="2"/>
          <c:tx>
            <c:strRef>
              <c:f>'14'!$D$6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cat>
            <c:strRef>
              <c:f>'14'!$A$9:$A$29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'14'!$D$9:$D$29</c:f>
              <c:numCache>
                <c:formatCode>#\ #,#00</c:formatCode>
                <c:ptCount val="21"/>
                <c:pt idx="0">
                  <c:v>355896.20422925544</c:v>
                </c:pt>
                <c:pt idx="1">
                  <c:v>372677.77599551878</c:v>
                </c:pt>
                <c:pt idx="2">
                  <c:v>392117.28436542355</c:v>
                </c:pt>
                <c:pt idx="3">
                  <c:v>362781.21835892892</c:v>
                </c:pt>
                <c:pt idx="4">
                  <c:v>358196.54564842128</c:v>
                </c:pt>
                <c:pt idx="5">
                  <c:v>396689.58182878082</c:v>
                </c:pt>
                <c:pt idx="6">
                  <c:v>406024.2542681364</c:v>
                </c:pt>
                <c:pt idx="7">
                  <c:v>400798.0547307923</c:v>
                </c:pt>
                <c:pt idx="8">
                  <c:v>427974.96816134849</c:v>
                </c:pt>
                <c:pt idx="9">
                  <c:v>470011.6333799953</c:v>
                </c:pt>
                <c:pt idx="10">
                  <c:v>544065.3677454039</c:v>
                </c:pt>
                <c:pt idx="11">
                  <c:v>579597.98697812622</c:v>
                </c:pt>
                <c:pt idx="12">
                  <c:v>628258.89821243391</c:v>
                </c:pt>
                <c:pt idx="13">
                  <c:v>716691.01010196272</c:v>
                </c:pt>
                <c:pt idx="14">
                  <c:v>792475.92957778438</c:v>
                </c:pt>
                <c:pt idx="15">
                  <c:v>864962.42369105283</c:v>
                </c:pt>
                <c:pt idx="16">
                  <c:v>999500.05360099196</c:v>
                </c:pt>
                <c:pt idx="17">
                  <c:v>1143905.3448795595</c:v>
                </c:pt>
                <c:pt idx="18">
                  <c:v>1241000.8431573522</c:v>
                </c:pt>
                <c:pt idx="19">
                  <c:v>1407774.9448299771</c:v>
                </c:pt>
                <c:pt idx="20">
                  <c:v>1481970.3570995654</c:v>
                </c:pt>
              </c:numCache>
            </c:numRef>
          </c:val>
        </c:ser>
        <c:ser>
          <c:idx val="3"/>
          <c:order val="3"/>
          <c:tx>
            <c:strRef>
              <c:f>'14'!$E$6</c:f>
              <c:strCache>
                <c:ptCount val="1"/>
                <c:pt idx="0">
                  <c:v>Alumbrado Público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'14'!$A$9:$A$29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'14'!$E$9:$E$29</c:f>
              <c:numCache>
                <c:formatCode>#\ #,#00</c:formatCode>
                <c:ptCount val="21"/>
                <c:pt idx="0">
                  <c:v>40932.831814912512</c:v>
                </c:pt>
                <c:pt idx="1">
                  <c:v>49022.221536151759</c:v>
                </c:pt>
                <c:pt idx="2">
                  <c:v>50665.14573498242</c:v>
                </c:pt>
                <c:pt idx="3">
                  <c:v>44838.588717470884</c:v>
                </c:pt>
                <c:pt idx="4">
                  <c:v>44183.660814274546</c:v>
                </c:pt>
                <c:pt idx="5">
                  <c:v>48259.678954052164</c:v>
                </c:pt>
                <c:pt idx="6">
                  <c:v>50905.862535693137</c:v>
                </c:pt>
                <c:pt idx="7">
                  <c:v>44353.296403984248</c:v>
                </c:pt>
                <c:pt idx="8">
                  <c:v>44303.672929736647</c:v>
                </c:pt>
                <c:pt idx="9">
                  <c:v>58277.423826264436</c:v>
                </c:pt>
                <c:pt idx="10">
                  <c:v>65007.585840271378</c:v>
                </c:pt>
                <c:pt idx="11">
                  <c:v>69708.477573607859</c:v>
                </c:pt>
                <c:pt idx="12">
                  <c:v>67459.670804701891</c:v>
                </c:pt>
                <c:pt idx="13">
                  <c:v>72022.001090604914</c:v>
                </c:pt>
                <c:pt idx="14">
                  <c:v>78879.628738922736</c:v>
                </c:pt>
                <c:pt idx="15">
                  <c:v>85638.464160990639</c:v>
                </c:pt>
                <c:pt idx="16">
                  <c:v>96237.048105473543</c:v>
                </c:pt>
                <c:pt idx="17">
                  <c:v>109799.10381710083</c:v>
                </c:pt>
                <c:pt idx="18">
                  <c:v>116294.17167812247</c:v>
                </c:pt>
                <c:pt idx="19">
                  <c:v>115116.20663604917</c:v>
                </c:pt>
                <c:pt idx="20">
                  <c:v>134549.94263900974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29760"/>
        <c:axId val="217831296"/>
      </c:areaChart>
      <c:catAx>
        <c:axId val="2178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783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83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6.8775638498502975E-3"/>
              <c:y val="0.409910964519265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78297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9199457307349435"/>
          <c:y val="0.29429346755384389"/>
          <c:w val="0.2189511967296375"/>
          <c:h val="0.1920337076509504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PRECIO MEDIO DE ENERGÍA ELÉCTRICA POR SECTORES ECONÓMICOS  1995 - 2015</a:t>
            </a:r>
          </a:p>
        </c:rich>
      </c:tx>
      <c:layout>
        <c:manualLayout>
          <c:xMode val="edge"/>
          <c:yMode val="edge"/>
          <c:x val="0.17165354330708663"/>
          <c:y val="1.1261261261261261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8.1889763779527558E-2"/>
          <c:y val="0.15765800442093456"/>
          <c:w val="0.89921259842519685"/>
          <c:h val="0.68018167621603198"/>
        </c:manualLayout>
      </c:layout>
      <c:lineChart>
        <c:grouping val="standard"/>
        <c:varyColors val="0"/>
        <c:ser>
          <c:idx val="0"/>
          <c:order val="0"/>
          <c:tx>
            <c:strRef>
              <c:f>'15'!$B$6</c:f>
              <c:strCache>
                <c:ptCount val="1"/>
                <c:pt idx="0">
                  <c:v>Industrial</c:v>
                </c:pt>
              </c:strCache>
            </c:strRef>
          </c:tx>
          <c:spPr>
            <a:ln w="31750"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</c:spPr>
          </c:marker>
          <c:cat>
            <c:strRef>
              <c:f>'15'!$A$9:$A$29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'15'!$B$9:$B$29</c:f>
              <c:numCache>
                <c:formatCode>#\ #,#00</c:formatCode>
                <c:ptCount val="21"/>
                <c:pt idx="0">
                  <c:v>5.7782302810253094</c:v>
                </c:pt>
                <c:pt idx="1">
                  <c:v>6.0030181909749079</c:v>
                </c:pt>
                <c:pt idx="2">
                  <c:v>5.8684121848887303</c:v>
                </c:pt>
                <c:pt idx="3">
                  <c:v>5.4203479173923501</c:v>
                </c:pt>
                <c:pt idx="4">
                  <c:v>5.3406034884593927</c:v>
                </c:pt>
                <c:pt idx="5">
                  <c:v>5.6232403935526856</c:v>
                </c:pt>
                <c:pt idx="6">
                  <c:v>5.1706818557398941</c:v>
                </c:pt>
                <c:pt idx="7">
                  <c:v>5.1015716422276212</c:v>
                </c:pt>
                <c:pt idx="8">
                  <c:v>5.0458110286969831</c:v>
                </c:pt>
                <c:pt idx="9">
                  <c:v>5.3805626846567849</c:v>
                </c:pt>
                <c:pt idx="10">
                  <c:v>5.7710451565357364</c:v>
                </c:pt>
                <c:pt idx="11">
                  <c:v>5.7321248337003379</c:v>
                </c:pt>
                <c:pt idx="12">
                  <c:v>5.5975724267146312</c:v>
                </c:pt>
                <c:pt idx="13">
                  <c:v>6.6581265067235282</c:v>
                </c:pt>
                <c:pt idx="14">
                  <c:v>6.0908442865023833</c:v>
                </c:pt>
                <c:pt idx="15">
                  <c:v>5.9118425557976728</c:v>
                </c:pt>
                <c:pt idx="16">
                  <c:v>6.7069368359999997</c:v>
                </c:pt>
                <c:pt idx="17">
                  <c:v>7.3816059640000002</c:v>
                </c:pt>
                <c:pt idx="18">
                  <c:v>7.5023070970000001</c:v>
                </c:pt>
                <c:pt idx="19">
                  <c:v>8.0312491311083765</c:v>
                </c:pt>
                <c:pt idx="20">
                  <c:v>8.0721731138752499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'15'!$C$6</c:f>
              <c:strCache>
                <c:ptCount val="1"/>
                <c:pt idx="0">
                  <c:v>Comercial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69696"/>
              </a:solidFill>
              <a:ln>
                <a:solidFill>
                  <a:srgbClr val="993366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'15'!$A$9:$A$29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'15'!$C$9:$C$29</c:f>
              <c:numCache>
                <c:formatCode>#\ #,#00</c:formatCode>
                <c:ptCount val="21"/>
                <c:pt idx="0">
                  <c:v>8.9302367672784584</c:v>
                </c:pt>
                <c:pt idx="1">
                  <c:v>9.0694904684164612</c:v>
                </c:pt>
                <c:pt idx="2">
                  <c:v>8.9205556778745976</c:v>
                </c:pt>
                <c:pt idx="3">
                  <c:v>7.4315449474932489</c:v>
                </c:pt>
                <c:pt idx="4">
                  <c:v>7.0256874835606498</c:v>
                </c:pt>
                <c:pt idx="5">
                  <c:v>7.3207428422098104</c:v>
                </c:pt>
                <c:pt idx="6">
                  <c:v>7.3332801640044396</c:v>
                </c:pt>
                <c:pt idx="7">
                  <c:v>7.4281104644374469</c:v>
                </c:pt>
                <c:pt idx="8">
                  <c:v>7.1353528490967735</c:v>
                </c:pt>
                <c:pt idx="9">
                  <c:v>7.7661883737661785</c:v>
                </c:pt>
                <c:pt idx="10">
                  <c:v>8.4694383881362061</c:v>
                </c:pt>
                <c:pt idx="11">
                  <c:v>8.1955962043482309</c:v>
                </c:pt>
                <c:pt idx="12">
                  <c:v>8.2568829585447201</c:v>
                </c:pt>
                <c:pt idx="13">
                  <c:v>8.8890837350718002</c:v>
                </c:pt>
                <c:pt idx="14">
                  <c:v>9.4401478562870338</c:v>
                </c:pt>
                <c:pt idx="15">
                  <c:v>10.110599528616511</c:v>
                </c:pt>
                <c:pt idx="16">
                  <c:v>10.2108472</c:v>
                </c:pt>
                <c:pt idx="17">
                  <c:v>10.983012199999999</c:v>
                </c:pt>
                <c:pt idx="18">
                  <c:v>10.907997099999999</c:v>
                </c:pt>
                <c:pt idx="19">
                  <c:v>12.301411987957612</c:v>
                </c:pt>
                <c:pt idx="20">
                  <c:v>12.2745410987957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'15'!$D$6</c:f>
              <c:strCache>
                <c:ptCount val="1"/>
                <c:pt idx="0">
                  <c:v>Residencial</c:v>
                </c:pt>
              </c:strCache>
            </c:strRef>
          </c:tx>
          <c:spPr>
            <a:ln w="31750"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</c:spPr>
          </c:marker>
          <c:cat>
            <c:strRef>
              <c:f>'15'!$A$9:$A$29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'15'!$D$9:$D$29</c:f>
              <c:numCache>
                <c:formatCode>#\ #,#00</c:formatCode>
                <c:ptCount val="21"/>
                <c:pt idx="0">
                  <c:v>11.283446398970833</c:v>
                </c:pt>
                <c:pt idx="1">
                  <c:v>11.700802658519068</c:v>
                </c:pt>
                <c:pt idx="2">
                  <c:v>11.582177535507025</c:v>
                </c:pt>
                <c:pt idx="3">
                  <c:v>9.9684339944200495</c:v>
                </c:pt>
                <c:pt idx="4">
                  <c:v>9.4944349046683083</c:v>
                </c:pt>
                <c:pt idx="5">
                  <c:v>10.077877207303533</c:v>
                </c:pt>
                <c:pt idx="6">
                  <c:v>10.040241931531753</c:v>
                </c:pt>
                <c:pt idx="7">
                  <c:v>8.9766906984860597</c:v>
                </c:pt>
                <c:pt idx="8">
                  <c:v>9.6710123586537318</c:v>
                </c:pt>
                <c:pt idx="9">
                  <c:v>9.9578542547562368</c:v>
                </c:pt>
                <c:pt idx="10">
                  <c:v>10.83636761874177</c:v>
                </c:pt>
                <c:pt idx="11">
                  <c:v>10.756475285056688</c:v>
                </c:pt>
                <c:pt idx="12">
                  <c:v>10.68990130553876</c:v>
                </c:pt>
                <c:pt idx="13">
                  <c:v>11.273478337353472</c:v>
                </c:pt>
                <c:pt idx="14">
                  <c:v>11.926617410595755</c:v>
                </c:pt>
                <c:pt idx="15">
                  <c:v>12.206216169236948</c:v>
                </c:pt>
                <c:pt idx="16">
                  <c:v>13.043042</c:v>
                </c:pt>
                <c:pt idx="17">
                  <c:v>14.1041095</c:v>
                </c:pt>
                <c:pt idx="18">
                  <c:v>14.170105599999999</c:v>
                </c:pt>
                <c:pt idx="19">
                  <c:v>15.78132862713845</c:v>
                </c:pt>
                <c:pt idx="20">
                  <c:v>15.4785316271384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'15'!$E$6</c:f>
              <c:strCache>
                <c:ptCount val="1"/>
                <c:pt idx="0">
                  <c:v>Alumbrado Público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0C0C0"/>
              </a:solidFill>
              <a:ln>
                <a:solidFill>
                  <a:srgbClr val="666699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'15'!$A$9:$A$29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'15'!$E$9:$E$29</c:f>
              <c:numCache>
                <c:formatCode>#\ #,#00</c:formatCode>
                <c:ptCount val="21"/>
                <c:pt idx="0">
                  <c:v>8.4803805094420035</c:v>
                </c:pt>
                <c:pt idx="1">
                  <c:v>10.015867859658382</c:v>
                </c:pt>
                <c:pt idx="2">
                  <c:v>9.6052586075462489</c:v>
                </c:pt>
                <c:pt idx="3">
                  <c:v>8.3800249198594479</c:v>
                </c:pt>
                <c:pt idx="4">
                  <c:v>8.132461037046669</c:v>
                </c:pt>
                <c:pt idx="5">
                  <c:v>8.9205908881321658</c:v>
                </c:pt>
                <c:pt idx="6">
                  <c:v>9.3918509603971447</c:v>
                </c:pt>
                <c:pt idx="7">
                  <c:v>7.9240644839032566</c:v>
                </c:pt>
                <c:pt idx="8">
                  <c:v>7.7695003248875425</c:v>
                </c:pt>
                <c:pt idx="9">
                  <c:v>9.6732809065578866</c:v>
                </c:pt>
                <c:pt idx="10">
                  <c:v>10.285576031650301</c:v>
                </c:pt>
                <c:pt idx="11">
                  <c:v>10.825611995897283</c:v>
                </c:pt>
                <c:pt idx="12">
                  <c:v>10.292187443523428</c:v>
                </c:pt>
                <c:pt idx="13">
                  <c:v>10.670788413669451</c:v>
                </c:pt>
                <c:pt idx="14">
                  <c:v>11.525785044073674</c:v>
                </c:pt>
                <c:pt idx="15">
                  <c:v>12.072008153137142</c:v>
                </c:pt>
                <c:pt idx="16">
                  <c:v>12.7852389</c:v>
                </c:pt>
                <c:pt idx="17">
                  <c:v>13.9780652</c:v>
                </c:pt>
                <c:pt idx="18">
                  <c:v>13.259696699999999</c:v>
                </c:pt>
                <c:pt idx="19">
                  <c:v>13.303554800411794</c:v>
                </c:pt>
                <c:pt idx="20">
                  <c:v>13.281554800411801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69248"/>
        <c:axId val="219671168"/>
      </c:lineChart>
      <c:catAx>
        <c:axId val="2196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967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7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Cent. US$/kW.h</a:t>
                </a:r>
              </a:p>
            </c:rich>
          </c:tx>
          <c:layout>
            <c:manualLayout>
              <c:xMode val="edge"/>
              <c:yMode val="edge"/>
              <c:x val="8.1036745406824137E-3"/>
              <c:y val="0.407658603485375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21966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31437736949548"/>
          <c:y val="0.89730831395801103"/>
          <c:w val="0.70393700787401581"/>
          <c:h val="5.4054290510983427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POTENCIA INSTALADA - GENERADORAS PARA MERCADO ELÉCTRICO
 1 995 -2 015</a:t>
            </a:r>
          </a:p>
        </c:rich>
      </c:tx>
      <c:layout>
        <c:manualLayout>
          <c:xMode val="edge"/>
          <c:yMode val="edge"/>
          <c:x val="0.22052925110249544"/>
          <c:y val="4.3378995433789952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2093023255813953"/>
          <c:y val="0.24657575478875948"/>
          <c:w val="0.81162790697674414"/>
          <c:h val="0.46917886675083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 P.I.'!$R$38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cat>
            <c:strRef>
              <c:f>'2.1 P.I.'!$Q$39:$Q$59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P.I.'!$R$39:$R$59</c:f>
              <c:numCache>
                <c:formatCode>#\ ##,000</c:formatCode>
                <c:ptCount val="21"/>
                <c:pt idx="0">
                  <c:v>3185.7</c:v>
                </c:pt>
                <c:pt idx="1">
                  <c:v>3352.8809999999999</c:v>
                </c:pt>
                <c:pt idx="2">
                  <c:v>4325.0209999999997</c:v>
                </c:pt>
                <c:pt idx="3">
                  <c:v>4632.2780000000002</c:v>
                </c:pt>
                <c:pt idx="4">
                  <c:v>4828.2429999999995</c:v>
                </c:pt>
                <c:pt idx="5">
                  <c:v>5148.8509999999997</c:v>
                </c:pt>
                <c:pt idx="6">
                  <c:v>5050.8139999999994</c:v>
                </c:pt>
                <c:pt idx="7">
                  <c:v>5068.0510000000004</c:v>
                </c:pt>
                <c:pt idx="8">
                  <c:v>5095.1030000000001</c:v>
                </c:pt>
                <c:pt idx="9">
                  <c:v>5096.0216000000028</c:v>
                </c:pt>
                <c:pt idx="10">
                  <c:v>5220.6336000000001</c:v>
                </c:pt>
                <c:pt idx="11">
                  <c:v>5625.1415999999999</c:v>
                </c:pt>
                <c:pt idx="12">
                  <c:v>5989.7251999999999</c:v>
                </c:pt>
                <c:pt idx="13">
                  <c:v>5996.9830000000029</c:v>
                </c:pt>
                <c:pt idx="14">
                  <c:v>6723.5160000000024</c:v>
                </c:pt>
                <c:pt idx="15">
                  <c:v>7309.1659999999983</c:v>
                </c:pt>
                <c:pt idx="16">
                  <c:v>7314.2370000000001</c:v>
                </c:pt>
                <c:pt idx="17">
                  <c:v>8267.1709999999985</c:v>
                </c:pt>
                <c:pt idx="18">
                  <c:v>9634.6310000000012</c:v>
                </c:pt>
                <c:pt idx="19">
                  <c:v>9739.2480000000014</c:v>
                </c:pt>
                <c:pt idx="20">
                  <c:v>10765.318000000003</c:v>
                </c:pt>
              </c:numCache>
            </c:numRef>
          </c:val>
        </c:ser>
        <c:ser>
          <c:idx val="1"/>
          <c:order val="1"/>
          <c:tx>
            <c:strRef>
              <c:f>'2.1 P.I.'!$S$38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</c:spPr>
          <c:invertIfNegative val="0"/>
          <c:cat>
            <c:strRef>
              <c:f>'2.1 P.I.'!$Q$39:$Q$59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P.I.'!$S$39:$S$59</c:f>
              <c:numCache>
                <c:formatCode>#\ ##,000</c:formatCode>
                <c:ptCount val="21"/>
                <c:pt idx="0">
                  <c:v>2190</c:v>
                </c:pt>
                <c:pt idx="1">
                  <c:v>2200.1839999999997</c:v>
                </c:pt>
                <c:pt idx="2">
                  <c:v>2411.5189999999998</c:v>
                </c:pt>
                <c:pt idx="3">
                  <c:v>2467.4160000000002</c:v>
                </c:pt>
                <c:pt idx="4">
                  <c:v>2587.1289999999999</c:v>
                </c:pt>
                <c:pt idx="5">
                  <c:v>2779.26</c:v>
                </c:pt>
                <c:pt idx="6">
                  <c:v>2889.433</c:v>
                </c:pt>
                <c:pt idx="7">
                  <c:v>2917.6020000000012</c:v>
                </c:pt>
                <c:pt idx="8">
                  <c:v>2946.8210000000004</c:v>
                </c:pt>
                <c:pt idx="9">
                  <c:v>2969.0596000000023</c:v>
                </c:pt>
                <c:pt idx="10">
                  <c:v>3119.1996000000004</c:v>
                </c:pt>
                <c:pt idx="11">
                  <c:v>3127.8006</c:v>
                </c:pt>
                <c:pt idx="12">
                  <c:v>3145.1412000000005</c:v>
                </c:pt>
                <c:pt idx="13">
                  <c:v>3152.0380000000018</c:v>
                </c:pt>
                <c:pt idx="14">
                  <c:v>3183.1260000000016</c:v>
                </c:pt>
                <c:pt idx="15">
                  <c:v>3344.7950000000001</c:v>
                </c:pt>
                <c:pt idx="16">
                  <c:v>3357.06</c:v>
                </c:pt>
                <c:pt idx="17">
                  <c:v>3380.829999999999</c:v>
                </c:pt>
                <c:pt idx="18">
                  <c:v>3450.5469999999996</c:v>
                </c:pt>
                <c:pt idx="19">
                  <c:v>3558.2689999999993</c:v>
                </c:pt>
                <c:pt idx="20">
                  <c:v>4062.4390000000003</c:v>
                </c:pt>
              </c:numCache>
            </c:numRef>
          </c:val>
        </c:ser>
        <c:ser>
          <c:idx val="2"/>
          <c:order val="2"/>
          <c:tx>
            <c:strRef>
              <c:f>'2.1 P.I.'!$T$38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strRef>
              <c:f>'2.1 P.I.'!$Q$39:$Q$59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P.I.'!$T$39:$T$59</c:f>
              <c:numCache>
                <c:formatCode>#\ ##,000</c:formatCode>
                <c:ptCount val="21"/>
                <c:pt idx="0">
                  <c:v>995.7</c:v>
                </c:pt>
                <c:pt idx="1">
                  <c:v>1152.4470000000001</c:v>
                </c:pt>
                <c:pt idx="2">
                  <c:v>1913.252</c:v>
                </c:pt>
                <c:pt idx="3">
                  <c:v>2164.6119999999996</c:v>
                </c:pt>
                <c:pt idx="4">
                  <c:v>2240.4140000000002</c:v>
                </c:pt>
                <c:pt idx="5">
                  <c:v>2368.8910000000001</c:v>
                </c:pt>
                <c:pt idx="6">
                  <c:v>2160.681</c:v>
                </c:pt>
                <c:pt idx="7">
                  <c:v>2149.7489999999998</c:v>
                </c:pt>
                <c:pt idx="8">
                  <c:v>2147.5819999999999</c:v>
                </c:pt>
                <c:pt idx="9">
                  <c:v>2126.2620000000002</c:v>
                </c:pt>
                <c:pt idx="10">
                  <c:v>2100.7339999999995</c:v>
                </c:pt>
                <c:pt idx="11">
                  <c:v>2496.6410000000001</c:v>
                </c:pt>
                <c:pt idx="12">
                  <c:v>2843.884</c:v>
                </c:pt>
                <c:pt idx="13">
                  <c:v>2844.2450000000008</c:v>
                </c:pt>
                <c:pt idx="14">
                  <c:v>3539.6900000000005</c:v>
                </c:pt>
                <c:pt idx="15">
                  <c:v>3963.6709999999989</c:v>
                </c:pt>
                <c:pt idx="16">
                  <c:v>3956.4770000000003</c:v>
                </c:pt>
                <c:pt idx="17">
                  <c:v>4805.6409999999987</c:v>
                </c:pt>
                <c:pt idx="18">
                  <c:v>6103.384</c:v>
                </c:pt>
                <c:pt idx="19">
                  <c:v>5942.2790000000014</c:v>
                </c:pt>
                <c:pt idx="20">
                  <c:v>6367.1790000000028</c:v>
                </c:pt>
              </c:numCache>
            </c:numRef>
          </c:val>
        </c:ser>
        <c:ser>
          <c:idx val="3"/>
          <c:order val="3"/>
          <c:tx>
            <c:strRef>
              <c:f>'2.1 P.I.'!$U$38</c:f>
              <c:strCache>
                <c:ptCount val="1"/>
                <c:pt idx="0">
                  <c:v>Solar</c:v>
                </c:pt>
              </c:strCache>
            </c:strRef>
          </c:tx>
          <c:invertIfNegative val="0"/>
          <c:cat>
            <c:strRef>
              <c:f>'2.1 P.I.'!$Q$39:$Q$59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P.I.'!$U$39:$U$59</c:f>
              <c:numCache>
                <c:formatCode>General</c:formatCode>
                <c:ptCount val="21"/>
                <c:pt idx="17" formatCode="#\ ##,000">
                  <c:v>80</c:v>
                </c:pt>
                <c:pt idx="18" formatCode="#\ ##,000">
                  <c:v>80</c:v>
                </c:pt>
                <c:pt idx="19" formatCode="#\ ##,000">
                  <c:v>96</c:v>
                </c:pt>
                <c:pt idx="20" formatCode="#\ ##,000">
                  <c:v>96</c:v>
                </c:pt>
              </c:numCache>
            </c:numRef>
          </c:val>
        </c:ser>
        <c:ser>
          <c:idx val="4"/>
          <c:order val="4"/>
          <c:tx>
            <c:strRef>
              <c:f>'2.1 P.I.'!$V$38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'2.1 P.I.'!$Q$39:$Q$59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P.I.'!$V$39:$V$59</c:f>
              <c:numCache>
                <c:formatCode>#\ ##,000</c:formatCode>
                <c:ptCount val="21"/>
                <c:pt idx="19">
                  <c:v>142.69999999999999</c:v>
                </c:pt>
                <c:pt idx="20">
                  <c:v>239.7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390464"/>
        <c:axId val="195392256"/>
      </c:barChart>
      <c:catAx>
        <c:axId val="1953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53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39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4418561892961353E-2"/>
              <c:y val="0.390411677992305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539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436569540482565"/>
          <c:y val="0.83333477150972557"/>
          <c:w val="0.63079504909602035"/>
          <c:h val="0.15296659835328807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POTENCIA INSTALADA - GENERADORAS PARA USO PROPIO 
1 995 - 2 015</a:t>
            </a:r>
          </a:p>
        </c:rich>
      </c:tx>
      <c:layout>
        <c:manualLayout>
          <c:xMode val="edge"/>
          <c:yMode val="edge"/>
          <c:x val="0.25874149251180834"/>
          <c:y val="3.9393939393939391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655024920583069"/>
          <c:y val="0.23636433583195973"/>
          <c:w val="0.82167925690110644"/>
          <c:h val="0.50303179164237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 P.I.'!$R$67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cat>
            <c:strRef>
              <c:f>'2.1 P.I.'!$Q$68:$Q$88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P.I.'!$R$68:$R$88</c:f>
              <c:numCache>
                <c:formatCode>#\ ##,000</c:formatCode>
                <c:ptCount val="21"/>
                <c:pt idx="0">
                  <c:v>1276</c:v>
                </c:pt>
                <c:pt idx="1">
                  <c:v>1309.7239999999999</c:v>
                </c:pt>
                <c:pt idx="2">
                  <c:v>867.47699999999998</c:v>
                </c:pt>
                <c:pt idx="3">
                  <c:v>883.01200000000006</c:v>
                </c:pt>
                <c:pt idx="4">
                  <c:v>914.18499999999995</c:v>
                </c:pt>
                <c:pt idx="5">
                  <c:v>917.33800000000019</c:v>
                </c:pt>
                <c:pt idx="6">
                  <c:v>855.87900000000002</c:v>
                </c:pt>
                <c:pt idx="7">
                  <c:v>867.48199999999974</c:v>
                </c:pt>
                <c:pt idx="8">
                  <c:v>874.96</c:v>
                </c:pt>
                <c:pt idx="9">
                  <c:v>920.29700000000003</c:v>
                </c:pt>
                <c:pt idx="10">
                  <c:v>979.89199999999994</c:v>
                </c:pt>
                <c:pt idx="11">
                  <c:v>1033.0019999999997</c:v>
                </c:pt>
                <c:pt idx="12">
                  <c:v>1037.7919999999999</c:v>
                </c:pt>
                <c:pt idx="13">
                  <c:v>1160.9520000000007</c:v>
                </c:pt>
                <c:pt idx="14">
                  <c:v>1262.9800000000002</c:v>
                </c:pt>
                <c:pt idx="15">
                  <c:v>1303.3909999999996</c:v>
                </c:pt>
                <c:pt idx="16">
                  <c:v>1377.087</c:v>
                </c:pt>
                <c:pt idx="17">
                  <c:v>1431.9260000000006</c:v>
                </c:pt>
                <c:pt idx="18">
                  <c:v>1416.088</c:v>
                </c:pt>
                <c:pt idx="19">
                  <c:v>1463.3709999999996</c:v>
                </c:pt>
                <c:pt idx="20">
                  <c:v>1486.3029999999994</c:v>
                </c:pt>
              </c:numCache>
            </c:numRef>
          </c:val>
        </c:ser>
        <c:ser>
          <c:idx val="1"/>
          <c:order val="1"/>
          <c:tx>
            <c:strRef>
              <c:f>'2.1 P.I.'!$S$67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</c:spPr>
          <c:invertIfNegative val="0"/>
          <c:cat>
            <c:strRef>
              <c:f>'2.1 P.I.'!$Q$68:$Q$88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P.I.'!$S$68:$S$88</c:f>
              <c:numCache>
                <c:formatCode>#\ ##,000</c:formatCode>
                <c:ptCount val="21"/>
                <c:pt idx="0">
                  <c:v>289.39999999999998</c:v>
                </c:pt>
                <c:pt idx="1">
                  <c:v>292.54000000000002</c:v>
                </c:pt>
                <c:pt idx="2">
                  <c:v>101.47499999999999</c:v>
                </c:pt>
                <c:pt idx="3">
                  <c:v>104.645</c:v>
                </c:pt>
                <c:pt idx="4">
                  <c:v>86.150999999999982</c:v>
                </c:pt>
                <c:pt idx="5">
                  <c:v>77.564999999999998</c:v>
                </c:pt>
                <c:pt idx="6">
                  <c:v>76.894999999999996</c:v>
                </c:pt>
                <c:pt idx="7">
                  <c:v>78.868999999999971</c:v>
                </c:pt>
                <c:pt idx="8">
                  <c:v>85.48599999999999</c:v>
                </c:pt>
                <c:pt idx="9">
                  <c:v>86.807999999999964</c:v>
                </c:pt>
                <c:pt idx="10">
                  <c:v>87.861999999999981</c:v>
                </c:pt>
                <c:pt idx="11">
                  <c:v>88.201999999999998</c:v>
                </c:pt>
                <c:pt idx="12">
                  <c:v>88.456999999999994</c:v>
                </c:pt>
                <c:pt idx="13">
                  <c:v>89.987999999999971</c:v>
                </c:pt>
                <c:pt idx="14">
                  <c:v>94.337999999999994</c:v>
                </c:pt>
                <c:pt idx="15">
                  <c:v>92.807000000000016</c:v>
                </c:pt>
                <c:pt idx="16">
                  <c:v>93.893000000000001</c:v>
                </c:pt>
                <c:pt idx="17">
                  <c:v>103.14399999999998</c:v>
                </c:pt>
                <c:pt idx="18">
                  <c:v>105.63500000000002</c:v>
                </c:pt>
                <c:pt idx="19">
                  <c:v>103.596</c:v>
                </c:pt>
                <c:pt idx="20">
                  <c:v>103.596</c:v>
                </c:pt>
              </c:numCache>
            </c:numRef>
          </c:val>
        </c:ser>
        <c:ser>
          <c:idx val="2"/>
          <c:order val="2"/>
          <c:tx>
            <c:strRef>
              <c:f>'2.1 P.I.'!$T$67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strRef>
              <c:f>'2.1 P.I.'!$Q$68:$Q$88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P.I.'!$T$68:$T$88</c:f>
              <c:numCache>
                <c:formatCode>#\ ##,000</c:formatCode>
                <c:ptCount val="21"/>
                <c:pt idx="0">
                  <c:v>986.59999999999991</c:v>
                </c:pt>
                <c:pt idx="1">
                  <c:v>1017.184</c:v>
                </c:pt>
                <c:pt idx="2">
                  <c:v>766.00199999999995</c:v>
                </c:pt>
                <c:pt idx="3">
                  <c:v>778.36700000000008</c:v>
                </c:pt>
                <c:pt idx="4">
                  <c:v>828.03399999999999</c:v>
                </c:pt>
                <c:pt idx="5">
                  <c:v>839.77300000000014</c:v>
                </c:pt>
                <c:pt idx="6">
                  <c:v>778.98400000000004</c:v>
                </c:pt>
                <c:pt idx="7">
                  <c:v>788.61299999999983</c:v>
                </c:pt>
                <c:pt idx="8">
                  <c:v>789.47400000000005</c:v>
                </c:pt>
                <c:pt idx="9">
                  <c:v>833.48900000000003</c:v>
                </c:pt>
                <c:pt idx="10">
                  <c:v>892.03</c:v>
                </c:pt>
                <c:pt idx="11">
                  <c:v>944.79999999999973</c:v>
                </c:pt>
                <c:pt idx="12">
                  <c:v>949.33499999999992</c:v>
                </c:pt>
                <c:pt idx="13">
                  <c:v>1070.9640000000006</c:v>
                </c:pt>
                <c:pt idx="14">
                  <c:v>1168.6420000000003</c:v>
                </c:pt>
                <c:pt idx="15">
                  <c:v>1210.5839999999996</c:v>
                </c:pt>
                <c:pt idx="16">
                  <c:v>1283.194</c:v>
                </c:pt>
                <c:pt idx="17">
                  <c:v>1328.7820000000006</c:v>
                </c:pt>
                <c:pt idx="18">
                  <c:v>1310.453</c:v>
                </c:pt>
                <c:pt idx="19">
                  <c:v>1359.7749999999996</c:v>
                </c:pt>
                <c:pt idx="20">
                  <c:v>1382.7069999999994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26304"/>
        <c:axId val="196627840"/>
      </c:barChart>
      <c:catAx>
        <c:axId val="1966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6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6627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5641042072182485E-2"/>
              <c:y val="0.451516424083353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62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77619532044761"/>
          <c:y val="0.87879042392428219"/>
          <c:w val="0.34893184130213634"/>
          <c:h val="6.0606378748111034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EVOLUCIÓN DE POTENCIA INSTALADA 1 995 - 2 015</a:t>
            </a:r>
          </a:p>
        </c:rich>
      </c:tx>
      <c:layout>
        <c:manualLayout>
          <c:xMode val="edge"/>
          <c:yMode val="edge"/>
          <c:x val="0.27786565607509378"/>
          <c:y val="0.1009819772528434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332560834298957"/>
          <c:y val="0.24666746962066935"/>
          <c:w val="0.80301274623406715"/>
          <c:h val="0.4666681857688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 P.I.'!$R$7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cat>
            <c:strRef>
              <c:f>'2.1 P.I.'!$Q$8:$Q$28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P.I.'!$R$8:$R$28</c:f>
              <c:numCache>
                <c:formatCode>#\ ##,000</c:formatCode>
                <c:ptCount val="21"/>
                <c:pt idx="0">
                  <c:v>4461.7</c:v>
                </c:pt>
                <c:pt idx="1">
                  <c:v>4662.6049999999996</c:v>
                </c:pt>
                <c:pt idx="2">
                  <c:v>5192.4979999999996</c:v>
                </c:pt>
                <c:pt idx="3">
                  <c:v>5515.29</c:v>
                </c:pt>
                <c:pt idx="4">
                  <c:v>5742.4279999999999</c:v>
                </c:pt>
                <c:pt idx="5">
                  <c:v>6066.1890000000003</c:v>
                </c:pt>
                <c:pt idx="6">
                  <c:v>5906.6930000000002</c:v>
                </c:pt>
                <c:pt idx="7">
                  <c:v>5935.5330000000004</c:v>
                </c:pt>
                <c:pt idx="8">
                  <c:v>5970.0630000000001</c:v>
                </c:pt>
                <c:pt idx="9">
                  <c:v>6016.3186000000023</c:v>
                </c:pt>
                <c:pt idx="10">
                  <c:v>6200.5255999999999</c:v>
                </c:pt>
                <c:pt idx="11">
                  <c:v>6658.1435999999994</c:v>
                </c:pt>
                <c:pt idx="12">
                  <c:v>7027.5172000000002</c:v>
                </c:pt>
                <c:pt idx="13">
                  <c:v>7157.9350000000031</c:v>
                </c:pt>
                <c:pt idx="14">
                  <c:v>7986.4960000000019</c:v>
                </c:pt>
                <c:pt idx="15">
                  <c:v>8612.5569999999989</c:v>
                </c:pt>
                <c:pt idx="16">
                  <c:v>8691.3240000000005</c:v>
                </c:pt>
                <c:pt idx="17">
                  <c:v>9699.0969999999979</c:v>
                </c:pt>
                <c:pt idx="18">
                  <c:v>11050.719000000001</c:v>
                </c:pt>
                <c:pt idx="19">
                  <c:v>11202.619000000001</c:v>
                </c:pt>
                <c:pt idx="20">
                  <c:v>12251.621000000003</c:v>
                </c:pt>
              </c:numCache>
            </c:numRef>
          </c:val>
        </c:ser>
        <c:ser>
          <c:idx val="1"/>
          <c:order val="1"/>
          <c:tx>
            <c:strRef>
              <c:f>'2.1 P.I.'!$S$7</c:f>
              <c:strCache>
                <c:ptCount val="1"/>
                <c:pt idx="0">
                  <c:v>Hidro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</c:spPr>
          <c:invertIfNegative val="0"/>
          <c:cat>
            <c:strRef>
              <c:f>'2.1 P.I.'!$Q$8:$Q$28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P.I.'!$S$8:$S$28</c:f>
              <c:numCache>
                <c:formatCode>#\ ##,000</c:formatCode>
                <c:ptCount val="21"/>
                <c:pt idx="0">
                  <c:v>2479.4</c:v>
                </c:pt>
                <c:pt idx="1">
                  <c:v>2492.7239999999997</c:v>
                </c:pt>
                <c:pt idx="2">
                  <c:v>2512.9939999999997</c:v>
                </c:pt>
                <c:pt idx="3">
                  <c:v>2572.0610000000001</c:v>
                </c:pt>
                <c:pt idx="4">
                  <c:v>2673.2799999999997</c:v>
                </c:pt>
                <c:pt idx="5">
                  <c:v>2856.8250000000003</c:v>
                </c:pt>
                <c:pt idx="6">
                  <c:v>2966.328</c:v>
                </c:pt>
                <c:pt idx="7">
                  <c:v>2996.4710000000014</c:v>
                </c:pt>
                <c:pt idx="8">
                  <c:v>3032.3070000000002</c:v>
                </c:pt>
                <c:pt idx="9">
                  <c:v>3055.8676000000023</c:v>
                </c:pt>
                <c:pt idx="10">
                  <c:v>3207.0616000000005</c:v>
                </c:pt>
                <c:pt idx="11">
                  <c:v>3216.0025999999998</c:v>
                </c:pt>
                <c:pt idx="12">
                  <c:v>3233.5982000000004</c:v>
                </c:pt>
                <c:pt idx="13">
                  <c:v>3242.0260000000017</c:v>
                </c:pt>
                <c:pt idx="14">
                  <c:v>3277.4640000000018</c:v>
                </c:pt>
                <c:pt idx="15">
                  <c:v>3437.6019999999999</c:v>
                </c:pt>
                <c:pt idx="16">
                  <c:v>3450.953</c:v>
                </c:pt>
                <c:pt idx="17">
                  <c:v>3483.9739999999988</c:v>
                </c:pt>
                <c:pt idx="18">
                  <c:v>3556.1819999999998</c:v>
                </c:pt>
                <c:pt idx="19">
                  <c:v>3661.8649999999993</c:v>
                </c:pt>
                <c:pt idx="20">
                  <c:v>4166.0349999999999</c:v>
                </c:pt>
              </c:numCache>
            </c:numRef>
          </c:val>
        </c:ser>
        <c:ser>
          <c:idx val="2"/>
          <c:order val="2"/>
          <c:tx>
            <c:strRef>
              <c:f>'2.1 P.I.'!$T$7</c:f>
              <c:strCache>
                <c:ptCount val="1"/>
                <c:pt idx="0">
                  <c:v>Termo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strRef>
              <c:f>'2.1 P.I.'!$Q$8:$Q$28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P.I.'!$T$8:$T$28</c:f>
              <c:numCache>
                <c:formatCode>#\ ##,000</c:formatCode>
                <c:ptCount val="21"/>
                <c:pt idx="0">
                  <c:v>1982.3</c:v>
                </c:pt>
                <c:pt idx="1">
                  <c:v>2169.6310000000003</c:v>
                </c:pt>
                <c:pt idx="2">
                  <c:v>2679.2539999999999</c:v>
                </c:pt>
                <c:pt idx="3">
                  <c:v>2942.9789999999998</c:v>
                </c:pt>
                <c:pt idx="4">
                  <c:v>3068.4480000000003</c:v>
                </c:pt>
                <c:pt idx="5">
                  <c:v>3208.6640000000002</c:v>
                </c:pt>
                <c:pt idx="6">
                  <c:v>2939.665</c:v>
                </c:pt>
                <c:pt idx="7">
                  <c:v>2938.3619999999996</c:v>
                </c:pt>
                <c:pt idx="8">
                  <c:v>2937.056</c:v>
                </c:pt>
                <c:pt idx="9">
                  <c:v>2959.7510000000002</c:v>
                </c:pt>
                <c:pt idx="10">
                  <c:v>2992.7639999999992</c:v>
                </c:pt>
                <c:pt idx="11">
                  <c:v>3441.4409999999998</c:v>
                </c:pt>
                <c:pt idx="12">
                  <c:v>3793.2190000000001</c:v>
                </c:pt>
                <c:pt idx="13">
                  <c:v>3915.2090000000017</c:v>
                </c:pt>
                <c:pt idx="14">
                  <c:v>4708.3320000000003</c:v>
                </c:pt>
                <c:pt idx="15">
                  <c:v>5174.2549999999983</c:v>
                </c:pt>
                <c:pt idx="16">
                  <c:v>5239.6710000000003</c:v>
                </c:pt>
                <c:pt idx="17">
                  <c:v>6134.4229999999989</c:v>
                </c:pt>
                <c:pt idx="18">
                  <c:v>7413.8369999999995</c:v>
                </c:pt>
                <c:pt idx="19">
                  <c:v>7302.054000000001</c:v>
                </c:pt>
                <c:pt idx="20">
                  <c:v>7749.8860000000022</c:v>
                </c:pt>
              </c:numCache>
            </c:numRef>
          </c:val>
        </c:ser>
        <c:ser>
          <c:idx val="3"/>
          <c:order val="3"/>
          <c:tx>
            <c:strRef>
              <c:f>'2.1 P.I.'!$U$7</c:f>
              <c:strCache>
                <c:ptCount val="1"/>
                <c:pt idx="0">
                  <c:v>Solar</c:v>
                </c:pt>
              </c:strCache>
            </c:strRef>
          </c:tx>
          <c:invertIfNegative val="0"/>
          <c:cat>
            <c:strRef>
              <c:f>'2.1 P.I.'!$Q$8:$Q$28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P.I.'!$U$8:$U$28</c:f>
              <c:numCache>
                <c:formatCode>General</c:formatCode>
                <c:ptCount val="21"/>
                <c:pt idx="17" formatCode="#\ ##,000">
                  <c:v>80</c:v>
                </c:pt>
                <c:pt idx="18" formatCode="#\ ##,000">
                  <c:v>80</c:v>
                </c:pt>
                <c:pt idx="19" formatCode="#\ ##,000">
                  <c:v>96</c:v>
                </c:pt>
                <c:pt idx="20" formatCode="#\ ##,000">
                  <c:v>96</c:v>
                </c:pt>
              </c:numCache>
            </c:numRef>
          </c:val>
        </c:ser>
        <c:ser>
          <c:idx val="4"/>
          <c:order val="4"/>
          <c:tx>
            <c:strRef>
              <c:f>'2.1 P.I.'!$V$7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'2.1 P.I.'!$Q$8:$Q$28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'2.1 P.I.'!$V$8:$V$28</c:f>
              <c:numCache>
                <c:formatCode>#\ ##,000</c:formatCode>
                <c:ptCount val="21"/>
                <c:pt idx="19">
                  <c:v>142.69999999999999</c:v>
                </c:pt>
                <c:pt idx="20">
                  <c:v>239.7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73536"/>
        <c:axId val="196675072"/>
      </c:barChart>
      <c:catAx>
        <c:axId val="19667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67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667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5492490890610359E-2"/>
              <c:y val="0.44000139982502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67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143242332322213"/>
          <c:y val="0.83333613298337705"/>
          <c:w val="0.64610717896865522"/>
          <c:h val="0.16666386701662295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POTENCIA INSTALADA POR SISTEMA - GENERACIÓN PARA MERCADO ELÉCTRICO
 2001 - 2015</a:t>
            </a:r>
          </a:p>
        </c:rich>
      </c:tx>
      <c:layout>
        <c:manualLayout>
          <c:xMode val="edge"/>
          <c:yMode val="edge"/>
          <c:x val="0.20920348738157493"/>
          <c:y val="4.3378995433789952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2093023255813953"/>
          <c:y val="0.24657575478875948"/>
          <c:w val="0.81162790697674414"/>
          <c:h val="0.46917886675083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'2.3-2.4'!$T$39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'2.3-2.4'!$S$40:$S$60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'2.3-2.4'!$T$40:$T$60</c:f>
              <c:numCache>
                <c:formatCode>#\ ##,000</c:formatCode>
                <c:ptCount val="21"/>
                <c:pt idx="0">
                  <c:v>3185.7000000000003</c:v>
                </c:pt>
                <c:pt idx="1">
                  <c:v>3352.8809999999999</c:v>
                </c:pt>
                <c:pt idx="2">
                  <c:v>4325.0209999999997</c:v>
                </c:pt>
                <c:pt idx="3">
                  <c:v>4632.2779999999993</c:v>
                </c:pt>
                <c:pt idx="4">
                  <c:v>4828.2430000000004</c:v>
                </c:pt>
                <c:pt idx="5">
                  <c:v>5148.8510000000006</c:v>
                </c:pt>
                <c:pt idx="6">
                  <c:v>5050.8140000000003</c:v>
                </c:pt>
                <c:pt idx="7">
                  <c:v>5068.0510000000004</c:v>
                </c:pt>
                <c:pt idx="8">
                  <c:v>5095.1030000000001</c:v>
                </c:pt>
                <c:pt idx="9">
                  <c:v>5096.0216000000019</c:v>
                </c:pt>
                <c:pt idx="10">
                  <c:v>5220.6336000000001</c:v>
                </c:pt>
                <c:pt idx="11">
                  <c:v>5625.1416000000008</c:v>
                </c:pt>
                <c:pt idx="12">
                  <c:v>5989.7251999999999</c:v>
                </c:pt>
                <c:pt idx="13">
                  <c:v>5996.9830000000029</c:v>
                </c:pt>
                <c:pt idx="14">
                  <c:v>6723.5160000000014</c:v>
                </c:pt>
                <c:pt idx="15">
                  <c:v>7309.1659999999993</c:v>
                </c:pt>
                <c:pt idx="16">
                  <c:v>7314.2370000000001</c:v>
                </c:pt>
                <c:pt idx="17">
                  <c:v>8267.1709999999985</c:v>
                </c:pt>
                <c:pt idx="18">
                  <c:v>9634.6309999999994</c:v>
                </c:pt>
                <c:pt idx="19">
                  <c:v>9739.2480000000014</c:v>
                </c:pt>
                <c:pt idx="20">
                  <c:v>10765.318000000003</c:v>
                </c:pt>
              </c:numCache>
            </c:numRef>
          </c:val>
        </c:ser>
        <c:ser>
          <c:idx val="1"/>
          <c:order val="1"/>
          <c:tx>
            <c:strRef>
              <c:f>'2.3-2.4'!$U$39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'2.3-2.4'!$S$40:$S$60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'2.3-2.4'!$U$40:$U$60</c:f>
              <c:numCache>
                <c:formatCode>#\ ##,000</c:formatCode>
                <c:ptCount val="21"/>
                <c:pt idx="0">
                  <c:v>2838.6350000000002</c:v>
                </c:pt>
                <c:pt idx="1">
                  <c:v>2972.7149999999997</c:v>
                </c:pt>
                <c:pt idx="2">
                  <c:v>3953.7150000000001</c:v>
                </c:pt>
                <c:pt idx="3">
                  <c:v>4226.2039999999997</c:v>
                </c:pt>
                <c:pt idx="4">
                  <c:v>4466.0550000000003</c:v>
                </c:pt>
                <c:pt idx="5">
                  <c:v>4789.9960000000001</c:v>
                </c:pt>
                <c:pt idx="6">
                  <c:v>4744.8370000000004</c:v>
                </c:pt>
                <c:pt idx="7">
                  <c:v>4841.7170000000006</c:v>
                </c:pt>
                <c:pt idx="8">
                  <c:v>4881.0070000000005</c:v>
                </c:pt>
                <c:pt idx="9">
                  <c:v>4898.7466000000022</c:v>
                </c:pt>
                <c:pt idx="10">
                  <c:v>5014.1686</c:v>
                </c:pt>
                <c:pt idx="11">
                  <c:v>5410.4616000000005</c:v>
                </c:pt>
                <c:pt idx="12">
                  <c:v>5769.2542000000003</c:v>
                </c:pt>
                <c:pt idx="13">
                  <c:v>5755.247000000003</c:v>
                </c:pt>
                <c:pt idx="14">
                  <c:v>6491.4780000000019</c:v>
                </c:pt>
                <c:pt idx="15">
                  <c:v>7131.0879999999997</c:v>
                </c:pt>
                <c:pt idx="16">
                  <c:v>7142.3890000000001</c:v>
                </c:pt>
                <c:pt idx="17">
                  <c:v>8096.2529999999979</c:v>
                </c:pt>
                <c:pt idx="18">
                  <c:v>9441.601999999999</c:v>
                </c:pt>
                <c:pt idx="19">
                  <c:v>9517.353000000001</c:v>
                </c:pt>
                <c:pt idx="20">
                  <c:v>10542.723000000004</c:v>
                </c:pt>
              </c:numCache>
            </c:numRef>
          </c:val>
        </c:ser>
        <c:ser>
          <c:idx val="2"/>
          <c:order val="2"/>
          <c:tx>
            <c:strRef>
              <c:f>'2.3-2.4'!$V$39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00CC"/>
            </a:solidFill>
            <a:ln>
              <a:solidFill>
                <a:srgbClr val="0000CC"/>
              </a:solidFill>
            </a:ln>
          </c:spPr>
          <c:invertIfNegative val="0"/>
          <c:cat>
            <c:strRef>
              <c:f>'2.3-2.4'!$S$40:$S$60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'2.3-2.4'!$V$40:$V$60</c:f>
              <c:numCache>
                <c:formatCode>#\ ##,000</c:formatCode>
                <c:ptCount val="21"/>
                <c:pt idx="0">
                  <c:v>347.06500000000005</c:v>
                </c:pt>
                <c:pt idx="1">
                  <c:v>380.166</c:v>
                </c:pt>
                <c:pt idx="2">
                  <c:v>371.30599999999993</c:v>
                </c:pt>
                <c:pt idx="3">
                  <c:v>406.07400000000001</c:v>
                </c:pt>
                <c:pt idx="4">
                  <c:v>362.18799999999993</c:v>
                </c:pt>
                <c:pt idx="5">
                  <c:v>358.85500000000002</c:v>
                </c:pt>
                <c:pt idx="6">
                  <c:v>305.97699999999992</c:v>
                </c:pt>
                <c:pt idx="7">
                  <c:v>226.33399999999995</c:v>
                </c:pt>
                <c:pt idx="8">
                  <c:v>214.09599999999992</c:v>
                </c:pt>
                <c:pt idx="9">
                  <c:v>197.27499999999989</c:v>
                </c:pt>
                <c:pt idx="10">
                  <c:v>206.46499999999986</c:v>
                </c:pt>
                <c:pt idx="11">
                  <c:v>214.67999999999998</c:v>
                </c:pt>
                <c:pt idx="12">
                  <c:v>220.47099999999983</c:v>
                </c:pt>
                <c:pt idx="13">
                  <c:v>241.73599999999988</c:v>
                </c:pt>
                <c:pt idx="14">
                  <c:v>232.03799999999993</c:v>
                </c:pt>
                <c:pt idx="15">
                  <c:v>178.07799999999995</c:v>
                </c:pt>
                <c:pt idx="16">
                  <c:v>171.84800000000001</c:v>
                </c:pt>
                <c:pt idx="17">
                  <c:v>170.91799999999998</c:v>
                </c:pt>
                <c:pt idx="18">
                  <c:v>193.02899999999994</c:v>
                </c:pt>
                <c:pt idx="19">
                  <c:v>221.89500000000007</c:v>
                </c:pt>
                <c:pt idx="20">
                  <c:v>222.59499999999994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713472"/>
        <c:axId val="196723456"/>
      </c:barChart>
      <c:catAx>
        <c:axId val="19671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72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672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4.1978948304086633E-2"/>
              <c:y val="0.390411677992305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9671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274136240966117"/>
          <c:y val="0.86986445187502237"/>
          <c:w val="0.3401017770238739"/>
          <c:h val="6.8493150684931559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/>
              <a:t>POTENCIA INSTALADA POR SISTEMA - GENERACIÓN PARA USO PROPIO 
2001 - 2015</a:t>
            </a:r>
          </a:p>
        </c:rich>
      </c:tx>
      <c:layout>
        <c:manualLayout>
          <c:xMode val="edge"/>
          <c:yMode val="edge"/>
          <c:x val="0.23737799975757037"/>
          <c:y val="3.9393939393939391E-2"/>
        </c:manualLayout>
      </c:layout>
      <c:overlay val="0"/>
      <c:spPr>
        <a:solidFill>
          <a:schemeClr val="bg1">
            <a:lumMod val="6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655024920583069"/>
          <c:y val="0.23636433583195973"/>
          <c:w val="0.82167925690110644"/>
          <c:h val="0.50303179164237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'2.3-2.4'!$T$66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'2.3-2.4'!$S$67:$S$87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'2.3-2.4'!$T$67:$T$87</c:f>
              <c:numCache>
                <c:formatCode>#\ ##,000</c:formatCode>
                <c:ptCount val="21"/>
                <c:pt idx="0">
                  <c:v>1276</c:v>
                </c:pt>
                <c:pt idx="1">
                  <c:v>1309.7239999999999</c:v>
                </c:pt>
                <c:pt idx="2">
                  <c:v>867.47699999999986</c:v>
                </c:pt>
                <c:pt idx="3">
                  <c:v>883.01200000000006</c:v>
                </c:pt>
                <c:pt idx="4">
                  <c:v>914.18499999999995</c:v>
                </c:pt>
                <c:pt idx="5">
                  <c:v>917.33800000000008</c:v>
                </c:pt>
                <c:pt idx="6">
                  <c:v>855.87900000000002</c:v>
                </c:pt>
                <c:pt idx="7">
                  <c:v>867.48199999999974</c:v>
                </c:pt>
                <c:pt idx="8">
                  <c:v>100</c:v>
                </c:pt>
                <c:pt idx="9">
                  <c:v>920.29700000000003</c:v>
                </c:pt>
                <c:pt idx="10">
                  <c:v>979.89199999999994</c:v>
                </c:pt>
                <c:pt idx="11">
                  <c:v>1033.0019999999997</c:v>
                </c:pt>
                <c:pt idx="12">
                  <c:v>1037.7919999999999</c:v>
                </c:pt>
                <c:pt idx="13">
                  <c:v>1160.9520000000007</c:v>
                </c:pt>
                <c:pt idx="14">
                  <c:v>1262.9800000000002</c:v>
                </c:pt>
                <c:pt idx="15">
                  <c:v>1303.3909999999998</c:v>
                </c:pt>
                <c:pt idx="16">
                  <c:v>1377.087</c:v>
                </c:pt>
                <c:pt idx="17">
                  <c:v>1431.9260000000006</c:v>
                </c:pt>
                <c:pt idx="18">
                  <c:v>1416.0879999999997</c:v>
                </c:pt>
                <c:pt idx="19">
                  <c:v>1463.3709999999996</c:v>
                </c:pt>
                <c:pt idx="20">
                  <c:v>1486.3029999999994</c:v>
                </c:pt>
              </c:numCache>
            </c:numRef>
          </c:val>
        </c:ser>
        <c:ser>
          <c:idx val="1"/>
          <c:order val="1"/>
          <c:tx>
            <c:strRef>
              <c:f>'2.3-2.4'!$U$66</c:f>
              <c:strCache>
                <c:ptCount val="1"/>
                <c:pt idx="0">
                  <c:v>SEIN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strRef>
              <c:f>'2.3-2.4'!$S$67:$S$87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'2.3-2.4'!$U$67:$U$87</c:f>
              <c:numCache>
                <c:formatCode>#\ ##,000</c:formatCode>
                <c:ptCount val="21"/>
                <c:pt idx="0">
                  <c:v>610.09</c:v>
                </c:pt>
                <c:pt idx="1">
                  <c:v>613.89</c:v>
                </c:pt>
                <c:pt idx="2">
                  <c:v>243.416</c:v>
                </c:pt>
                <c:pt idx="3">
                  <c:v>180.49599999999998</c:v>
                </c:pt>
                <c:pt idx="4">
                  <c:v>133.91</c:v>
                </c:pt>
                <c:pt idx="5">
                  <c:v>143.62</c:v>
                </c:pt>
                <c:pt idx="6">
                  <c:v>134.809</c:v>
                </c:pt>
                <c:pt idx="7">
                  <c:v>131.839</c:v>
                </c:pt>
                <c:pt idx="8">
                  <c:v>131.74900000000002</c:v>
                </c:pt>
                <c:pt idx="9">
                  <c:v>161.499</c:v>
                </c:pt>
                <c:pt idx="10">
                  <c:v>179.03300000000002</c:v>
                </c:pt>
                <c:pt idx="11">
                  <c:v>185.02</c:v>
                </c:pt>
                <c:pt idx="12">
                  <c:v>182.75000000000003</c:v>
                </c:pt>
                <c:pt idx="13">
                  <c:v>182.16</c:v>
                </c:pt>
                <c:pt idx="14">
                  <c:v>300</c:v>
                </c:pt>
                <c:pt idx="15">
                  <c:v>200.02500000000001</c:v>
                </c:pt>
                <c:pt idx="16">
                  <c:v>199.05100000000002</c:v>
                </c:pt>
                <c:pt idx="17">
                  <c:v>195.82100000000005</c:v>
                </c:pt>
                <c:pt idx="18">
                  <c:v>192.32100000000003</c:v>
                </c:pt>
                <c:pt idx="19">
                  <c:v>190.22699999999998</c:v>
                </c:pt>
                <c:pt idx="20">
                  <c:v>205.07699999999997</c:v>
                </c:pt>
              </c:numCache>
            </c:numRef>
          </c:val>
        </c:ser>
        <c:ser>
          <c:idx val="2"/>
          <c:order val="2"/>
          <c:tx>
            <c:strRef>
              <c:f>'2.3-2.4'!$V$66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rgbClr val="0000CC"/>
            </a:solidFill>
            <a:ln>
              <a:solidFill>
                <a:srgbClr val="0000CC"/>
              </a:solidFill>
            </a:ln>
          </c:spPr>
          <c:invertIfNegative val="0"/>
          <c:cat>
            <c:strRef>
              <c:f>'2.3-2.4'!$S$67:$S$87</c:f>
              <c:strCach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2015*</c:v>
                </c:pt>
              </c:strCache>
            </c:strRef>
          </c:cat>
          <c:val>
            <c:numRef>
              <c:f>'2.3-2.4'!$V$67:$V$87</c:f>
              <c:numCache>
                <c:formatCode>#\ ##,000</c:formatCode>
                <c:ptCount val="21"/>
                <c:pt idx="0">
                  <c:v>665.91</c:v>
                </c:pt>
                <c:pt idx="1">
                  <c:v>695.83399999999995</c:v>
                </c:pt>
                <c:pt idx="2">
                  <c:v>624.06099999999992</c:v>
                </c:pt>
                <c:pt idx="3">
                  <c:v>702.51600000000008</c:v>
                </c:pt>
                <c:pt idx="4">
                  <c:v>780.27499999999998</c:v>
                </c:pt>
                <c:pt idx="5">
                  <c:v>773.71800000000007</c:v>
                </c:pt>
                <c:pt idx="6">
                  <c:v>721.07</c:v>
                </c:pt>
                <c:pt idx="7">
                  <c:v>735.6429999999998</c:v>
                </c:pt>
                <c:pt idx="8">
                  <c:v>743.21100000000001</c:v>
                </c:pt>
                <c:pt idx="9">
                  <c:v>758.798</c:v>
                </c:pt>
                <c:pt idx="10">
                  <c:v>800.85899999999992</c:v>
                </c:pt>
                <c:pt idx="11">
                  <c:v>847.98199999999974</c:v>
                </c:pt>
                <c:pt idx="12">
                  <c:v>855.04199999999992</c:v>
                </c:pt>
                <c:pt idx="13">
                  <c:v>978.79200000000071</c:v>
                </c:pt>
                <c:pt idx="14">
                  <c:v>200</c:v>
                </c:pt>
                <c:pt idx="15">
                  <c:v>1103.3659999999998</c:v>
                </c:pt>
                <c:pt idx="16">
                  <c:v>1178.0360000000001</c:v>
                </c:pt>
                <c:pt idx="17">
                  <c:v>1236.1050000000005</c:v>
                </c:pt>
                <c:pt idx="18">
                  <c:v>1223.7669999999998</c:v>
                </c:pt>
                <c:pt idx="19">
                  <c:v>1273.1439999999996</c:v>
                </c:pt>
                <c:pt idx="20">
                  <c:v>1281.2259999999994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59520"/>
        <c:axId val="187269504"/>
      </c:barChart>
      <c:catAx>
        <c:axId val="1872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72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26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4.7004534423771963E-2"/>
              <c:y val="0.41515278771971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87259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776192914622716"/>
          <c:y val="0.87879042392428219"/>
          <c:w val="0.34893185005974153"/>
          <c:h val="6.0606378748111034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152400</xdr:rowOff>
    </xdr:from>
    <xdr:to>
      <xdr:col>11</xdr:col>
      <xdr:colOff>371475</xdr:colOff>
      <xdr:row>9</xdr:row>
      <xdr:rowOff>104775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00100"/>
          <a:ext cx="8020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23</xdr:row>
      <xdr:rowOff>123825</xdr:rowOff>
    </xdr:from>
    <xdr:to>
      <xdr:col>9</xdr:col>
      <xdr:colOff>619125</xdr:colOff>
      <xdr:row>45</xdr:row>
      <xdr:rowOff>133350</xdr:rowOff>
    </xdr:to>
    <xdr:pic>
      <xdr:nvPicPr>
        <xdr:cNvPr id="3" name="2 Imagen" descr="http://4.bp.blogspot.com/-zO8dA-tTDAg/VG8LQw22fzI/AAAAAAAATP4/seODGHeHd50/s1600/Aerogeneradores_Parque%2BE%C3%B3lico%2BTalara%2B0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3848100"/>
          <a:ext cx="4981575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</xdr:row>
      <xdr:rowOff>28575</xdr:rowOff>
    </xdr:from>
    <xdr:to>
      <xdr:col>3</xdr:col>
      <xdr:colOff>657225</xdr:colOff>
      <xdr:row>26</xdr:row>
      <xdr:rowOff>142875</xdr:rowOff>
    </xdr:to>
    <xdr:pic>
      <xdr:nvPicPr>
        <xdr:cNvPr id="4" name="3 Imagen" descr="http://www.energias-renovables.com/ficheroenergias/fotos/fotovoltaica/ampliada/s/solarpack_-tacna_solar_-_per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95525"/>
          <a:ext cx="26384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666751</xdr:colOff>
      <xdr:row>60</xdr:row>
      <xdr:rowOff>0</xdr:rowOff>
    </xdr:from>
    <xdr:to>
      <xdr:col>3</xdr:col>
      <xdr:colOff>251884</xdr:colOff>
      <xdr:row>61</xdr:row>
      <xdr:rowOff>142875</xdr:rowOff>
    </xdr:to>
    <xdr:sp macro="" textlink="">
      <xdr:nvSpPr>
        <xdr:cNvPr id="5" name="AutoShape 14" descr="data:image/jpeg;base64,/9j/4AAQSkZJRgABAQAAAQABAAD/2wCEAAkGBxQTEhUUEhQUFRQXFRcYFxUYFBQXFBUXFBQXFxcXFRcYHCggGBolHBQVITEhJSkrLi4uFx8zODMsNygtLiwBCgoKDg0OGxAQGywkICQsLCwsLCwsLCwsLCwsLCwsLCwsLCwsLCwsLCwsLCwsLCwsLCwsLCwsLCwsLCwsLCwsLP/AABEIAJUBUgMBEQACEQEDEQH/xAAcAAACAwEBAQEAAAAAAAAAAAAEBQECAwAGBwj/xABCEAABAwIDBAcGAwYFBAMAAAABAAIRAyEEEjEFQVFhBiJxgZGhsRMjMsHR8HKy4RRCUmKC8Qczc5Kzg6LC0hUko//EABsBAAIDAQEBAAAAAAAAAAAAAAAEAQIDBQYH/8QAOhEAAgIBAwIDBgYBAwEJAAAAAAECEQMEITESIkFRcQUTMmGB8CORobHB0eEzQvEUBhYkRFJygqLC/9oADAMBAAIRAxEAPwD5RlWRYiEAdlQBYBAFsqAJhQBMIAsGqLLDHZrdTyPoktS/A6/s5cv5EVxZEOQzrYBc1NxexypcnNClsqkN2NimFzpP8Q7cY1gQrqtunocHHyqmUyrQzNK+HLDDuEqsMkZK0XyY5Y3UjOFYodCgg6EE7HQgg6FAHQgCYU2TRCAo6EBQZhW9Vyym90b412sEcFoYMqpIOQBKgDlIHIsDkAcoAhSBWFIHEIQFVIEQiwIIUWBykCEARCANCFIEQgCQ1QSTlQQTCLAtCiySYUBRICLJSGmAb1T2Ln533Hc0CqDKVG2Voclcy7GBPam4s5M1uc1t1MnsVitxyW9QBc1PvbPQNfhJCqs26fxvY4mZblaTLjtV5OkzKCuSGO2GWaeH0Sele7Q/ro7JiuE6c2iIQCR0IIZ0IAiEAcAglGuWyzbLkGmpUieksyijqJUA3C0+q5ZSluMY4drFtUXW8XsKSRSFJWiUBRyCSEEUcgDkEHIAhSBCAIQBBUoCEAQoAhWAhQBKANYUkkQggkBAEwoJLQgCQEAWhBJZrVRvYshrhWdQ9i52V9x6HSRrE/QyqNsexXiYZN4sCeE7A5E+SaTbhRN7BjVyQ3cLDv8AkucnuzvS+BC3ENTuI4+dblcMOsFfJ8JlhXehntNnV7h6JHA+86WrScBNC6RxwnC4Iva90xlHiscmbokl5mscfUm/IFhamR0KQIhAHAKARvTCykXQSKMrLro3UbNmYdV6zaGI1p07OVZS3RtGFRYor07puLOdONMwhaGVHQgCYQSRCCCIQFEwghFVIM5QQVKkCFIEI4A5QBBUoCpUgQVAHQosCcJVLhcKzQG8IJJhQBMIAmFAEwgktChgaUwqz2RrjVscUWw09nzXLm7kj0mGNYn6AzgtoiswN7U5FnGyKmXoNuFXI9i2Bd6Gjh1R3/JILlncl8KAK7U5A5GdGeHb1lefBji+Ia49tu4eiQwvuOnqd4iUtXTXBx2OdkU/du5/NIal96HdPG4MSvZBT6dqxFoP/YmnD5h8QJPaEt71rN0+Br0LosWwmjEiEEm9FZSLRGdAJSY5jDaVJZdQ/jiXbQmexDkbxx2LMVg05CWwrl0gqrUoK3TOVkx9LoyhW5ZnRfKhgVIQQRCCCIUkkEIAghBBWFJUiFAEQgDoUgRCAOhAEQp2AiEWBjs/FF1jFleSoEHgKhJMIJJAQRRMIJJhAEwqgaUHt4iJjX74LLK9hrTxuSGVXEgMcReAPVc9Rbmj0iVY5egHSxzTr1bb1v0NCbVoh6YhwcfMtwXCbQaapbIgDXnvCnLF9Fhpt8g7NcENA35vJc6Kds7mRdq+oNVi43jyTcGcnOuSlBt1pPgXxfENsW23cPQLn4nv9Tp512/QSvbddJM475HGzLMPa30KR1HxnQ067RVjKcPPanMcu0RyKpMb4OmDRg78w9EnlbWS0ax+EX7GwjX1CHiRldbnGvkmNRkcYXEwSVi80jOXfMecJjqTVlTapQcxxa4QRqFmpqcU48Fqp7huHcl5oaxsa4fRLPk6eHgOo07HsRyzoY4g1ahKcghh400LK+BkytopiGbQqTsT4ijDiFc4OfC4TaZLqfVCDNxpGBCLM2iIRbIo7KpsKKkKbIIIUgVhBDIIQFEEIIREKSDoUAQUAVQBytsAmwryHWWsiEz0NO4WRYtCCSwCgCYQBJCgkVbQ2gwtLWmSbTu1V4wd2VbRjsmmS4dqpqHUR7RRuaPSVR7qpP8AL6rmx+OP1PSyVYZP0FUW7k0JJWgNu0nsIGrRaOXbxTKxpo4edtSOwmU1SWzH1VctqG5ppEnPYfY1xa2kQYMO9UhjpuR2c3wx+osr457Xl2sgSNxgJzHBVRytRyOdnvzBroiQDHaqZNthfD8Q6xI1/CPQLnQOpm/gTVW3XRjwceS3G2zx7s/iHoUlm+Mf0/wgW06fWW+CVxFc6qQdhnAU2E8XeqXy7zYL4QfYFYGq+N2b0K0z/wCmrMVyC4qlFf8ArB85WsJXi+geIV0gpe+B/iA+ix0kvwmvIvNdxGOwwpVC0EkQCJ1gjejDkeXH1Pk3cemVIZewLAyf3mhw7DuS0cim3Xg6Ohi2Qx2eJBWsVbOpp9yzqSfhHYeSMTh0xBWW6LFe19m/vBTOBy9dolNdSFlSh1VmkcrJpmoC97VVnNlGtisIKpHQgKKkIuipWFaypEIsCCFIFSFJFEQgiiCEEFSEAQQgCEBQgY+DKYasqanFv/iPjCjpRNlf2h0RmPiVNIizbZ+MyOvMb41USjZKdHpKbgQCNCFg+TQG2i94AFMXJubQABz0UxrxIfyELMNIBmx1gTHIrVyrYolY22SzQ/RJ534HX0C70Oav+U/tb80lH/UX1PQz308voAGnAsQbT2Ji9xGAkxzesU9jexxNXHvYTsdt1lqHsbaFbjzaB6lP8LvzJHF8UvvwOtnXbH0YsfSz9UanTzTcXW5zM6s9Bg6cQNwAHgssr8RXGtxxiBc/hHoFz4PY6WXn6Cms266EHscmfIywA92fxj0KVzPvr5DmH4Afa4i44K+nZjqFuDUTNOlP85P+4fRVmu+X0Mk9kW2BQIxDjFsrz29UqczvGjPxCtqU4rA8YKMMvw2ifEL6Q0utTP3YrDSSpSRo1wU6SM94w8abfL+6NC+yS+Zvl+JMaY+nLKPIMB7HNak9PLpnP6/oPR4Qyp4cB9UAQAAQBoPu6vgzS6INvx3OjglVGLmru4mpXR0k0Q1qcgqJbJqUZELVxsrfgKcRgYlZ+7MMmBNHn8VhSHd6VmmmcDU6ZqRnisPld2qopmw9EqB3NQYtGRCGZEEIsgiEEEEKyZBWFJBBCkCCFFkFSFIEEIIoiEAIW4Zx0C36kRRz8M4RI18P7o6kFGowRtuExP6KOsKNqOyXOOsDmFHvCVEf06YY0CwAWMmXqhfW2pTe0t68ERMeO9X6WiLs52IpCnlZvvF9ec7lVqTdstGgrZOXMXOtbhbuCVz3VI6mi+IbVaTfZPymbt7oDik037xHe/8ALy+grp0DMX04W/smnITxqmK9qYY+0I7xzCawz7EcnWR72b4GhkcQdQs8supGujiNMeOrT/Af+RyVxcy9f4OpmXbH0YNg7OaeErZs52VbDvDi6rN7CeNdw2rjrf0j8oSEOB/JyK67bp/G9jl5ORjgm+6P4x6FK5X+J9BvCuwy2q0BsngrYZcmWoQJVw59nSPJ5/7iUOXc/oL+BvsthbXEgw5jrzb4HKJu4FAva7BLSeCphlsyUF7Xpy1vJ3zWGF1JmqMekTJDDwA/K1TonvJDGXhDBt2M7KPoErxN/wDyG4cIc0m9eoeIP5kYOEvL+h7EDPp6ff3qvQaRdzOimZuYuoolky1ILSJEilalK16bJjIX4nAg7kvlxFcmKMhftTByAQEjNUc7WafqXUIsRThUOJlhQJCBWiC1BU6FFlSpClEFYQBEK6IZUhBBV3NACzFbQizRHO3ktIwIbF/7Q7+J3iVp0ryItnoP2DLBBMmBy+4Cxvei9Gu0Q0UXzFgCJ3nM0W5wT4KkXclRL4PM+2MzN5meYTVIysbYLa/WioAOenis3DbYupeZntPaROdggtMQeVioxw2TYNgNGytLcERT1PapfBMeR1gD6JLKdfR7M9DgR7sk3AJJ7BTf84SL/wBT6f0d6r0z9UZvxLWn4ZNiL+qv0tmGOIu2riQ4mwEtF4uOK3wppHM10e4z2fhjqd++UZpoNJsMcfT6tP8A0z5VHpbFLeXr/COtkjcV6GuEwWVsuAk/NXc7ZzskNjQOiOMwrz4EILuG1X4/6W93VCRh8P35j2Rd30/gDxDbp2HBzMq3GOEb7n+sehS2V/ifQZx/6Z2NpS0KMbqRXOriUxDB7OnMWDrd5HzU33sTZpgmXbv92/8A4yh8MzFm2MO8ta69jCMUkm0CGeLrkMI1IcOzcVhXebwZG2cQMjc38t+1jVXTfG6GprtDsPUDmgAz1KR8h9VlNVLfzZvDgfYX4n9rvzquHmvvgexPYmpTXotEu4bUgfENhdatjWDszoCQpgXnszYMTCM7MqlNE1aLxkDVKMgrm5YEzSkqPNbXwmVJ3ucDW4+kSFqk5LIhBUjKoKlS1GxDK5VJUqWqeAIIUkNina+KjqtP4o17Frjj4shsUErYqQgD2QGaoZFmQBycRJPgQPFKcI1QDt2lUgZRLSRIidLieStjaXJEkxA2m74dJ48lva5KUMsLsnM0EuudYuQOHzlUeSmWUQDG0cj3NG4wrQdpMq0TTvuUMsiabesVDexeK3HWBYksrOrpUPabSKDubwD4E/IJFv8AF+h6LEvwPr/AEaV+5bdRmo+ILi6A1NtFrjl4I5uuiE7Kpz481TMxfBsh3iaN2g7qc8Zl75+SUj4+v8I7H+2PoVqC1/1VkxbJDYXYarLwOffP2D4piXwnNcameixjg12sEtbH+wapGHw/V/uMzXd9+QjbVIDy50x8I4xw8U9BqtjnZluPsFVDsOSP42/lclZt+8No/wCmD7RxBymN0KuPeQZV2WY4t/uqNoJa7ef4yrx+JnNkwrZ9YlzdIDKnlScgpZptsTTEaTMLODqRCe5GIbJqf0n/ALQs5vuRvB7kbdwpdSEDRtM//m1U081HJuPveJ2zGEVGjQ+xZ5Narahqr+ZriPZ4Sj8R5u/MlMEvxUhzFLZG7qS9Ro+TZSF+PFl13wNYXuZ7ObLe9TiVls7qQTkTKRlZnUaqyZaLMixKZFZexZtjDSwrl5NpCOuhcTxr2KTzkkDYlxAtqpSM3sLDiahMDdyV+lFGxjQkt62qpXkBYhRRBSo4ASbBWSsgWVdqDc0nyV+gixHVdJJ4klboqUUgcgD3DHtYMrnNnUmRckySe9Jvfg2RfB0XYjEtw9OoxhfADn/CCZuTu0Wb4LxVuhV0pwIouNMuY91J2TMy7S2JBB3ix8VbTZXk7vMjJHpNehuDrYuoaFF9FhbTLy6s4tblaWtgEAyesICcWFzt+QtPMsaV+Lo87WqF5LjqTKhbbGnJo0RxVHuXSNcMyXKk3SNYRtnvOhvR44qoGMiVxdZqJQaUVbbpL5nWxuOOHVLg9D0l6MOwrQx0G8232ISOPPP3rhkj0yXKf5nW0ephmxVE83tHAvpEZmRLGu1E5XCQRHJdBN3TNk4yXa/kKMVu5rfGJa6Bph5YM8aRG66JdzoSxxCvaOd7K5uwzz969Y0l1ev8I7EVtH0M61AkTdTGasrkhsDYcEPnh8ytZO4nLyQqYz2g8moL/uM86bUtjXb9X+5pNdwvxFEuIW8JpIRzwtnqdk4BzcPBHxVG8v3HJGWZSybMs41ArXodUyN30VFPuDIuwjG0po0TwDvJxW0JdzOTMnZ+GAdO/K8eLHBadRi2MPYNewA3MD0WEnTIjJWdWwwzPA3hv5RCxnIYizfE0vd3/hZ5MCX6n1nRg7RlRI9oIvNNv5Atc1qJviR6fZbbO4y78yWxS/8AEpG62igx9Lqj73r1mie5Kl3CPamhXYk9jpaflEbGgtcYgA6dwVtO+Q1VqSQc9ib4QupGD2LCbNEzJ4WDNEzKnhxUdkOhB7ua4mvn0boX1b7DyW2tluw9drXQ+m+QHREE2gjlIWkJdWPqR5+cf93gV25ssMIIHVfnIHCKj2x4NWq3QvJUI6mGAcQ4Qd4Ij979VZwkkZWmE0sMXWaJ7LrGclDl0TV8C/F41lNxa6ZGttFpFdStFJCzGY9j2wM3gtIxaK2K3u5/orogFK0AhAHIAP8AagOJc0OmJnX4gZB3G0TwJWW7WxeNJ7hO0cYypWc6hTNJhsynndULRubmN3fqqqHmaOW+xni8I9tQ0n9V7XZHg6hzScwPCNCORQmoqytWc7ZhBbmdDHOIDokdXKXW3kB7bc1aM7V0VcadGeHoXE6TqqTnsXij6Ptzo/gqeDo1KVUvru+NloFhI03W8Vxo58jnHfZp3tVO9t/GxxwW+3oD9E+k4wlKpSdhqFYPcXZntGdpLWtsYNurMcyutHVdOPpr9f3F3pfeS6rr6BPRXa5w7s1OA6TfvK4GrwudO2q3VeDO7DHGcel8Me9INsvxILnHecvYP7pPDicZuUm23y2dTS6WOHHUUeXxbOqJ1d4wLSuhDkd6LsHw+AFR7Q54Y2TLiCQIvoNf1TEZ1sc/XRaXFmWKq0/Y5Pee0zgiS3Jky79+afJXgvETWNo0ottS/Ab/APUf9PNYzfxev8I6eOPw+h9B2Vg8GcDUNSPbDS/EWjjvXKm3vJN9SapbU14/P7Rz9RLULUKMV2nz7aWHyvsI/W66mGdx3Jyxt2a4ui7MHEHKWMAMWJFJkgHlI8QiPw/V/uQ1bodbB2Syo11Rzw0sGaDocpl3G2XsuQkNVqJQailzt9/UVzKmtj223tp0auGpik0NILR2GD/6lJJbxqHS4qpO/ifn9+fyFoYpRlLqd2CY7YjA2kKbw8vbccCdxKn3rUlunaT28H5P5lupyUk1VCfb+yXURTpvjM0uBi4+Kfmuhjk7aaprZnGy87GeBwt2nt85C0UrkJSnuThqR05fJZTkUjOmOcJsd9Vzi0WFNhJ/6TUrkm76V5W/kq5Z0Ybo7E4UFrhwaItvFu5L9fctx7DIAw2F96zsaPILbUZbh9B7Ge12Xsw5XGN7vzJbTxyTz+8S2VW/K3SMcudRaiEVsHDfH1XrdBLd+pWGbuPI7fpQXAGefau11Wju6KXUk2iNlf5b4mC6BOsRaYWmn2i2TqfjjfkGv0b97k43cULrlmbRKVmyzdA1YJeU6ZtBk7FxLRXhzc0ggXiDxXD9puo9Xh9/8imstrZ0FbZ2WKz2NInrg87SbKdDkvCcp1TT8Br0l2ExuHDsmfKH+DnF3mCRym1wujjqNNnOnc7SdHyTpUK1DEB9SnlmKlNhhzQwmWtvMgaX4XWuSXv4JxVRWyMox936kdH+kD6WJFXDtDXG0Obmb1okZQbX4JHNgU+lye8Xfyst73pTF23tgYlxc+tTeCTmlzSIDjI7l08OlyOK8RGWtxdTt7nlauGLSeVlScOkYjJSVo1wGGa97WmwJAJ7UpmyOEW0bQSbo9X006F4bCspOoVjXzszGI6t4vG6UppNZkzPfyt7PZ+XqjbLjjFXxv8AbPE1cCQdCCd0X8F0utrkV2fAMKB5eKv1E0eq2N0Rdi6mRuIw1M/z1QPAanQpeGR+QxLGIMfhzRqvZnDixxbmboSDq08FpCXWk6M3szJ1d0kzJOpNyZ1knU3Vqvkjjgt7ZxgH0Cr0pcE7hVEkXy6cpWUkmaqMqtILdj3EAE8fksfcpF1JsaYHZjqlF1YVaQDXBuRziHmZuBwss5vpV0N4lvQds/Ae6fU9tSGQ3ZJzmcxtaN3mEvkd+B1tOu5KhjTqTSF/3z4Q36pNxqR6GENq+X9mGLrOkttAGXQeqtjjFpM0hjXRYBXxVRrco+EE3je7UE/0piOODdvn+hDV41yjtlYU16rWEgTF7NsNbwYMb4K1quP3OfNdMXI9D/8AEMqMNWk5rKbAQ1hfne4A1XHIYGf4eXxBLRU5Jvj128P4GIZXjlDHO234pUlfn5f4MaLxYOdlBLb8oMkcUv091juXE9+lWMaOyKNeq8nENaMlJ8loguqk9Voz2i1pOqZhGU49Xw82m/2OLlnPEkui92tvJeL29fAHqCkXBjrFrWgQRJ6gMuFxMW7gkF7xR6l5jHQ7tFsO4NDwZyOJERfdp4+BUTuTTXJlmxDfZVI1KPs2AZi8xMQW5XumeMB3krY9PPNk6Y/fNiWdxxLrlwE4KpIEm8C3O6T90n+ZecaR6JuxqdSk19apAJcAREyS0ze0QCvQ6b2ZFYVOTpV4ep5rLkj71xbKv2bhw4eycS1pgnXrXiOIsB3rLJgxqa6Jbfz97P1Ecksbn5ClmEEM1Jg7rzmcIJ7ge9cuXU1Hfnf9f8BJxVDjCZ2OyCRmptDh2MaFjmxNTdeST+apbP6o2Wo6YpGbsLY2OnzK5+bZxOhp8hngcP1xa1j3gEKufK+ijpxe1ns2OaC0NEcYOq6Tz6WOfFDFGns5U27+TXmmjmNSabYRWaHjuXp4ajHl7saMoNwZ8+29TDKhm8GY3HkV0Ou9j1Oik5wVHbBxAYGlzQ8Zoy8YDfqmsaqH1DW43NtRdOufzDts46nUc3IzJFojXt4aLeCajV3uLaTBkxJ9TuwfZONNKo6Gh0yIImyWyfGa6nAssFboX7YxQqVC4Myt/haNLfVYZJW6QxgxvFipu35sR7Ir/wD2WyYF9dNOK43tK3idCmoyb0fRMRtDB0i1z6jS4GbPFu6Vl7KiljSb38eTjTlkd+AQOmGAqNLXV6YFxBnQHXgu7ceBPpktz5T/AIibfGKqMOQMa1p9n1YL2OPVdroYt2J3JNQwqC8d7/oVjj/Fcr+R5ujj/ZVGOY9pLXZrMjKRl1BAG4eB435k8XUt2byS8D6I3/E19Sm7NTpuaWBriWktkggyARY8Jsulp129XS7W+3/Bzs3vLcXKLvbdf8Hyzaz6MgwSTTqZm5YAqdf2eXflHuzfmFhqJ9cup7WxvBBRikJ8OwiHNcB3dyRlJN0xhHqui3SKth3OLMhAbL84Y6Q1wYB1tGzUFhy4KmKbwNuHj6+v+PqRmg8kaYJ0i20cbXfXeWU3lrcoa3KCRlEHXdmvO4JjNqI5ElJbJNL/ACZ48bhvzb3PG1aTw4jWCb2g3Voyi0a0zNhcx2ZhIImHDXgr2mtw3su0nLljUyTeTANlSu6yb2oowEOsNDPLXzVnVbkK7GT8STJhhMb22MHT74JZQS23oY95sEUMbLesGNO7K0z4ys5Y6l22y8c0q8jLD1JPXLbG1iZ36cJOivNbbWEJty3Nm0yXajeZgi8ys3JKPB0MKbdjjB4YuMMJdJ0DSSbcBvlJ5MiSuWx3tKkt2O/YltJoNj7R8yDI6rZt8ko5KTs7cGpSdeS/dlKzWx1XTe8t4ntURcvFGiUqpoAqDQTaZPOJj1Pit16Cepg2RThpDgRY3Fr3nthS7apiix7UGZoNNwsTTcP91SqCfNUku2n98DuLFf6fshlS2JUqUHV2j3bLEyOFyByslnnjCag+WRl1WKGZYZPuYrw4ym3eNx4SPvcmHK0ZZcdsNfSl7Tp1GcJ/y2/RYuVRr1/cpjx7hJiW2sNxdAkwMxMWWKvczz4qiz0O0uj9TCYZhc4OLqjT1XvmzXDKTER1gNb3VnJxlaku5bVyvO/m7ONhzw1E3FLjzr78DfC4M02sJghwkQ4mI3FIW5SdeBtOUZ2l4DHGhxpsAnV+87w1dKOXL7lRva3/AAeI9pTjjytl9nUi2Lb27z/EFbFGXUvVfuef/wCpXvFRbCYV0E87KkcDasv/ANTJu0NNm4QlxJmYEeAW8dK8kkl5L9hnHN5HTvgI/YXSQQdDuXI1Wjm5VFPZfyzpYJZIUmitDZpBHL6rjTWSb6IxbfyVnejmSgOaOGOo0XZ0XsjNmlLURqm3V8+vy3FJ5FwzanUa0XcO6662j12j0mJQzZot2/ht+XkjOUZSeyPJdJsA17i4VGNH8xhRH/tDg62oqTXml/dHZ0OsWGFSR579ro0Ww6pmcNzYgHtPdu3LsYvbWCVdsvy/yMz10ckuKXzMKnSTDMAIzPfJkOExwh2YCf6V0o+0sLW1k+8cm1dL5f1X8iuv03cARSbTaTq4y5xG4bm6clhkzqcrjaNHHG3bd14eH9/qefx/SWs8QX24aDwAhZyyOXLKyyKPCElXaDybutykfJVOdkzJ8g9fHdqmMRGeVGDsYOLvALRGDmG4d7ar6WUuhuXPmiJDhMRuuPNaZ8sfdxS53MoRdyY1pVi3FB8GRWa6BETnzQlM8utSa4dl4rpqz7O3blL2FWGhoGELsvUkQ5wa0NNz8QXV0MHKGP8A93G/yOXqMkU5r5V4ef8Ak/OOOxOao7dJPmstS+qbfzHcMagkDUXwZ5pKatG65Pq+0MDg69DZjn0mxVpV2vLJY4upsfkcXM167ZvwM2Suji4zhF+bv59236NGmplWKUl4cfkeC6dbEoYeq4Yd9TJkoOaHGT72m5zpmDq09nfboypKFLlNv86FcUnKLb8Dydv4z4H6qfoXOlyikWs1pUHuMDx3eKhyilZKTZWsxzTBRFpqyHsQ1pO9TsFmlGlJAJjmqt0iydsf4vY9NtJrm1czt4sIvpz7ZPckYaicptONIaUEkmgXCsV5s6GmTPrP+F2zmNJfUptcbQSYLbDQDXX0XnfaWoUZJNWvFeD/AG/Ic1k5+7qDoN6dYOm67A1pkwG2FwCbdkFZaPLKS6muW/pwdH2NmyR2lb9Twr6a6SPSKQJiGrSDMs8bRm0blYVhAZPp9Wj/AKZ/5aqrO6Q3i26vX/8AMT1uAxoZQ9nAyu1BBy85vb9Fx8uOTydVnFz4HPN7y91+f7HlqlMZjGkp9PY6PTfI0bhyXN/06f5GrDJNIy6lGL9X+7DqGHykEgd4nySzyWthbJNTjQ+xe0/aUy0mYy2JBE9aSBruFlhixuKfqv5OXi0vu8nV6/wYYWi8xY+CaeNpWzfJOCT3PZ4XYxcwA21N+YH0Xa0Oj95jTltu/wCD577T08tTmfS9imM2UaYzagEJ3JpFFdUfA4eo0EtP33sdQ2lhabYe8zv6rvojC9PGHTZpg1Oix4+5u/Rg7OlNGmTkbmHEnKVfHlhB1FGcfbGPC30Rv9P4YHienAaSW5G8j1voqSztNuCSMn7Z1Mn+HBL9f6FGK6dkmc3Lq2XJ1WJ5pdd0/OO35tcjWDUe0sju0l6AT+mJOlu8rkP2TCz0OnWqa75/oLsX0pqGfeOHeU1i9l4vI6cMU/Fnnsbtl7rlzj2k/VdTDoMS4QzHC6tiupjSfv7lPR08F4G0YKjA4gnhb70WyxJGqWwO+r2ctfvir9BST8jGpV3fWPNDiY5J+AO8/cT6IoRyWYPapQo0ZKxQviaxawAS2TrcE3k+g8FFW0Twgd2KOodB3GTNvn9FZIhheFx9aHRVeJBB948SCZIPIm8cVviySXDMpwi+ULX1DKye7NC9N4F96o0WQ12ltB5w9EB5hmYNAzAsDviAMaG9u3il8EXHLJms3cKED6hOpJ0GvDROmBRADJpgmY9PkspItFhmBr5XEjLpoYAMd4lY5I2qNIumD7RqhxmRJuerF+V/uNyvjVKikmBj7stCoThXwe23Ijs/VUluXiMqmJzD4hyHC2lmjnxSyh0+H3+Y1F2ThmDs7FE2dXSrc+rdHMR7GiYykkQAc2awuRBI0jh9fLauPvMm50XhWWSTv9DfaeIdVpNLjcudIbaIDY+IXiY71fDjUElFeL5+gzp8ccORqK8Fz9fI89icIYJ+vqV1IwfSdXHmV0JsVTQtmOPuiDsZdWbM8Udx/s/COrGk2mCSGQY3H2tU+hHitIwTScnsl/LMc+WOFTlN0rv/AOsT0O0+jWIpsnKS2JMXi15WUlp8j7Jb/l+RytP7S0+WdXueaFK93R4pSTrajrOXkj1nR+rhB1q9cAgNAGV+jRFyG8khkxZc0un4V58/ojia6Orfbhx7b+K8fqMdrY7Z5bLK/W5U3/MfNZz0WTFXu5df06f3YppsHtBS7se3qjytLbfs3hzQx8aZmkjvEp7Fjcd6Oxk0vXDpk2vRjDFdPKzxEUmD+Rl+7MTCanJz4il6I4z9m48TtJv1f9UYM6ZvGtWoe8KYPLH4ZNfVnI1ui94/higfE9NZ1Lj2lMp5nzJv1PLan2DHI7chZielZdoArrGxL/u9BP4mLam13PKt0V4jGP2RCHiB1cU7l2Agn1Qkh/Fo4x4MBX4yO4oa8h7HiSCKdQ7idDFjr271m0h6EDJ9c8xxsRM9t1rCKGYWC13XBGaeJPhdNRGGkqaMs39yZ+a2RZKuf1KGoD/F2kdXuJVyjlF+f8FahjfJ4WlSVlUVzuYGoTPV04n5woYs5Sdvp4Mw+Nfr81VoVk65KvqcCIQkLyZlm5yrGQNj6pMDgpgDBWuV6Km9KsYt8kLYDIvRQEByKJDKpJpjh26dyxjXWX/2gC3MzkAGOrcAZVZEovQxZE6acyqShZZMzqViTck9sk+eilRoNygUk9JvSqWiB81Ro1jAJpP4DwlZSGccGNcG8j9QPmEpkSZ2dLhkehweMqcz98lz8mOB6XTaddPcez6LbLrYsXENa53WiBLg2w3fuq+KEIJbW3wvF/mc72jqsOke3LS29L/s90/ojS9llMAxrKYeHV/E+mv/AE3v+fmeZXtfL7zqR8u6S7LFCoW5mO7CDv39yWn3dy2+/vfxPaez9U8+PqpoRmsBwVVE6XQNthdMa2EkUhSIOuZk+YIK3jKmnXBz9Z7J0+raeRvbyf8AyG47/EnG1BAdTp/gpj/ylaZc8sq6ZcCuL/s9oMbtpv1f9UeWrbQcTLnXKxlDqds69Y4KkYHG80e6MpZ8a8SjsYVZYhPLrYxKOxp0mP7a9issSOfk9ovwMH4pxNrrRY4+Jz8utmzOpiDuIPG6vHGjlZtRJ+Jk+v2StFAQlNsr7fcbeEK3SZ2S1wnX1UNbEFDWF4kdohHT5l0WpVxI3+n1VZQdG+OW4fRqBswHXOs2vxE37VhJdXI7jqJBxB0gTyL+ywGnirxh97DMJPj+wOu28gkcbO+aahwXlHytfmZl43vN7RB8gtlYNrxkbvjKJ3fynTiro1l0qKUv2B87Bo2065gPHMgw6sa4W3r/AGUfXAHVMzut5kKGZTyqMex39+aMDW5SImwP1VWhGc7MDUkcOwX75U0Kt2jNjzPHghlEB4h0uWkVsVfJkrEFgYUAQVIEIAvnUUTZRSQcgAh5JJn5x2KppVksp/cKrZeMCwbO9RdGigi7KSq5DEcSCKdILNyY3jwxC6Q7FlJj+LEkG0qhGiwlFHTxbcBlPEP4rFwidDHllwEU8U+fiPio4Ww3F3s0jWriXuu5xd2uJ9VS3waxjGC7Ul6Az6wG9WUWyk88Y8syOKbxVvdsXesx+ZU4jgrdBlLWLwIfUtJmOUfWyFHcxy6ppAdeuBv89FtGFnKza35mDMQJutHBif8A1e+4XSxQMggQYveRebGfVZPHW5nPU9RGMzNhxykTxGYzOpB4fJTjp2kKZMj5Bji3H4nPgi1zpw7Fr7uK4SF5ZW+SKmItFh4yrRh4i05AlWve/itFEwbLhzjp8vJDpEFzTdFte4Sq2gKB7t5jnuQ0i8WaB8mBE9vDfKrVI1i72D2E2EtPa4lYOuRyF8F6lEhs9Xzt9VMZJsbUKVgZqZZs3uk/NMq7J6+jy+hmDmdIM8rQtSF3ytGr3PduaAN8C/lZSayeSe1Kvv5FMRTEAy3wMIoplxxpO0VrulsWPYfluQZ5XcfP0YHWqkQAIA3TM9qKRzss6pLgwe+9gb8ypFm99ixEKgADjdbIzZCkDkAcgDkATKAIQByAD2UwGZje8AaQbXnvWZqUNTdHmoosmdCgunRweii6yM2DyFWkaxyyLNrkeXoocEbR1Ekbtrw6DcW0MG/cVm4JqzaOqmh9s+q18dQAixMyDwsAL3SOWLh4j2PVTN6dNpAnNbODDhctc3Tq2F9Lqjtfp98nUwZpSjyCYutvAIHDNK0xw3pjGfK4xtCrEVymowRxc+omwV1UytVFUISzSs1ZiCquCNo6iXJNfFOOpOm8yiMEimbNJvkoBry5KRVtmdN5EHVWaRipvk44l26BfgD6oUF4lZ5ZMZbNomqblurQeprLmj90jiscjUFt+5EW5cl9rUgKhubW14cI0H3KjDJuJOSO4qLonWTpfT6phKxSWzNGfLfdQzIu4kAGfIKFTYEMqGNbaxZDiiUWpXFoHaJ+irLZ7lkNNlbMFQG8HUmNfMJXPncPAcw41IlwaNGkQYkOPFQnLzGEo+RbcbDvErSK3HMQJWeLDLfiI+iZgtrNHKD2cd/P7RdlBo3en0WqWxssUFwild7Gj/LafvsV6M8kscV8CBxU3wNNIHhoooV97vdGFSuXCZI5Tb0UcC88jlF1sDF5sPkPsoE3bMw6TutyA9Ah8GD5OqusoXIAS2MzkAcgDkAcgDkAcgDkAf/Z"/>
        <xdr:cNvSpPr>
          <a:spLocks noChangeAspect="1" noChangeArrowheads="1"/>
        </xdr:cNvSpPr>
      </xdr:nvSpPr>
      <xdr:spPr bwMode="auto">
        <a:xfrm>
          <a:off x="2106084" y="9525000"/>
          <a:ext cx="304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333375</xdr:colOff>
      <xdr:row>42</xdr:row>
      <xdr:rowOff>104775</xdr:rowOff>
    </xdr:from>
    <xdr:to>
      <xdr:col>11</xdr:col>
      <xdr:colOff>581025</xdr:colOff>
      <xdr:row>52</xdr:row>
      <xdr:rowOff>0</xdr:rowOff>
    </xdr:to>
    <xdr:pic>
      <xdr:nvPicPr>
        <xdr:cNvPr id="6" name="8 Imagen" descr="http://proactivo.com.pe/wp-content/uploads/2014/09/Huanza2-600x33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6905625"/>
          <a:ext cx="23907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0.77118</cdr:x>
      <cdr:y>0.29017</cdr:y>
    </cdr:from>
    <cdr:to>
      <cdr:x>0.86885</cdr:x>
      <cdr:y>0.35249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277802" y="964095"/>
          <a:ext cx="795131" cy="2070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PE" sz="1100" b="1">
              <a:latin typeface="+mn-lt"/>
              <a:cs typeface="Arial" pitchFamily="34" charset="0"/>
            </a:rPr>
            <a:t>Solar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37</xdr:row>
      <xdr:rowOff>38100</xdr:rowOff>
    </xdr:from>
    <xdr:to>
      <xdr:col>16</xdr:col>
      <xdr:colOff>57150</xdr:colOff>
      <xdr:row>57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628650</xdr:colOff>
      <xdr:row>57</xdr:row>
      <xdr:rowOff>123825</xdr:rowOff>
    </xdr:from>
    <xdr:to>
      <xdr:col>16</xdr:col>
      <xdr:colOff>38100</xdr:colOff>
      <xdr:row>75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581025</xdr:colOff>
      <xdr:row>76</xdr:row>
      <xdr:rowOff>28575</xdr:rowOff>
    </xdr:from>
    <xdr:to>
      <xdr:col>16</xdr:col>
      <xdr:colOff>9525</xdr:colOff>
      <xdr:row>94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35</xdr:row>
      <xdr:rowOff>57150</xdr:rowOff>
    </xdr:from>
    <xdr:to>
      <xdr:col>6</xdr:col>
      <xdr:colOff>342900</xdr:colOff>
      <xdr:row>52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</xdr:row>
      <xdr:rowOff>0</xdr:rowOff>
    </xdr:from>
    <xdr:to>
      <xdr:col>8</xdr:col>
      <xdr:colOff>714375</xdr:colOff>
      <xdr:row>58</xdr:row>
      <xdr:rowOff>2466975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36</xdr:row>
      <xdr:rowOff>123825</xdr:rowOff>
    </xdr:from>
    <xdr:to>
      <xdr:col>7</xdr:col>
      <xdr:colOff>0</xdr:colOff>
      <xdr:row>58</xdr:row>
      <xdr:rowOff>85725</xdr:rowOff>
    </xdr:to>
    <xdr:graphicFrame macro="">
      <xdr:nvGraphicFramePr>
        <xdr:cNvPr id="2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34</xdr:row>
      <xdr:rowOff>123825</xdr:rowOff>
    </xdr:from>
    <xdr:to>
      <xdr:col>10</xdr:col>
      <xdr:colOff>238125</xdr:colOff>
      <xdr:row>54</xdr:row>
      <xdr:rowOff>38100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409575</xdr:colOff>
      <xdr:row>54</xdr:row>
      <xdr:rowOff>47625</xdr:rowOff>
    </xdr:from>
    <xdr:to>
      <xdr:col>10</xdr:col>
      <xdr:colOff>266700</xdr:colOff>
      <xdr:row>73</xdr:row>
      <xdr:rowOff>95250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36</xdr:row>
      <xdr:rowOff>133350</xdr:rowOff>
    </xdr:from>
    <xdr:to>
      <xdr:col>10</xdr:col>
      <xdr:colOff>371475</xdr:colOff>
      <xdr:row>58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361950</xdr:colOff>
      <xdr:row>59</xdr:row>
      <xdr:rowOff>66675</xdr:rowOff>
    </xdr:from>
    <xdr:to>
      <xdr:col>10</xdr:col>
      <xdr:colOff>371475</xdr:colOff>
      <xdr:row>82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36</xdr:row>
      <xdr:rowOff>47625</xdr:rowOff>
    </xdr:from>
    <xdr:to>
      <xdr:col>9</xdr:col>
      <xdr:colOff>485775</xdr:colOff>
      <xdr:row>55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57</xdr:row>
      <xdr:rowOff>95250</xdr:rowOff>
    </xdr:from>
    <xdr:to>
      <xdr:col>9</xdr:col>
      <xdr:colOff>504825</xdr:colOff>
      <xdr:row>77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37</xdr:row>
      <xdr:rowOff>57150</xdr:rowOff>
    </xdr:from>
    <xdr:to>
      <xdr:col>10</xdr:col>
      <xdr:colOff>371475</xdr:colOff>
      <xdr:row>56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59</xdr:row>
      <xdr:rowOff>9525</xdr:rowOff>
    </xdr:from>
    <xdr:to>
      <xdr:col>10</xdr:col>
      <xdr:colOff>371475</xdr:colOff>
      <xdr:row>78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33</xdr:row>
      <xdr:rowOff>19050</xdr:rowOff>
    </xdr:from>
    <xdr:to>
      <xdr:col>4</xdr:col>
      <xdr:colOff>1143000</xdr:colOff>
      <xdr:row>52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32</xdr:row>
      <xdr:rowOff>28575</xdr:rowOff>
    </xdr:from>
    <xdr:to>
      <xdr:col>7</xdr:col>
      <xdr:colOff>628650</xdr:colOff>
      <xdr:row>51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85</xdr:row>
      <xdr:rowOff>66675</xdr:rowOff>
    </xdr:from>
    <xdr:to>
      <xdr:col>7</xdr:col>
      <xdr:colOff>676275</xdr:colOff>
      <xdr:row>106</xdr:row>
      <xdr:rowOff>66675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35</xdr:row>
      <xdr:rowOff>0</xdr:rowOff>
    </xdr:from>
    <xdr:to>
      <xdr:col>6</xdr:col>
      <xdr:colOff>1066800</xdr:colOff>
      <xdr:row>57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59</xdr:row>
      <xdr:rowOff>9525</xdr:rowOff>
    </xdr:from>
    <xdr:to>
      <xdr:col>7</xdr:col>
      <xdr:colOff>314325</xdr:colOff>
      <xdr:row>83</xdr:row>
      <xdr:rowOff>19050</xdr:rowOff>
    </xdr:to>
    <xdr:graphicFrame macro="">
      <xdr:nvGraphicFramePr>
        <xdr:cNvPr id="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34</xdr:row>
      <xdr:rowOff>57150</xdr:rowOff>
    </xdr:from>
    <xdr:to>
      <xdr:col>8</xdr:col>
      <xdr:colOff>47625</xdr:colOff>
      <xdr:row>58</xdr:row>
      <xdr:rowOff>4552950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36</xdr:row>
      <xdr:rowOff>57150</xdr:rowOff>
    </xdr:from>
    <xdr:to>
      <xdr:col>6</xdr:col>
      <xdr:colOff>342900</xdr:colOff>
      <xdr:row>58</xdr:row>
      <xdr:rowOff>3181350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37</xdr:row>
      <xdr:rowOff>19050</xdr:rowOff>
    </xdr:from>
    <xdr:to>
      <xdr:col>6</xdr:col>
      <xdr:colOff>352425</xdr:colOff>
      <xdr:row>65</xdr:row>
      <xdr:rowOff>19050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1047750</xdr:colOff>
      <xdr:row>40</xdr:row>
      <xdr:rowOff>161925</xdr:rowOff>
    </xdr:from>
    <xdr:to>
      <xdr:col>13</xdr:col>
      <xdr:colOff>790575</xdr:colOff>
      <xdr:row>64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809625</xdr:colOff>
      <xdr:row>69</xdr:row>
      <xdr:rowOff>104775</xdr:rowOff>
    </xdr:from>
    <xdr:to>
      <xdr:col>13</xdr:col>
      <xdr:colOff>619125</xdr:colOff>
      <xdr:row>98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56</xdr:row>
      <xdr:rowOff>123825</xdr:rowOff>
    </xdr:from>
    <xdr:to>
      <xdr:col>14</xdr:col>
      <xdr:colOff>485775</xdr:colOff>
      <xdr:row>73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74</xdr:row>
      <xdr:rowOff>85725</xdr:rowOff>
    </xdr:from>
    <xdr:to>
      <xdr:col>14</xdr:col>
      <xdr:colOff>466725</xdr:colOff>
      <xdr:row>93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38</xdr:row>
      <xdr:rowOff>76200</xdr:rowOff>
    </xdr:from>
    <xdr:to>
      <xdr:col>14</xdr:col>
      <xdr:colOff>495300</xdr:colOff>
      <xdr:row>56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57</xdr:row>
      <xdr:rowOff>123825</xdr:rowOff>
    </xdr:from>
    <xdr:to>
      <xdr:col>16</xdr:col>
      <xdr:colOff>485775</xdr:colOff>
      <xdr:row>74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75</xdr:row>
      <xdr:rowOff>85725</xdr:rowOff>
    </xdr:from>
    <xdr:to>
      <xdr:col>16</xdr:col>
      <xdr:colOff>390525</xdr:colOff>
      <xdr:row>94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39</xdr:row>
      <xdr:rowOff>76200</xdr:rowOff>
    </xdr:from>
    <xdr:to>
      <xdr:col>16</xdr:col>
      <xdr:colOff>495300</xdr:colOff>
      <xdr:row>57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56</xdr:row>
      <xdr:rowOff>142875</xdr:rowOff>
    </xdr:from>
    <xdr:to>
      <xdr:col>14</xdr:col>
      <xdr:colOff>428625</xdr:colOff>
      <xdr:row>73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74</xdr:row>
      <xdr:rowOff>104775</xdr:rowOff>
    </xdr:from>
    <xdr:to>
      <xdr:col>14</xdr:col>
      <xdr:colOff>428625</xdr:colOff>
      <xdr:row>93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38</xdr:row>
      <xdr:rowOff>123825</xdr:rowOff>
    </xdr:from>
    <xdr:to>
      <xdr:col>14</xdr:col>
      <xdr:colOff>419100</xdr:colOff>
      <xdr:row>56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56</xdr:row>
      <xdr:rowOff>142875</xdr:rowOff>
    </xdr:from>
    <xdr:to>
      <xdr:col>16</xdr:col>
      <xdr:colOff>428625</xdr:colOff>
      <xdr:row>71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72</xdr:row>
      <xdr:rowOff>104775</xdr:rowOff>
    </xdr:from>
    <xdr:to>
      <xdr:col>16</xdr:col>
      <xdr:colOff>428625</xdr:colOff>
      <xdr:row>91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38</xdr:row>
      <xdr:rowOff>123825</xdr:rowOff>
    </xdr:from>
    <xdr:to>
      <xdr:col>16</xdr:col>
      <xdr:colOff>419100</xdr:colOff>
      <xdr:row>56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3</xdr:row>
      <xdr:rowOff>57150</xdr:rowOff>
    </xdr:from>
    <xdr:to>
      <xdr:col>8</xdr:col>
      <xdr:colOff>876300</xdr:colOff>
      <xdr:row>33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40</xdr:row>
      <xdr:rowOff>95250</xdr:rowOff>
    </xdr:from>
    <xdr:to>
      <xdr:col>9</xdr:col>
      <xdr:colOff>28575</xdr:colOff>
      <xdr:row>65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38</xdr:row>
      <xdr:rowOff>38100</xdr:rowOff>
    </xdr:from>
    <xdr:to>
      <xdr:col>14</xdr:col>
      <xdr:colOff>57150</xdr:colOff>
      <xdr:row>58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628650</xdr:colOff>
      <xdr:row>58</xdr:row>
      <xdr:rowOff>123825</xdr:rowOff>
    </xdr:from>
    <xdr:to>
      <xdr:col>14</xdr:col>
      <xdr:colOff>38100</xdr:colOff>
      <xdr:row>76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581025</xdr:colOff>
      <xdr:row>77</xdr:row>
      <xdr:rowOff>28575</xdr:rowOff>
    </xdr:from>
    <xdr:to>
      <xdr:col>14</xdr:col>
      <xdr:colOff>9525</xdr:colOff>
      <xdr:row>95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152400</xdr:colOff>
      <xdr:row>48</xdr:row>
      <xdr:rowOff>47625</xdr:rowOff>
    </xdr:from>
    <xdr:to>
      <xdr:col>25</xdr:col>
      <xdr:colOff>276225</xdr:colOff>
      <xdr:row>49</xdr:row>
      <xdr:rowOff>123825</xdr:rowOff>
    </xdr:to>
    <xdr:grpSp>
      <xdr:nvGrpSpPr>
        <xdr:cNvPr id="5" name="Group 4"/>
        <xdr:cNvGrpSpPr>
          <a:grpSpLocks/>
        </xdr:cNvGrpSpPr>
      </xdr:nvGrpSpPr>
      <xdr:grpSpPr bwMode="auto">
        <a:xfrm>
          <a:off x="19153414" y="7666264"/>
          <a:ext cx="133350" cy="228600"/>
          <a:chOff x="601" y="120"/>
          <a:chExt cx="27" cy="35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H="1">
            <a:off x="601" y="120"/>
            <a:ext cx="11" cy="3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/>
          <xdr:cNvSpPr>
            <a:spLocks noChangeShapeType="1"/>
          </xdr:cNvSpPr>
        </xdr:nvSpPr>
        <xdr:spPr bwMode="auto">
          <a:xfrm>
            <a:off x="612" y="121"/>
            <a:ext cx="16" cy="33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601" y="155"/>
            <a:ext cx="27" cy="0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231913</xdr:colOff>
      <xdr:row>42</xdr:row>
      <xdr:rowOff>107673</xdr:rowOff>
    </xdr:from>
    <xdr:to>
      <xdr:col>13</xdr:col>
      <xdr:colOff>49696</xdr:colOff>
      <xdr:row>43</xdr:row>
      <xdr:rowOff>149086</xdr:rowOff>
    </xdr:to>
    <xdr:sp macro="" textlink="">
      <xdr:nvSpPr>
        <xdr:cNvPr id="9" name="1 CuadroTexto"/>
        <xdr:cNvSpPr txBox="1"/>
      </xdr:nvSpPr>
      <xdr:spPr>
        <a:xfrm>
          <a:off x="7794763" y="7099023"/>
          <a:ext cx="789333" cy="20333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1200" b="1">
              <a:latin typeface="+mn-lt"/>
              <a:cs typeface="Arial" pitchFamily="34" charset="0"/>
            </a:rPr>
            <a:t>Eólico</a:t>
          </a:r>
        </a:p>
      </xdr:txBody>
    </xdr:sp>
    <xdr:clientData/>
  </xdr:twoCellAnchor>
  <xdr:twoCellAnchor>
    <xdr:from>
      <xdr:col>10</xdr:col>
      <xdr:colOff>455543</xdr:colOff>
      <xdr:row>64</xdr:row>
      <xdr:rowOff>8283</xdr:rowOff>
    </xdr:from>
    <xdr:to>
      <xdr:col>12</xdr:col>
      <xdr:colOff>198783</xdr:colOff>
      <xdr:row>65</xdr:row>
      <xdr:rowOff>49696</xdr:rowOff>
    </xdr:to>
    <xdr:sp macro="" textlink="">
      <xdr:nvSpPr>
        <xdr:cNvPr id="10" name="1 CuadroTexto"/>
        <xdr:cNvSpPr txBox="1"/>
      </xdr:nvSpPr>
      <xdr:spPr>
        <a:xfrm>
          <a:off x="7399268" y="10561983"/>
          <a:ext cx="790990" cy="20333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900">
              <a:latin typeface="+mn-lt"/>
              <a:cs typeface="Arial" pitchFamily="34" charset="0"/>
            </a:rPr>
            <a:t>Solar</a:t>
          </a:r>
        </a:p>
      </xdr:txBody>
    </xdr:sp>
    <xdr:clientData/>
  </xdr:twoCellAnchor>
  <xdr:twoCellAnchor>
    <xdr:from>
      <xdr:col>11</xdr:col>
      <xdr:colOff>298174</xdr:colOff>
      <xdr:row>62</xdr:row>
      <xdr:rowOff>149087</xdr:rowOff>
    </xdr:from>
    <xdr:to>
      <xdr:col>13</xdr:col>
      <xdr:colOff>115957</xdr:colOff>
      <xdr:row>64</xdr:row>
      <xdr:rowOff>24848</xdr:rowOff>
    </xdr:to>
    <xdr:sp macro="" textlink="">
      <xdr:nvSpPr>
        <xdr:cNvPr id="11" name="1 CuadroTexto"/>
        <xdr:cNvSpPr txBox="1"/>
      </xdr:nvSpPr>
      <xdr:spPr>
        <a:xfrm>
          <a:off x="7861024" y="10378937"/>
          <a:ext cx="789333" cy="19961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E" sz="900">
              <a:latin typeface="+mn-lt"/>
              <a:cs typeface="Arial" pitchFamily="34" charset="0"/>
            </a:rPr>
            <a:t>Eólico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LIVETI/STD98/ANUARI~1/LASERJC5/P_INST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2%20Evol.%20Pot.%20Instalada-1995%20-%202015%20pr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2%20Evol.%20Pot.%20Efectiva-1995%20-%202015%20p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2.%20Evol.%20Producci&#243;n-1995%20-%202015%20p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DOCUMENTO%20EVOLUCIONES%202014%20(PRELIMINAR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I3%20Evol.%20Clientes-1995%20-%202015-%20p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J3%20Evol.%20Ventas-1995%20-%202015%20-%20p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K3%20Evol_Facturaci&#243;n-1995%20-%202015%20-%20p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L3%20Evol_Precio%20Medio-1995%20-%202015%20-%20p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TENCIA OyS"/>
      <sheetName val="New POTENCIA SyS"/>
      <sheetName val="Desagregado"/>
      <sheetName val="2.5"/>
    </sheetNames>
    <sheetDataSet>
      <sheetData sheetId="0"/>
      <sheetData sheetId="1"/>
      <sheetData sheetId="2">
        <row r="8">
          <cell r="D8">
            <v>2422.2950000000001</v>
          </cell>
          <cell r="E8">
            <v>1840.4349999999999</v>
          </cell>
          <cell r="F8">
            <v>581.86</v>
          </cell>
          <cell r="I8">
            <v>416.34</v>
          </cell>
          <cell r="J8">
            <v>312.27</v>
          </cell>
          <cell r="K8">
            <v>104.07</v>
          </cell>
          <cell r="L8">
            <v>347.06500000000005</v>
          </cell>
          <cell r="M8">
            <v>37.294999999999995</v>
          </cell>
          <cell r="N8">
            <v>309.77000000000004</v>
          </cell>
        </row>
        <row r="9">
          <cell r="D9">
            <v>2552.0549999999998</v>
          </cell>
          <cell r="E9">
            <v>1842.7349999999999</v>
          </cell>
          <cell r="F9">
            <v>709.32</v>
          </cell>
          <cell r="I9">
            <v>420.66</v>
          </cell>
          <cell r="J9">
            <v>311.97000000000003</v>
          </cell>
          <cell r="K9">
            <v>108.69</v>
          </cell>
          <cell r="L9">
            <v>380.166</v>
          </cell>
          <cell r="M9">
            <v>45.478999999999999</v>
          </cell>
          <cell r="N9">
            <v>334.43700000000001</v>
          </cell>
          <cell r="O9">
            <v>0.25</v>
          </cell>
        </row>
        <row r="10">
          <cell r="D10">
            <v>3243.17</v>
          </cell>
          <cell r="E10">
            <v>2039.8</v>
          </cell>
          <cell r="F10">
            <v>1203.3699999999999</v>
          </cell>
          <cell r="I10">
            <v>710.54500000000007</v>
          </cell>
          <cell r="J10">
            <v>312.49</v>
          </cell>
          <cell r="K10">
            <v>398.05500000000001</v>
          </cell>
          <cell r="L10">
            <v>371.30599999999993</v>
          </cell>
          <cell r="M10">
            <v>59.228999999999999</v>
          </cell>
          <cell r="N10">
            <v>311.82699999999994</v>
          </cell>
          <cell r="O10">
            <v>0.25</v>
          </cell>
        </row>
        <row r="11">
          <cell r="D11">
            <v>3498.7559999999994</v>
          </cell>
          <cell r="E11">
            <v>2078.4699999999998</v>
          </cell>
          <cell r="F11">
            <v>1420.2859999999998</v>
          </cell>
          <cell r="I11">
            <v>727.44799999999998</v>
          </cell>
          <cell r="J11">
            <v>312.77999999999997</v>
          </cell>
          <cell r="K11">
            <v>414.66800000000001</v>
          </cell>
          <cell r="L11">
            <v>406.07400000000001</v>
          </cell>
          <cell r="M11">
            <v>76.166000000000011</v>
          </cell>
          <cell r="N11">
            <v>329.65800000000002</v>
          </cell>
          <cell r="O11">
            <v>0.25</v>
          </cell>
        </row>
        <row r="12">
          <cell r="D12">
            <v>3672.607</v>
          </cell>
          <cell r="E12">
            <v>2190.5720000000001</v>
          </cell>
          <cell r="F12">
            <v>1482.0350000000001</v>
          </cell>
          <cell r="I12">
            <v>793.44800000000009</v>
          </cell>
          <cell r="J12">
            <v>315.58</v>
          </cell>
          <cell r="K12">
            <v>477.86800000000005</v>
          </cell>
          <cell r="L12">
            <v>362.18799999999993</v>
          </cell>
          <cell r="M12">
            <v>80.977000000000004</v>
          </cell>
          <cell r="N12">
            <v>280.51099999999997</v>
          </cell>
          <cell r="O12">
            <v>0.7</v>
          </cell>
        </row>
        <row r="13">
          <cell r="D13">
            <v>3858.317</v>
          </cell>
          <cell r="E13">
            <v>2375.6849999999999</v>
          </cell>
          <cell r="F13">
            <v>1482.6319999999998</v>
          </cell>
          <cell r="I13">
            <v>931.67900000000009</v>
          </cell>
          <cell r="J13">
            <v>321.31099999999998</v>
          </cell>
          <cell r="K13">
            <v>610.36800000000005</v>
          </cell>
          <cell r="L13">
            <v>358.85500000000002</v>
          </cell>
          <cell r="M13">
            <v>82.263999999999996</v>
          </cell>
          <cell r="N13">
            <v>275.89100000000002</v>
          </cell>
          <cell r="O13">
            <v>0.7</v>
          </cell>
        </row>
        <row r="16">
          <cell r="D16">
            <v>4744.8370000000004</v>
          </cell>
          <cell r="E16">
            <v>2807.623</v>
          </cell>
          <cell r="F16">
            <v>1937.2140000000002</v>
          </cell>
          <cell r="L16">
            <v>305.97699999999992</v>
          </cell>
          <cell r="M16">
            <v>81.81</v>
          </cell>
          <cell r="N16">
            <v>223.46699999999996</v>
          </cell>
          <cell r="O16">
            <v>0.7</v>
          </cell>
        </row>
        <row r="17">
          <cell r="D17">
            <v>4841.7170000000006</v>
          </cell>
          <cell r="E17">
            <v>2845.2130000000011</v>
          </cell>
          <cell r="F17">
            <v>1996.5039999999997</v>
          </cell>
          <cell r="L17">
            <v>226.33399999999995</v>
          </cell>
          <cell r="M17">
            <v>72.388999999999967</v>
          </cell>
          <cell r="N17">
            <v>153.245</v>
          </cell>
          <cell r="O17">
            <v>0.7</v>
          </cell>
        </row>
        <row r="18">
          <cell r="D18">
            <v>4881.0070000000005</v>
          </cell>
          <cell r="E18">
            <v>2874.9160000000006</v>
          </cell>
          <cell r="F18">
            <v>2006.0909999999999</v>
          </cell>
          <cell r="L18">
            <v>214.09599999999992</v>
          </cell>
          <cell r="M18">
            <v>71.904999999999944</v>
          </cell>
          <cell r="N18">
            <v>141.49099999999999</v>
          </cell>
          <cell r="O18">
            <v>0.7</v>
          </cell>
        </row>
        <row r="19">
          <cell r="D19">
            <v>4898.7466000000022</v>
          </cell>
          <cell r="E19">
            <v>2896.2306000000021</v>
          </cell>
          <cell r="F19">
            <v>2002.5160000000001</v>
          </cell>
          <cell r="L19">
            <v>197.27499999999989</v>
          </cell>
          <cell r="M19">
            <v>72.828999999999979</v>
          </cell>
          <cell r="N19">
            <v>123.74599999999992</v>
          </cell>
          <cell r="O19">
            <v>0.7</v>
          </cell>
        </row>
        <row r="20">
          <cell r="D20">
            <v>5014.1686</v>
          </cell>
          <cell r="E20">
            <v>3043.1506000000004</v>
          </cell>
          <cell r="F20">
            <v>1971.0179999999996</v>
          </cell>
          <cell r="L20">
            <v>206.46499999999986</v>
          </cell>
          <cell r="M20">
            <v>76.04899999999995</v>
          </cell>
          <cell r="N20">
            <v>129.71599999999992</v>
          </cell>
          <cell r="O20">
            <v>0.7</v>
          </cell>
        </row>
        <row r="21">
          <cell r="D21">
            <v>5410.4616000000005</v>
          </cell>
          <cell r="E21">
            <v>3053.2766000000001</v>
          </cell>
          <cell r="F21">
            <v>2357.1849999999999</v>
          </cell>
          <cell r="L21">
            <v>214.67999999999998</v>
          </cell>
          <cell r="M21">
            <v>74.524000000000001</v>
          </cell>
          <cell r="N21">
            <v>139.45599999999999</v>
          </cell>
          <cell r="O21">
            <v>0.7</v>
          </cell>
        </row>
        <row r="22">
          <cell r="D22">
            <v>5769.2542000000003</v>
          </cell>
          <cell r="E22">
            <v>3072.0132000000003</v>
          </cell>
          <cell r="F22">
            <v>2697.241</v>
          </cell>
          <cell r="L22">
            <v>220.47099999999983</v>
          </cell>
          <cell r="M22">
            <v>73.127999999999957</v>
          </cell>
          <cell r="N22">
            <v>146.64299999999989</v>
          </cell>
          <cell r="O22">
            <v>0.7</v>
          </cell>
        </row>
        <row r="23">
          <cell r="D23">
            <v>5755.247000000003</v>
          </cell>
          <cell r="E23">
            <v>3079.568000000002</v>
          </cell>
          <cell r="F23">
            <v>2675.679000000001</v>
          </cell>
          <cell r="L23">
            <v>241.73599999999988</v>
          </cell>
          <cell r="M23">
            <v>72.469999999999942</v>
          </cell>
          <cell r="N23">
            <v>168.56599999999995</v>
          </cell>
          <cell r="O23">
            <v>0.7</v>
          </cell>
        </row>
        <row r="24">
          <cell r="D24">
            <v>6491.4780000000019</v>
          </cell>
          <cell r="E24">
            <v>3121.6860000000015</v>
          </cell>
          <cell r="F24">
            <v>3369.7920000000004</v>
          </cell>
          <cell r="L24">
            <v>232.03799999999993</v>
          </cell>
          <cell r="M24">
            <v>61.44</v>
          </cell>
          <cell r="N24">
            <v>169.89799999999994</v>
          </cell>
          <cell r="O24">
            <v>0.7</v>
          </cell>
        </row>
        <row r="25">
          <cell r="D25">
            <v>7131.0879999999997</v>
          </cell>
          <cell r="E25">
            <v>3291.4250000000002</v>
          </cell>
          <cell r="F25">
            <v>3839.6629999999991</v>
          </cell>
          <cell r="L25">
            <v>178.07799999999995</v>
          </cell>
          <cell r="M25">
            <v>53.37</v>
          </cell>
          <cell r="N25">
            <v>124.00799999999995</v>
          </cell>
          <cell r="O25">
            <v>0.7</v>
          </cell>
        </row>
        <row r="26">
          <cell r="D26">
            <v>7142.3890000000001</v>
          </cell>
          <cell r="E26">
            <v>3310.1709999999998</v>
          </cell>
          <cell r="F26">
            <v>3832.2180000000003</v>
          </cell>
          <cell r="L26">
            <v>171.84800000000001</v>
          </cell>
          <cell r="M26">
            <v>46.888999999999996</v>
          </cell>
          <cell r="N26">
            <v>124.25900000000001</v>
          </cell>
          <cell r="O26">
            <v>0.7</v>
          </cell>
        </row>
        <row r="27">
          <cell r="D27">
            <v>8096.2529999999979</v>
          </cell>
          <cell r="E27">
            <v>3333.9409999999989</v>
          </cell>
          <cell r="F27">
            <v>4682.311999999999</v>
          </cell>
          <cell r="G27">
            <v>80</v>
          </cell>
          <cell r="L27">
            <v>170.91799999999998</v>
          </cell>
          <cell r="M27">
            <v>46.889000000000003</v>
          </cell>
          <cell r="N27">
            <v>123.32899999999998</v>
          </cell>
          <cell r="O27">
            <v>0.7</v>
          </cell>
        </row>
        <row r="28">
          <cell r="D28">
            <v>9441.601999999999</v>
          </cell>
          <cell r="E28">
            <v>3402.8779999999997</v>
          </cell>
          <cell r="F28">
            <v>5958.7240000000002</v>
          </cell>
          <cell r="G28">
            <v>80</v>
          </cell>
          <cell r="L28">
            <v>193.02899999999994</v>
          </cell>
          <cell r="M28">
            <v>47.668999999999997</v>
          </cell>
          <cell r="N28">
            <v>144.65999999999994</v>
          </cell>
          <cell r="O28">
            <v>0.7</v>
          </cell>
        </row>
        <row r="29">
          <cell r="D29">
            <v>9517.353000000001</v>
          </cell>
          <cell r="E29">
            <v>3506.0219999999995</v>
          </cell>
          <cell r="F29">
            <v>5773.331000000001</v>
          </cell>
          <cell r="G29">
            <v>96</v>
          </cell>
          <cell r="H29">
            <v>142</v>
          </cell>
          <cell r="L29">
            <v>221.89500000000007</v>
          </cell>
          <cell r="M29">
            <v>52.247000000000007</v>
          </cell>
          <cell r="N29">
            <v>168.94800000000006</v>
          </cell>
          <cell r="O29">
            <v>0.7</v>
          </cell>
        </row>
        <row r="30">
          <cell r="D30">
            <v>10542.723000000004</v>
          </cell>
          <cell r="E30">
            <v>4010.1920000000005</v>
          </cell>
          <cell r="F30">
            <v>6197.5310000000027</v>
          </cell>
          <cell r="G30">
            <v>96</v>
          </cell>
          <cell r="H30">
            <v>239</v>
          </cell>
          <cell r="L30">
            <v>222.59499999999994</v>
          </cell>
          <cell r="M30">
            <v>52.246999999999993</v>
          </cell>
          <cell r="N30">
            <v>169.64799999999997</v>
          </cell>
          <cell r="O30">
            <v>0.7</v>
          </cell>
        </row>
        <row r="53">
          <cell r="D53">
            <v>380.07</v>
          </cell>
          <cell r="E53">
            <v>196.31</v>
          </cell>
          <cell r="F53">
            <v>183.76</v>
          </cell>
          <cell r="G53">
            <v>230.02</v>
          </cell>
          <cell r="H53">
            <v>0</v>
          </cell>
          <cell r="I53">
            <v>230.02</v>
          </cell>
          <cell r="J53">
            <v>665.91</v>
          </cell>
          <cell r="K53">
            <v>93.09</v>
          </cell>
          <cell r="L53">
            <v>572.81999999999994</v>
          </cell>
        </row>
        <row r="54">
          <cell r="D54">
            <v>383.87</v>
          </cell>
          <cell r="E54">
            <v>196.31</v>
          </cell>
          <cell r="F54">
            <v>187.56</v>
          </cell>
          <cell r="G54">
            <v>230.02</v>
          </cell>
          <cell r="H54">
            <v>0</v>
          </cell>
          <cell r="I54">
            <v>230.02</v>
          </cell>
          <cell r="J54">
            <v>695.83399999999995</v>
          </cell>
          <cell r="K54">
            <v>96.23</v>
          </cell>
          <cell r="L54">
            <v>599.60399999999993</v>
          </cell>
        </row>
        <row r="55">
          <cell r="D55">
            <v>174.036</v>
          </cell>
          <cell r="E55">
            <v>12.91</v>
          </cell>
          <cell r="F55">
            <v>161.126</v>
          </cell>
          <cell r="G55">
            <v>69.38</v>
          </cell>
          <cell r="H55">
            <v>0</v>
          </cell>
          <cell r="I55">
            <v>69.38</v>
          </cell>
          <cell r="J55">
            <v>624.06099999999992</v>
          </cell>
          <cell r="K55">
            <v>88.564999999999998</v>
          </cell>
          <cell r="L55">
            <v>535.49599999999998</v>
          </cell>
        </row>
        <row r="56">
          <cell r="D56">
            <v>130.136</v>
          </cell>
          <cell r="E56">
            <v>12.91</v>
          </cell>
          <cell r="F56">
            <v>117.226</v>
          </cell>
          <cell r="G56">
            <v>50.36</v>
          </cell>
          <cell r="H56">
            <v>0</v>
          </cell>
          <cell r="I56">
            <v>50.36</v>
          </cell>
          <cell r="J56">
            <v>702.51600000000008</v>
          </cell>
          <cell r="K56">
            <v>91.734999999999999</v>
          </cell>
          <cell r="L56">
            <v>610.78100000000006</v>
          </cell>
        </row>
        <row r="57">
          <cell r="D57">
            <v>86.16</v>
          </cell>
          <cell r="E57">
            <v>12.91</v>
          </cell>
          <cell r="F57">
            <v>73.25</v>
          </cell>
          <cell r="G57">
            <v>47.75</v>
          </cell>
          <cell r="H57">
            <v>0</v>
          </cell>
          <cell r="I57">
            <v>47.75</v>
          </cell>
          <cell r="J57">
            <v>780.27499999999998</v>
          </cell>
          <cell r="K57">
            <v>73.240999999999985</v>
          </cell>
          <cell r="L57">
            <v>707.03399999999999</v>
          </cell>
        </row>
        <row r="58">
          <cell r="D58">
            <v>82.47</v>
          </cell>
          <cell r="E58">
            <v>12.91</v>
          </cell>
          <cell r="F58">
            <v>69.56</v>
          </cell>
          <cell r="G58">
            <v>61.15</v>
          </cell>
          <cell r="H58">
            <v>0</v>
          </cell>
          <cell r="I58">
            <v>61.15</v>
          </cell>
          <cell r="J58">
            <v>773.71800000000007</v>
          </cell>
          <cell r="K58">
            <v>64.655000000000001</v>
          </cell>
          <cell r="L58">
            <v>709.0630000000001</v>
          </cell>
        </row>
        <row r="61">
          <cell r="D61">
            <v>134.809</v>
          </cell>
          <cell r="E61">
            <v>12.91</v>
          </cell>
          <cell r="F61">
            <v>121.89899999999999</v>
          </cell>
          <cell r="J61">
            <v>721.07</v>
          </cell>
          <cell r="K61">
            <v>63.984999999999999</v>
          </cell>
          <cell r="L61">
            <v>657.08500000000004</v>
          </cell>
        </row>
        <row r="62">
          <cell r="D62">
            <v>131.839</v>
          </cell>
          <cell r="E62">
            <v>12.91</v>
          </cell>
          <cell r="F62">
            <v>118.92899999999999</v>
          </cell>
          <cell r="J62">
            <v>735.6429999999998</v>
          </cell>
          <cell r="K62">
            <v>65.958999999999975</v>
          </cell>
          <cell r="L62">
            <v>669.68399999999986</v>
          </cell>
        </row>
        <row r="63">
          <cell r="D63">
            <v>131.74900000000002</v>
          </cell>
          <cell r="E63">
            <v>12.91</v>
          </cell>
          <cell r="F63">
            <v>118.83900000000001</v>
          </cell>
          <cell r="J63">
            <v>743.21100000000001</v>
          </cell>
          <cell r="K63">
            <v>72.575999999999993</v>
          </cell>
          <cell r="L63">
            <v>670.63499999999999</v>
          </cell>
        </row>
        <row r="64">
          <cell r="D64">
            <v>161.499</v>
          </cell>
          <cell r="E64">
            <v>12.91</v>
          </cell>
          <cell r="F64">
            <v>148.589</v>
          </cell>
          <cell r="J64">
            <v>758.798</v>
          </cell>
          <cell r="K64">
            <v>73.897999999999968</v>
          </cell>
          <cell r="L64">
            <v>684.9</v>
          </cell>
        </row>
        <row r="65">
          <cell r="D65">
            <v>179.03300000000002</v>
          </cell>
          <cell r="E65">
            <v>14.114000000000001</v>
          </cell>
          <cell r="F65">
            <v>164.91900000000001</v>
          </cell>
          <cell r="J65">
            <v>800.85899999999992</v>
          </cell>
          <cell r="K65">
            <v>73.747999999999976</v>
          </cell>
          <cell r="L65">
            <v>727.11099999999999</v>
          </cell>
        </row>
        <row r="66">
          <cell r="D66">
            <v>185.02</v>
          </cell>
          <cell r="E66">
            <v>14.114000000000001</v>
          </cell>
          <cell r="F66">
            <v>170.90600000000001</v>
          </cell>
          <cell r="J66">
            <v>847.98199999999974</v>
          </cell>
          <cell r="K66">
            <v>74.087999999999994</v>
          </cell>
          <cell r="L66">
            <v>773.89399999999978</v>
          </cell>
        </row>
        <row r="67">
          <cell r="D67">
            <v>182.75000000000003</v>
          </cell>
          <cell r="E67">
            <v>13.704000000000001</v>
          </cell>
          <cell r="F67">
            <v>169.04600000000002</v>
          </cell>
          <cell r="J67">
            <v>855.04199999999992</v>
          </cell>
          <cell r="K67">
            <v>74.753</v>
          </cell>
          <cell r="L67">
            <v>780.28899999999987</v>
          </cell>
        </row>
        <row r="68">
          <cell r="D68">
            <v>182.16</v>
          </cell>
          <cell r="E68">
            <v>13.704000000000001</v>
          </cell>
          <cell r="F68">
            <v>168.45599999999999</v>
          </cell>
          <cell r="J68">
            <v>978.79200000000071</v>
          </cell>
          <cell r="K68">
            <v>76.283999999999978</v>
          </cell>
          <cell r="L68">
            <v>902.50800000000072</v>
          </cell>
        </row>
        <row r="69">
          <cell r="D69">
            <v>187.75500000000005</v>
          </cell>
          <cell r="E69">
            <v>13.704000000000001</v>
          </cell>
          <cell r="F69">
            <v>174.05100000000004</v>
          </cell>
          <cell r="J69">
            <v>1075.2250000000001</v>
          </cell>
          <cell r="K69">
            <v>80.633999999999986</v>
          </cell>
          <cell r="L69">
            <v>994.59100000000012</v>
          </cell>
        </row>
        <row r="70">
          <cell r="D70">
            <v>200.02500000000001</v>
          </cell>
          <cell r="E70">
            <v>13.704000000000001</v>
          </cell>
          <cell r="F70">
            <v>186.321</v>
          </cell>
          <cell r="J70">
            <v>1103.3659999999998</v>
          </cell>
          <cell r="K70">
            <v>79.103000000000009</v>
          </cell>
          <cell r="L70">
            <v>1024.2629999999997</v>
          </cell>
        </row>
        <row r="71">
          <cell r="D71">
            <v>199.05100000000002</v>
          </cell>
          <cell r="E71">
            <v>12.5</v>
          </cell>
          <cell r="F71">
            <v>186.55100000000002</v>
          </cell>
          <cell r="J71">
            <v>1178.0360000000001</v>
          </cell>
          <cell r="K71">
            <v>81.393000000000001</v>
          </cell>
          <cell r="L71">
            <v>1096.643</v>
          </cell>
        </row>
        <row r="72">
          <cell r="D72">
            <v>195.82100000000005</v>
          </cell>
          <cell r="E72">
            <v>12.899999999999999</v>
          </cell>
          <cell r="F72">
            <v>182.92100000000005</v>
          </cell>
          <cell r="J72">
            <v>1236.1050000000005</v>
          </cell>
          <cell r="K72">
            <v>90.243999999999986</v>
          </cell>
          <cell r="L72">
            <v>1145.8610000000006</v>
          </cell>
        </row>
        <row r="73">
          <cell r="D73">
            <v>192.32100000000003</v>
          </cell>
          <cell r="E73">
            <v>12.899999999999999</v>
          </cell>
          <cell r="F73">
            <v>179.42100000000002</v>
          </cell>
          <cell r="J73">
            <v>1223.7669999999998</v>
          </cell>
          <cell r="K73">
            <v>92.735000000000014</v>
          </cell>
          <cell r="L73">
            <v>1131.0319999999999</v>
          </cell>
        </row>
        <row r="74">
          <cell r="D74">
            <v>190.22699999999998</v>
          </cell>
          <cell r="E74">
            <v>12.899999999999999</v>
          </cell>
          <cell r="F74">
            <v>177.32699999999997</v>
          </cell>
          <cell r="J74">
            <v>1273.1439999999996</v>
          </cell>
          <cell r="K74">
            <v>90.696000000000012</v>
          </cell>
          <cell r="L74">
            <v>1182.4479999999996</v>
          </cell>
        </row>
        <row r="75">
          <cell r="D75">
            <v>205.07699999999997</v>
          </cell>
          <cell r="E75">
            <v>12.899999999999999</v>
          </cell>
          <cell r="F75">
            <v>192.17699999999996</v>
          </cell>
          <cell r="J75">
            <v>1281.2259999999994</v>
          </cell>
          <cell r="K75">
            <v>90.696000000000012</v>
          </cell>
          <cell r="L75">
            <v>1190.5299999999995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- EFECTIVA"/>
      <sheetName val="NEW SyS"/>
      <sheetName val="Desagregado"/>
    </sheetNames>
    <sheetDataSet>
      <sheetData sheetId="0"/>
      <sheetData sheetId="1"/>
      <sheetData sheetId="2">
        <row r="9">
          <cell r="D9">
            <v>2458.1259999999997</v>
          </cell>
          <cell r="E9">
            <v>1848.4849999999999</v>
          </cell>
          <cell r="F9">
            <v>609.64099999999996</v>
          </cell>
          <cell r="I9">
            <v>402.99</v>
          </cell>
          <cell r="J9">
            <v>312.27</v>
          </cell>
          <cell r="K9">
            <v>90.72</v>
          </cell>
          <cell r="L9">
            <v>334.27599999999995</v>
          </cell>
          <cell r="M9">
            <v>45.16</v>
          </cell>
          <cell r="N9">
            <v>289.11599999999999</v>
          </cell>
        </row>
        <row r="10">
          <cell r="D10">
            <v>2212.6770000000001</v>
          </cell>
          <cell r="E10">
            <v>1588.172</v>
          </cell>
          <cell r="F10">
            <v>624.505</v>
          </cell>
          <cell r="I10">
            <v>405.86799999999994</v>
          </cell>
          <cell r="J10">
            <v>309.26799999999997</v>
          </cell>
          <cell r="K10">
            <v>96.6</v>
          </cell>
          <cell r="L10">
            <v>260.95600000000002</v>
          </cell>
          <cell r="M10">
            <v>27.411000000000001</v>
          </cell>
          <cell r="N10">
            <v>233.29499999999999</v>
          </cell>
        </row>
        <row r="11">
          <cell r="D11">
            <v>2888.4399999999996</v>
          </cell>
          <cell r="E11">
            <v>1760.1</v>
          </cell>
          <cell r="F11">
            <v>1128.3399999999999</v>
          </cell>
          <cell r="I11">
            <v>629.43000000000006</v>
          </cell>
          <cell r="J11">
            <v>306.42</v>
          </cell>
          <cell r="K11">
            <v>323.01</v>
          </cell>
          <cell r="L11">
            <v>308.96299999999997</v>
          </cell>
          <cell r="M11">
            <v>53.651000000000003</v>
          </cell>
          <cell r="N11">
            <v>255.06199999999998</v>
          </cell>
        </row>
        <row r="12">
          <cell r="D12">
            <v>3090.3449999999998</v>
          </cell>
          <cell r="E12">
            <v>1758.8119999999999</v>
          </cell>
          <cell r="F12">
            <v>1331.5329999999999</v>
          </cell>
          <cell r="I12">
            <v>596.01</v>
          </cell>
          <cell r="J12">
            <v>199.51</v>
          </cell>
          <cell r="K12">
            <v>396.5</v>
          </cell>
          <cell r="L12">
            <v>334.44599999999997</v>
          </cell>
          <cell r="M12">
            <v>64.58</v>
          </cell>
          <cell r="N12">
            <v>269.61599999999999</v>
          </cell>
        </row>
        <row r="13">
          <cell r="D13">
            <v>3317.0060000000003</v>
          </cell>
          <cell r="E13">
            <v>1923.5890000000002</v>
          </cell>
          <cell r="F13">
            <v>1393.4169999999999</v>
          </cell>
          <cell r="I13">
            <v>712.75800000000004</v>
          </cell>
          <cell r="J13">
            <v>249.51</v>
          </cell>
          <cell r="K13">
            <v>463.24800000000005</v>
          </cell>
          <cell r="L13">
            <v>288.16500000000002</v>
          </cell>
          <cell r="M13">
            <v>69.52600000000001</v>
          </cell>
          <cell r="N13">
            <v>217.93899999999999</v>
          </cell>
        </row>
        <row r="14">
          <cell r="D14">
            <v>3595.0750000000007</v>
          </cell>
          <cell r="E14">
            <v>2189.9130000000005</v>
          </cell>
          <cell r="F14">
            <v>1405.162</v>
          </cell>
          <cell r="I14">
            <v>906.31200000000001</v>
          </cell>
          <cell r="J14">
            <v>315.24099999999999</v>
          </cell>
          <cell r="K14">
            <v>591.07100000000003</v>
          </cell>
          <cell r="L14">
            <v>274.54799999999994</v>
          </cell>
          <cell r="M14">
            <v>70.77</v>
          </cell>
          <cell r="N14">
            <v>203.07799999999997</v>
          </cell>
        </row>
        <row r="17">
          <cell r="D17">
            <v>4418.8459999999995</v>
          </cell>
          <cell r="E17">
            <v>2610.5159999999996</v>
          </cell>
          <cell r="F17">
            <v>1808.33</v>
          </cell>
          <cell r="L17">
            <v>223.21799999999993</v>
          </cell>
          <cell r="M17">
            <v>64.318999999999988</v>
          </cell>
          <cell r="N17">
            <v>158.19899999999996</v>
          </cell>
          <cell r="O17">
            <v>0.7</v>
          </cell>
        </row>
        <row r="18">
          <cell r="D18">
            <v>4491.7919999999995</v>
          </cell>
          <cell r="E18">
            <v>2642.558</v>
          </cell>
          <cell r="F18">
            <v>1849.2339999999999</v>
          </cell>
          <cell r="L18">
            <v>166.035</v>
          </cell>
          <cell r="M18">
            <v>60.305</v>
          </cell>
          <cell r="N18">
            <v>105.03</v>
          </cell>
          <cell r="O18">
            <v>0.7</v>
          </cell>
        </row>
        <row r="19">
          <cell r="D19">
            <v>4517.7180000000008</v>
          </cell>
          <cell r="E19">
            <v>2659.2490000000003</v>
          </cell>
          <cell r="F19">
            <v>1858.4690000000001</v>
          </cell>
          <cell r="L19">
            <v>168.67599999999996</v>
          </cell>
          <cell r="M19">
            <v>60.98</v>
          </cell>
          <cell r="N19">
            <v>106.99599999999997</v>
          </cell>
          <cell r="O19">
            <v>0.7</v>
          </cell>
        </row>
        <row r="20">
          <cell r="D20">
            <v>4493.808070000001</v>
          </cell>
          <cell r="E20">
            <v>2683.1130700000008</v>
          </cell>
          <cell r="F20">
            <v>1810.6949999999999</v>
          </cell>
          <cell r="L20">
            <v>163.50700000000006</v>
          </cell>
          <cell r="M20">
            <v>64.159000000000006</v>
          </cell>
          <cell r="N20">
            <v>98.648000000000053</v>
          </cell>
          <cell r="O20">
            <v>0.7</v>
          </cell>
        </row>
        <row r="21">
          <cell r="D21">
            <v>4619.7579999999998</v>
          </cell>
          <cell r="E21">
            <v>2849.114</v>
          </cell>
          <cell r="F21">
            <v>1770.6439999999998</v>
          </cell>
          <cell r="L21">
            <v>178.90499999999992</v>
          </cell>
          <cell r="M21">
            <v>69.658999999999963</v>
          </cell>
          <cell r="N21">
            <v>108.54599999999998</v>
          </cell>
          <cell r="O21">
            <v>0.7</v>
          </cell>
        </row>
        <row r="22">
          <cell r="D22">
            <v>4891.5619999999999</v>
          </cell>
          <cell r="E22">
            <v>2859.1</v>
          </cell>
          <cell r="F22">
            <v>2032.4620000000002</v>
          </cell>
          <cell r="L22">
            <v>172.8</v>
          </cell>
          <cell r="M22">
            <v>67.518000000000001</v>
          </cell>
          <cell r="N22">
            <v>104.58200000000002</v>
          </cell>
          <cell r="O22">
            <v>0.7</v>
          </cell>
        </row>
        <row r="23">
          <cell r="D23">
            <v>5363.3939999999984</v>
          </cell>
          <cell r="E23">
            <v>2874.7049999999981</v>
          </cell>
          <cell r="F23">
            <v>2488.6890000000008</v>
          </cell>
          <cell r="L23">
            <v>169.46100000000004</v>
          </cell>
          <cell r="M23">
            <v>64.882000000000005</v>
          </cell>
          <cell r="N23">
            <v>103.87900000000005</v>
          </cell>
          <cell r="O23">
            <v>0.7</v>
          </cell>
        </row>
        <row r="24">
          <cell r="D24">
            <v>5248.7000000000007</v>
          </cell>
          <cell r="E24">
            <v>2889.0490000000004</v>
          </cell>
          <cell r="F24">
            <v>2359.6509999999998</v>
          </cell>
          <cell r="L24">
            <v>195.51599999999991</v>
          </cell>
          <cell r="M24">
            <v>64.071999999999989</v>
          </cell>
          <cell r="N24">
            <v>130.74399999999991</v>
          </cell>
          <cell r="O24">
            <v>0.7</v>
          </cell>
        </row>
        <row r="25">
          <cell r="D25">
            <v>6064.4620000000004</v>
          </cell>
          <cell r="E25">
            <v>2982.3650000000002</v>
          </cell>
          <cell r="F25">
            <v>3082.0970000000002</v>
          </cell>
          <cell r="L25">
            <v>181.947</v>
          </cell>
          <cell r="M25">
            <v>54.796999999999997</v>
          </cell>
          <cell r="N25">
            <v>126.45</v>
          </cell>
          <cell r="O25">
            <v>0.7</v>
          </cell>
        </row>
        <row r="26">
          <cell r="D26">
            <v>6727.0620000000017</v>
          </cell>
          <cell r="E26">
            <v>3188.2890000000007</v>
          </cell>
          <cell r="F26">
            <v>3538.7730000000006</v>
          </cell>
          <cell r="L26">
            <v>147.976</v>
          </cell>
          <cell r="M26">
            <v>49.071999999999989</v>
          </cell>
          <cell r="N26">
            <v>98.204000000000008</v>
          </cell>
          <cell r="O26">
            <v>0.7</v>
          </cell>
        </row>
        <row r="27">
          <cell r="D27">
            <v>6729.8410000000003</v>
          </cell>
          <cell r="E27">
            <v>3204.1890000000003</v>
          </cell>
          <cell r="F27">
            <v>3525.6520000000005</v>
          </cell>
          <cell r="L27">
            <v>137.97999999999999</v>
          </cell>
          <cell r="M27">
            <v>42.436</v>
          </cell>
          <cell r="N27">
            <v>94.843999999999994</v>
          </cell>
          <cell r="O27">
            <v>0.7</v>
          </cell>
        </row>
        <row r="28">
          <cell r="D28">
            <v>7617.5529999999999</v>
          </cell>
          <cell r="E28">
            <v>3228.1389999999997</v>
          </cell>
          <cell r="F28">
            <v>4309.4139999999998</v>
          </cell>
          <cell r="G28">
            <v>80</v>
          </cell>
          <cell r="L28">
            <v>137.352</v>
          </cell>
          <cell r="M28">
            <v>42.457999999999998</v>
          </cell>
          <cell r="N28">
            <v>94.194000000000017</v>
          </cell>
          <cell r="O28">
            <v>0.7</v>
          </cell>
        </row>
        <row r="29">
          <cell r="D29">
            <v>8521.0119999999988</v>
          </cell>
          <cell r="E29">
            <v>3295.1579999999994</v>
          </cell>
          <cell r="F29">
            <v>5145.8539999999994</v>
          </cell>
          <cell r="G29">
            <v>80</v>
          </cell>
          <cell r="L29">
            <v>159.40900000000005</v>
          </cell>
          <cell r="M29">
            <v>41.878</v>
          </cell>
          <cell r="N29">
            <v>116.83100000000005</v>
          </cell>
          <cell r="O29">
            <v>0.7</v>
          </cell>
        </row>
        <row r="30">
          <cell r="D30">
            <v>8908.4320000000007</v>
          </cell>
          <cell r="E30">
            <v>3396.0650000000005</v>
          </cell>
          <cell r="F30">
            <v>5274.3670000000011</v>
          </cell>
          <cell r="G30">
            <v>96</v>
          </cell>
          <cell r="H30">
            <v>142</v>
          </cell>
          <cell r="L30">
            <v>174.36800000000005</v>
          </cell>
          <cell r="M30">
            <v>39.876000000000012</v>
          </cell>
          <cell r="N30">
            <v>133.79200000000006</v>
          </cell>
          <cell r="O30">
            <v>0.7</v>
          </cell>
        </row>
        <row r="31">
          <cell r="D31">
            <v>9913.2319999999963</v>
          </cell>
          <cell r="E31">
            <v>3907.0649999999996</v>
          </cell>
          <cell r="F31">
            <v>5678.1669999999976</v>
          </cell>
          <cell r="G31">
            <v>96</v>
          </cell>
          <cell r="H31">
            <v>232</v>
          </cell>
          <cell r="L31">
            <v>174.96799999999996</v>
          </cell>
          <cell r="M31">
            <v>39.875999999999991</v>
          </cell>
          <cell r="N31">
            <v>134.39199999999997</v>
          </cell>
          <cell r="O31">
            <v>0.7</v>
          </cell>
        </row>
        <row r="53">
          <cell r="D53">
            <v>380.07</v>
          </cell>
          <cell r="E53">
            <v>196.31</v>
          </cell>
          <cell r="F53">
            <v>183.76</v>
          </cell>
          <cell r="G53">
            <v>230.02</v>
          </cell>
          <cell r="H53">
            <v>0</v>
          </cell>
          <cell r="I53">
            <v>230.02</v>
          </cell>
          <cell r="J53">
            <v>269.92599999999999</v>
          </cell>
          <cell r="K53">
            <v>72.66</v>
          </cell>
          <cell r="L53">
            <v>197.26599999999999</v>
          </cell>
        </row>
        <row r="54">
          <cell r="D54">
            <v>319.91800000000001</v>
          </cell>
          <cell r="E54">
            <v>193.136</v>
          </cell>
          <cell r="F54">
            <v>126.78200000000001</v>
          </cell>
          <cell r="G54">
            <v>560.92399999999998</v>
          </cell>
          <cell r="H54">
            <v>20.43</v>
          </cell>
          <cell r="I54">
            <v>540.49400000000003</v>
          </cell>
          <cell r="J54">
            <v>242.858</v>
          </cell>
          <cell r="K54">
            <v>63.46</v>
          </cell>
          <cell r="L54">
            <v>179.398</v>
          </cell>
        </row>
        <row r="55">
          <cell r="D55">
            <v>122.578</v>
          </cell>
          <cell r="E55">
            <v>12.906000000000001</v>
          </cell>
          <cell r="F55">
            <v>109.672</v>
          </cell>
          <cell r="G55">
            <v>64.55</v>
          </cell>
          <cell r="H55">
            <v>0</v>
          </cell>
          <cell r="I55">
            <v>64.55</v>
          </cell>
          <cell r="J55">
            <v>567.05799999999999</v>
          </cell>
          <cell r="K55">
            <v>77.826999999999998</v>
          </cell>
          <cell r="L55">
            <v>489.23099999999999</v>
          </cell>
        </row>
        <row r="56">
          <cell r="D56">
            <v>100.154</v>
          </cell>
          <cell r="E56">
            <v>12.906000000000001</v>
          </cell>
          <cell r="F56">
            <v>87.24799999999999</v>
          </cell>
          <cell r="G56">
            <v>46.33</v>
          </cell>
          <cell r="H56">
            <v>0</v>
          </cell>
          <cell r="I56">
            <v>46.33</v>
          </cell>
          <cell r="J56">
            <v>614.346</v>
          </cell>
          <cell r="K56">
            <v>81.061000000000007</v>
          </cell>
          <cell r="L56">
            <v>533.28499999999997</v>
          </cell>
        </row>
        <row r="57">
          <cell r="D57">
            <v>58.398000000000003</v>
          </cell>
          <cell r="E57">
            <v>12.906000000000001</v>
          </cell>
          <cell r="F57">
            <v>45.492000000000004</v>
          </cell>
          <cell r="G57">
            <v>42.965999999999994</v>
          </cell>
          <cell r="H57">
            <v>0</v>
          </cell>
          <cell r="I57">
            <v>42.965999999999994</v>
          </cell>
          <cell r="J57">
            <v>696.86300000000006</v>
          </cell>
          <cell r="K57">
            <v>62.576999999999991</v>
          </cell>
          <cell r="L57">
            <v>634.28600000000006</v>
          </cell>
        </row>
        <row r="58">
          <cell r="D58">
            <v>40.433</v>
          </cell>
          <cell r="E58">
            <v>12.906000000000001</v>
          </cell>
          <cell r="F58">
            <v>27.526999999999997</v>
          </cell>
          <cell r="G58">
            <v>49.445999999999998</v>
          </cell>
          <cell r="H58">
            <v>0</v>
          </cell>
          <cell r="I58">
            <v>49.445999999999998</v>
          </cell>
          <cell r="J58">
            <v>689.03200000000015</v>
          </cell>
          <cell r="K58">
            <v>62.064999999999998</v>
          </cell>
          <cell r="L58">
            <v>626.9670000000001</v>
          </cell>
        </row>
        <row r="61">
          <cell r="D61">
            <v>101.07900000000001</v>
          </cell>
          <cell r="E61">
            <v>12.906000000000001</v>
          </cell>
          <cell r="F61">
            <v>88.173000000000002</v>
          </cell>
          <cell r="J61">
            <v>644.03400000000011</v>
          </cell>
          <cell r="K61">
            <v>56.761999999999993</v>
          </cell>
          <cell r="L61">
            <v>587.27200000000016</v>
          </cell>
        </row>
        <row r="62">
          <cell r="D62">
            <v>80.701000000000008</v>
          </cell>
          <cell r="E62">
            <v>12.906000000000001</v>
          </cell>
          <cell r="F62">
            <v>67.795000000000002</v>
          </cell>
          <cell r="J62">
            <v>657.14100000000064</v>
          </cell>
          <cell r="K62">
            <v>59.512999999999991</v>
          </cell>
          <cell r="L62">
            <v>597.62800000000061</v>
          </cell>
        </row>
        <row r="63">
          <cell r="D63">
            <v>80.212000000000018</v>
          </cell>
          <cell r="E63">
            <v>12.906000000000001</v>
          </cell>
          <cell r="F63">
            <v>67.306000000000012</v>
          </cell>
          <cell r="J63">
            <v>655.20100000000036</v>
          </cell>
          <cell r="K63">
            <v>57.137999999999984</v>
          </cell>
          <cell r="L63">
            <v>598.06300000000033</v>
          </cell>
        </row>
        <row r="64">
          <cell r="D64">
            <v>113.89800000000001</v>
          </cell>
          <cell r="E64">
            <v>12.5</v>
          </cell>
          <cell r="F64">
            <v>101.39800000000001</v>
          </cell>
          <cell r="J64">
            <v>646.74600000000032</v>
          </cell>
          <cell r="K64">
            <v>55.231999999999999</v>
          </cell>
          <cell r="L64">
            <v>591.51400000000035</v>
          </cell>
        </row>
        <row r="65">
          <cell r="D65">
            <v>126.95800000000001</v>
          </cell>
          <cell r="E65">
            <v>12.5</v>
          </cell>
          <cell r="F65">
            <v>114.45800000000001</v>
          </cell>
          <cell r="J65">
            <v>685.30400000000031</v>
          </cell>
          <cell r="K65">
            <v>57.93</v>
          </cell>
          <cell r="L65">
            <v>627.37400000000036</v>
          </cell>
        </row>
        <row r="66">
          <cell r="D66">
            <v>108.992</v>
          </cell>
          <cell r="E66">
            <v>12.5</v>
          </cell>
          <cell r="F66">
            <v>96.492000000000004</v>
          </cell>
          <cell r="J66">
            <v>700.04600000000005</v>
          </cell>
          <cell r="K66">
            <v>56.856000000000002</v>
          </cell>
          <cell r="L66">
            <v>643.19000000000005</v>
          </cell>
        </row>
        <row r="67">
          <cell r="D67">
            <v>110.52600000000004</v>
          </cell>
          <cell r="E67">
            <v>12.5</v>
          </cell>
          <cell r="F67">
            <v>98.026000000000039</v>
          </cell>
          <cell r="J67">
            <v>708.63300000000004</v>
          </cell>
          <cell r="K67">
            <v>61.210999999999984</v>
          </cell>
          <cell r="L67">
            <v>647.42200000000003</v>
          </cell>
        </row>
        <row r="68">
          <cell r="D68">
            <v>107.71000000000001</v>
          </cell>
          <cell r="E68">
            <v>12.5</v>
          </cell>
          <cell r="F68">
            <v>95.210000000000008</v>
          </cell>
          <cell r="J68">
            <v>797.01799999999992</v>
          </cell>
          <cell r="K68">
            <v>62.280999999999985</v>
          </cell>
          <cell r="L68">
            <v>734.73699999999997</v>
          </cell>
        </row>
        <row r="69">
          <cell r="D69">
            <v>124.221</v>
          </cell>
          <cell r="E69">
            <v>12.5</v>
          </cell>
          <cell r="F69">
            <v>111.721</v>
          </cell>
          <cell r="J69">
            <v>885.7170000000001</v>
          </cell>
          <cell r="K69">
            <v>66.105999999999995</v>
          </cell>
          <cell r="L69">
            <v>819.6110000000001</v>
          </cell>
        </row>
        <row r="70">
          <cell r="D70">
            <v>160.57400000000001</v>
          </cell>
          <cell r="E70">
            <v>12.5</v>
          </cell>
          <cell r="F70">
            <v>148.07400000000001</v>
          </cell>
          <cell r="J70">
            <v>964.77500000000032</v>
          </cell>
          <cell r="K70">
            <v>67.584000000000003</v>
          </cell>
          <cell r="L70">
            <v>897.19100000000026</v>
          </cell>
        </row>
        <row r="71">
          <cell r="D71">
            <v>158.62100000000001</v>
          </cell>
          <cell r="E71">
            <v>12.5</v>
          </cell>
          <cell r="F71">
            <v>146.12100000000001</v>
          </cell>
          <cell r="J71">
            <v>1019.0909999999999</v>
          </cell>
          <cell r="K71">
            <v>69.498999999999995</v>
          </cell>
          <cell r="L71">
            <v>949.59199999999987</v>
          </cell>
        </row>
        <row r="72">
          <cell r="D72">
            <v>159.99600000000001</v>
          </cell>
          <cell r="E72">
            <v>12.899999999999999</v>
          </cell>
          <cell r="F72">
            <v>147.096</v>
          </cell>
          <cell r="J72">
            <v>1024.356</v>
          </cell>
          <cell r="K72">
            <v>76.639000000000024</v>
          </cell>
          <cell r="L72">
            <v>947.71699999999998</v>
          </cell>
        </row>
        <row r="73">
          <cell r="D73">
            <v>156.67800000000003</v>
          </cell>
          <cell r="E73">
            <v>11.9</v>
          </cell>
          <cell r="F73">
            <v>144.77800000000002</v>
          </cell>
          <cell r="J73">
            <v>1048.173</v>
          </cell>
          <cell r="K73">
            <v>65.471999999999994</v>
          </cell>
          <cell r="L73">
            <v>982.70100000000002</v>
          </cell>
        </row>
        <row r="74">
          <cell r="D74">
            <v>141.26100000000002</v>
          </cell>
          <cell r="E74">
            <v>12.899999999999999</v>
          </cell>
          <cell r="F74">
            <v>128.36100000000002</v>
          </cell>
          <cell r="J74">
            <v>1045.2810000000002</v>
          </cell>
          <cell r="K74">
            <v>78.446999999999989</v>
          </cell>
          <cell r="L74">
            <v>966.83400000000017</v>
          </cell>
        </row>
        <row r="75">
          <cell r="D75">
            <v>156.06100000000001</v>
          </cell>
          <cell r="E75">
            <v>12.899999999999999</v>
          </cell>
          <cell r="F75">
            <v>143.161</v>
          </cell>
          <cell r="J75">
            <v>1051.5760000000002</v>
          </cell>
          <cell r="K75">
            <v>78.446999999999989</v>
          </cell>
          <cell r="L75">
            <v>973.12900000000025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CIÓN"/>
      <sheetName val="New SyS Prod"/>
      <sheetName val="Desagregado"/>
      <sheetName val="RER"/>
    </sheetNames>
    <sheetDataSet>
      <sheetData sheetId="0"/>
      <sheetData sheetId="1"/>
      <sheetData sheetId="2">
        <row r="8">
          <cell r="D8">
            <v>11079.863100999999</v>
          </cell>
          <cell r="E8">
            <v>10175.763370999999</v>
          </cell>
          <cell r="F8">
            <v>904.09973000000002</v>
          </cell>
          <cell r="I8">
            <v>1347.0061020000001</v>
          </cell>
          <cell r="J8">
            <v>1276.2521850000001</v>
          </cell>
          <cell r="K8">
            <v>70.753917000000001</v>
          </cell>
          <cell r="L8">
            <v>679.443894</v>
          </cell>
          <cell r="M8">
            <v>88.574772999999993</v>
          </cell>
          <cell r="N8">
            <v>590.86912099999995</v>
          </cell>
          <cell r="O8" t="str">
            <v>---</v>
          </cell>
        </row>
        <row r="9">
          <cell r="D9">
            <v>11114.304966</v>
          </cell>
          <cell r="E9">
            <v>10542.563853</v>
          </cell>
          <cell r="F9">
            <v>571.74111300000004</v>
          </cell>
          <cell r="I9">
            <v>1571.1488599999998</v>
          </cell>
          <cell r="J9">
            <v>1235.1827439999997</v>
          </cell>
          <cell r="K9">
            <v>335.96611600000006</v>
          </cell>
          <cell r="L9">
            <v>622.1231949999999</v>
          </cell>
          <cell r="M9">
            <v>70.178780000000003</v>
          </cell>
          <cell r="N9">
            <v>551.53441499999997</v>
          </cell>
          <cell r="O9">
            <v>0.41</v>
          </cell>
        </row>
        <row r="10">
          <cell r="D10">
            <v>12278.077456999999</v>
          </cell>
          <cell r="E10">
            <v>10578.681579</v>
          </cell>
          <cell r="F10">
            <v>1699.3958780000003</v>
          </cell>
          <cell r="I10">
            <v>2428.93273</v>
          </cell>
          <cell r="J10">
            <v>1573.605233</v>
          </cell>
          <cell r="K10">
            <v>855.32749699999999</v>
          </cell>
          <cell r="L10">
            <v>641.54668900000013</v>
          </cell>
          <cell r="M10">
            <v>112.50497800000001</v>
          </cell>
          <cell r="N10">
            <v>528.48605500000008</v>
          </cell>
          <cell r="O10">
            <v>0.55565599999999993</v>
          </cell>
        </row>
        <row r="11">
          <cell r="D11">
            <v>13526.540201000002</v>
          </cell>
          <cell r="E11">
            <v>12262.133473000002</v>
          </cell>
          <cell r="F11">
            <v>1264.4067279999999</v>
          </cell>
          <cell r="I11">
            <v>2661.583983</v>
          </cell>
          <cell r="J11">
            <v>953.90101099999993</v>
          </cell>
          <cell r="K11">
            <v>1707.6829720000001</v>
          </cell>
          <cell r="L11">
            <v>627.81266299999982</v>
          </cell>
          <cell r="M11">
            <v>151.15929299999999</v>
          </cell>
          <cell r="N11">
            <v>476.12692999999985</v>
          </cell>
          <cell r="O11">
            <v>0.52644000000000002</v>
          </cell>
        </row>
        <row r="12">
          <cell r="D12">
            <v>13890.757992000001</v>
          </cell>
          <cell r="E12">
            <v>12909.594394000002</v>
          </cell>
          <cell r="F12">
            <v>981.16359799999998</v>
          </cell>
          <cell r="I12">
            <v>2868.6487069999998</v>
          </cell>
          <cell r="J12">
            <v>1012.2640279999999</v>
          </cell>
          <cell r="K12">
            <v>1856.3846789999998</v>
          </cell>
          <cell r="L12">
            <v>606.81517900000006</v>
          </cell>
          <cell r="M12">
            <v>188.73360400000001</v>
          </cell>
          <cell r="N12">
            <v>417.45699500000001</v>
          </cell>
          <cell r="O12">
            <v>0.62458000000000002</v>
          </cell>
        </row>
        <row r="13">
          <cell r="D13">
            <v>14635.889037999999</v>
          </cell>
          <cell r="E13">
            <v>13908.207054999999</v>
          </cell>
          <cell r="F13">
            <v>727.68198299999995</v>
          </cell>
          <cell r="I13">
            <v>3091.9220970000001</v>
          </cell>
          <cell r="J13">
            <v>1616.7179910000002</v>
          </cell>
          <cell r="K13">
            <v>1475.2041059999999</v>
          </cell>
          <cell r="L13">
            <v>600.0865839999999</v>
          </cell>
          <cell r="M13">
            <v>222.39821899999998</v>
          </cell>
          <cell r="N13">
            <v>376.84266499999995</v>
          </cell>
          <cell r="O13">
            <v>0.84570000000000001</v>
          </cell>
        </row>
        <row r="16">
          <cell r="D16">
            <v>18630.491470999998</v>
          </cell>
          <cell r="E16">
            <v>16964.279180999998</v>
          </cell>
          <cell r="F16">
            <v>1666.2122900000002</v>
          </cell>
          <cell r="L16">
            <v>584.01517100000001</v>
          </cell>
          <cell r="M16">
            <v>224.05159300000005</v>
          </cell>
          <cell r="N16">
            <v>358.73717799999997</v>
          </cell>
          <cell r="O16">
            <v>1.2264000000000002</v>
          </cell>
        </row>
        <row r="17">
          <cell r="D17">
            <v>19906.120506000003</v>
          </cell>
          <cell r="E17">
            <v>17459.157646000003</v>
          </cell>
          <cell r="F17">
            <v>2446.9628600000001</v>
          </cell>
          <cell r="L17">
            <v>513.38816700000007</v>
          </cell>
          <cell r="M17">
            <v>179.00059199999993</v>
          </cell>
          <cell r="N17">
            <v>333.16117500000018</v>
          </cell>
          <cell r="O17">
            <v>1.2264000000000002</v>
          </cell>
        </row>
        <row r="18">
          <cell r="D18">
            <v>20890.822373999996</v>
          </cell>
          <cell r="E18">
            <v>17926.933372999996</v>
          </cell>
          <cell r="F18">
            <v>2963.8890009999996</v>
          </cell>
          <cell r="L18">
            <v>470.64055600000029</v>
          </cell>
          <cell r="M18">
            <v>191.39976499999997</v>
          </cell>
          <cell r="N18">
            <v>278.01439100000033</v>
          </cell>
          <cell r="O18">
            <v>1.2264000000000002</v>
          </cell>
        </row>
        <row r="19">
          <cell r="D19">
            <v>22091.989912000005</v>
          </cell>
          <cell r="E19">
            <v>16874.375706000003</v>
          </cell>
          <cell r="F19">
            <v>5217.6142060000011</v>
          </cell>
          <cell r="L19">
            <v>527.94887900000003</v>
          </cell>
          <cell r="M19">
            <v>226.288927</v>
          </cell>
          <cell r="N19">
            <v>300.43355199999996</v>
          </cell>
          <cell r="O19">
            <v>1.2264000000000002</v>
          </cell>
        </row>
        <row r="20">
          <cell r="D20">
            <v>23233.479606792749</v>
          </cell>
          <cell r="E20">
            <v>17322.595987792749</v>
          </cell>
          <cell r="F20">
            <v>5910.8836190000002</v>
          </cell>
          <cell r="L20">
            <v>577.39533800000004</v>
          </cell>
          <cell r="M20">
            <v>244.50939000000002</v>
          </cell>
          <cell r="N20">
            <v>331.65954799999997</v>
          </cell>
          <cell r="O20">
            <v>1.2264000000000002</v>
          </cell>
        </row>
        <row r="21">
          <cell r="D21">
            <v>25037.083984958583</v>
          </cell>
          <cell r="E21">
            <v>18931.704642958583</v>
          </cell>
          <cell r="F21">
            <v>6105.3793420000011</v>
          </cell>
          <cell r="L21">
            <v>576.67980499999999</v>
          </cell>
          <cell r="M21">
            <v>229.04699999999997</v>
          </cell>
          <cell r="N21">
            <v>346.40640499999995</v>
          </cell>
          <cell r="O21">
            <v>1.2264000000000002</v>
          </cell>
        </row>
        <row r="22">
          <cell r="D22">
            <v>27593.789342340002</v>
          </cell>
          <cell r="E22">
            <v>18872.24222534</v>
          </cell>
          <cell r="F22">
            <v>8721.5471170000001</v>
          </cell>
          <cell r="L22">
            <v>606.70174800000007</v>
          </cell>
          <cell r="M22">
            <v>234.95174099999997</v>
          </cell>
          <cell r="N22">
            <v>370.52360700000008</v>
          </cell>
          <cell r="O22">
            <v>1.2264000000000002</v>
          </cell>
        </row>
        <row r="23">
          <cell r="D23">
            <v>29905.853190999998</v>
          </cell>
          <cell r="E23">
            <v>18352.597029999997</v>
          </cell>
          <cell r="F23">
            <v>11553.256161000001</v>
          </cell>
          <cell r="L23">
            <v>668.8580649999999</v>
          </cell>
          <cell r="M23">
            <v>255.19507699999997</v>
          </cell>
          <cell r="N23">
            <v>412.43658799999997</v>
          </cell>
          <cell r="O23">
            <v>1.2264000000000004</v>
          </cell>
        </row>
        <row r="24">
          <cell r="D24">
            <v>30289.076649000002</v>
          </cell>
          <cell r="E24">
            <v>19193.203896000003</v>
          </cell>
          <cell r="F24">
            <v>11095.872753</v>
          </cell>
          <cell r="L24">
            <v>632.82613400000002</v>
          </cell>
          <cell r="M24">
            <v>226.01771600000001</v>
          </cell>
          <cell r="N24">
            <v>405.58201800000001</v>
          </cell>
          <cell r="O24">
            <v>1.2264000000000002</v>
          </cell>
        </row>
        <row r="25">
          <cell r="D25">
            <v>33073.914225</v>
          </cell>
          <cell r="E25">
            <v>19402.767738999999</v>
          </cell>
          <cell r="F25">
            <v>13671.146485999998</v>
          </cell>
          <cell r="L25">
            <v>471.90158220000001</v>
          </cell>
          <cell r="M25">
            <v>164.6368702</v>
          </cell>
          <cell r="N25">
            <v>306.03831199999996</v>
          </cell>
          <cell r="O25">
            <v>1.2264000000000002</v>
          </cell>
        </row>
        <row r="26">
          <cell r="D26">
            <v>35769.459710000003</v>
          </cell>
          <cell r="E26">
            <v>20847.282396000002</v>
          </cell>
          <cell r="F26">
            <v>14922.177313999999</v>
          </cell>
          <cell r="L26">
            <v>479.07258023523991</v>
          </cell>
          <cell r="M26">
            <v>180.13600823523998</v>
          </cell>
          <cell r="N26">
            <v>297.71017199999989</v>
          </cell>
          <cell r="O26">
            <v>1.2264000000000004</v>
          </cell>
        </row>
        <row r="27">
          <cell r="D27">
            <v>37886.352608799956</v>
          </cell>
          <cell r="E27">
            <v>21326.654352999969</v>
          </cell>
          <cell r="F27">
            <v>16500.015268999985</v>
          </cell>
          <cell r="G27">
            <v>59.682986800000002</v>
          </cell>
          <cell r="L27">
            <v>474.67673200000002</v>
          </cell>
          <cell r="M27">
            <v>164.15331</v>
          </cell>
          <cell r="N27">
            <v>309.29702199999997</v>
          </cell>
          <cell r="O27">
            <v>1.2264000000000002</v>
          </cell>
        </row>
        <row r="28">
          <cell r="D28">
            <v>40158.779292273408</v>
          </cell>
          <cell r="E28">
            <v>21534.797771521582</v>
          </cell>
          <cell r="F28">
            <v>18427.053640751827</v>
          </cell>
          <cell r="G28">
            <v>196.92788000000002</v>
          </cell>
          <cell r="L28">
            <v>505.88712690555536</v>
          </cell>
          <cell r="M28">
            <v>174.58691190555555</v>
          </cell>
          <cell r="N28">
            <v>330.0738149999998</v>
          </cell>
          <cell r="O28">
            <v>1.2264000000000002</v>
          </cell>
        </row>
        <row r="29">
          <cell r="D29">
            <v>42313.748256544015</v>
          </cell>
          <cell r="E29">
            <v>21428.574219363149</v>
          </cell>
          <cell r="F29">
            <v>20429.556182658423</v>
          </cell>
          <cell r="G29">
            <v>199.30359694553749</v>
          </cell>
          <cell r="H29">
            <v>256.31425757690079</v>
          </cell>
          <cell r="L29">
            <v>532.49947257699353</v>
          </cell>
          <cell r="M29">
            <v>182.35045657699374</v>
          </cell>
          <cell r="N29">
            <v>348.92261599999978</v>
          </cell>
          <cell r="O29">
            <v>1.2264000000000002</v>
          </cell>
        </row>
        <row r="30">
          <cell r="D30">
            <v>44973.15195379639</v>
          </cell>
          <cell r="E30">
            <v>22511.582335514137</v>
          </cell>
          <cell r="F30">
            <v>21629.992118047743</v>
          </cell>
          <cell r="G30">
            <v>230.435323711</v>
          </cell>
          <cell r="H30">
            <v>601.14217652351033</v>
          </cell>
          <cell r="L30">
            <v>573.34662511904776</v>
          </cell>
          <cell r="M30">
            <v>198.6782931746032</v>
          </cell>
          <cell r="N30">
            <v>373.44193194444449</v>
          </cell>
          <cell r="O30">
            <v>1.2264000000000004</v>
          </cell>
        </row>
        <row r="52">
          <cell r="D52">
            <v>1270.529284</v>
          </cell>
          <cell r="E52">
            <v>1027.315891</v>
          </cell>
          <cell r="F52">
            <v>243.213393</v>
          </cell>
          <cell r="G52">
            <v>877.15221099999997</v>
          </cell>
          <cell r="H52">
            <v>0</v>
          </cell>
          <cell r="I52">
            <v>877.15221099999997</v>
          </cell>
          <cell r="J52">
            <v>1626.1200090000002</v>
          </cell>
          <cell r="K52">
            <v>369.64724100000001</v>
          </cell>
          <cell r="L52">
            <v>1256.4727680000001</v>
          </cell>
        </row>
        <row r="53">
          <cell r="D53">
            <v>1430.1662900000001</v>
          </cell>
          <cell r="E53">
            <v>1099.0126700000001</v>
          </cell>
          <cell r="F53">
            <v>331.15361999999999</v>
          </cell>
          <cell r="G53">
            <v>940.08170900000005</v>
          </cell>
          <cell r="H53">
            <v>0</v>
          </cell>
          <cell r="I53">
            <v>940.08170900000005</v>
          </cell>
          <cell r="J53">
            <v>1601.987273</v>
          </cell>
          <cell r="K53">
            <v>376.63403099999999</v>
          </cell>
          <cell r="L53">
            <v>1225.3532419999999</v>
          </cell>
        </row>
        <row r="54">
          <cell r="D54">
            <v>843.99114299999997</v>
          </cell>
          <cell r="E54">
            <v>569.31736999999998</v>
          </cell>
          <cell r="F54">
            <v>274.67377299999998</v>
          </cell>
          <cell r="G54">
            <v>293.17555299999998</v>
          </cell>
          <cell r="H54">
            <v>0</v>
          </cell>
          <cell r="I54">
            <v>293.17555299999998</v>
          </cell>
          <cell r="J54">
            <v>1467.6840029999998</v>
          </cell>
          <cell r="K54">
            <v>380.420322</v>
          </cell>
          <cell r="L54">
            <v>1087.2636809999999</v>
          </cell>
        </row>
        <row r="55">
          <cell r="D55">
            <v>197.56012199999998</v>
          </cell>
          <cell r="E55">
            <v>74.993200999999999</v>
          </cell>
          <cell r="F55">
            <v>122.56692099999999</v>
          </cell>
          <cell r="G55">
            <v>41.555376000000003</v>
          </cell>
          <cell r="H55">
            <v>0</v>
          </cell>
          <cell r="I55">
            <v>41.555376000000003</v>
          </cell>
          <cell r="J55">
            <v>1527.4865010000001</v>
          </cell>
          <cell r="K55">
            <v>366.09816000000001</v>
          </cell>
          <cell r="L55">
            <v>1161.3883410000001</v>
          </cell>
        </row>
        <row r="56">
          <cell r="D56">
            <v>125.634122</v>
          </cell>
          <cell r="E56">
            <v>87.286845</v>
          </cell>
          <cell r="F56">
            <v>38.347277000000005</v>
          </cell>
          <cell r="G56">
            <v>67.499396000000019</v>
          </cell>
          <cell r="H56">
            <v>0</v>
          </cell>
          <cell r="I56">
            <v>67.499396000000019</v>
          </cell>
          <cell r="J56">
            <v>1490.2620010000001</v>
          </cell>
          <cell r="K56">
            <v>342.70241400000003</v>
          </cell>
          <cell r="L56">
            <v>1147.559587</v>
          </cell>
        </row>
        <row r="57">
          <cell r="D57">
            <v>118.63759300000001</v>
          </cell>
          <cell r="E57">
            <v>83.763085000000004</v>
          </cell>
          <cell r="F57">
            <v>34.874507999999999</v>
          </cell>
          <cell r="G57">
            <v>24.489265</v>
          </cell>
          <cell r="H57">
            <v>0</v>
          </cell>
          <cell r="I57">
            <v>24.489265</v>
          </cell>
          <cell r="J57">
            <v>1451.6727609999994</v>
          </cell>
          <cell r="K57">
            <v>344.96501599999999</v>
          </cell>
          <cell r="L57">
            <v>1106.7077449999995</v>
          </cell>
        </row>
        <row r="60">
          <cell r="D60">
            <v>124.09112300000001</v>
          </cell>
          <cell r="E60">
            <v>84.443455</v>
          </cell>
          <cell r="F60">
            <v>39.647668000000003</v>
          </cell>
          <cell r="J60">
            <v>1447.1277699999996</v>
          </cell>
          <cell r="K60">
            <v>341.98597100000001</v>
          </cell>
          <cell r="L60">
            <v>1105.1417989999995</v>
          </cell>
        </row>
        <row r="61">
          <cell r="D61">
            <v>111.76104100000001</v>
          </cell>
          <cell r="E61">
            <v>79.732799999999997</v>
          </cell>
          <cell r="F61">
            <v>32.028241000000001</v>
          </cell>
          <cell r="J61">
            <v>1451.0534580000035</v>
          </cell>
          <cell r="K61">
            <v>322.23687700000011</v>
          </cell>
          <cell r="L61">
            <v>1128.8165810000035</v>
          </cell>
        </row>
        <row r="62">
          <cell r="D62">
            <v>107.96116799999999</v>
          </cell>
          <cell r="E62">
            <v>84.235219999999998</v>
          </cell>
          <cell r="F62">
            <v>23.725947999999992</v>
          </cell>
          <cell r="J62">
            <v>1453.9297760000034</v>
          </cell>
          <cell r="K62">
            <v>331.15250300000002</v>
          </cell>
          <cell r="L62">
            <v>1122.7772730000033</v>
          </cell>
        </row>
        <row r="63">
          <cell r="D63">
            <v>195.99345399999999</v>
          </cell>
          <cell r="E63">
            <v>105.094966</v>
          </cell>
          <cell r="F63">
            <v>90.898487999999986</v>
          </cell>
          <cell r="J63">
            <v>1451.0798260000001</v>
          </cell>
          <cell r="K63">
            <v>319.579362</v>
          </cell>
          <cell r="L63">
            <v>1131.5004640000002</v>
          </cell>
        </row>
        <row r="64">
          <cell r="D64">
            <v>200.13015520724974</v>
          </cell>
          <cell r="E64">
            <v>98.790226207249759</v>
          </cell>
          <cell r="F64">
            <v>101.33992899999998</v>
          </cell>
          <cell r="J64">
            <v>1498.7317150000033</v>
          </cell>
          <cell r="K64">
            <v>311.09773200000001</v>
          </cell>
          <cell r="L64">
            <v>1187.6339830000034</v>
          </cell>
        </row>
        <row r="65">
          <cell r="D65">
            <v>220.09659204141394</v>
          </cell>
          <cell r="E65">
            <v>111.35824504141392</v>
          </cell>
          <cell r="F65">
            <v>108.738347</v>
          </cell>
          <cell r="J65">
            <v>1535.96834558</v>
          </cell>
          <cell r="K65">
            <v>322.23727599999995</v>
          </cell>
          <cell r="L65">
            <v>1213.7310695800002</v>
          </cell>
        </row>
        <row r="66">
          <cell r="D66">
            <v>212.42324065999998</v>
          </cell>
          <cell r="E66">
            <v>99.219097660000003</v>
          </cell>
          <cell r="F66">
            <v>113.20414299999999</v>
          </cell>
          <cell r="J66">
            <v>1530.1328110000004</v>
          </cell>
          <cell r="K66">
            <v>342.36895600000003</v>
          </cell>
          <cell r="L66">
            <v>1187.7638550000004</v>
          </cell>
        </row>
        <row r="67">
          <cell r="D67">
            <v>197.74225100000001</v>
          </cell>
          <cell r="E67">
            <v>79.992671000000001</v>
          </cell>
          <cell r="F67">
            <v>117.74958000000001</v>
          </cell>
          <cell r="J67">
            <v>1690.6527759999999</v>
          </cell>
          <cell r="K67">
            <v>371.83297100000004</v>
          </cell>
          <cell r="L67">
            <v>1318.8198049999999</v>
          </cell>
        </row>
        <row r="68">
          <cell r="D68">
            <v>203.990048</v>
          </cell>
          <cell r="E68">
            <v>84.083055999999999</v>
          </cell>
          <cell r="F68">
            <v>119.906992</v>
          </cell>
          <cell r="J68">
            <v>1818.8429900000001</v>
          </cell>
          <cell r="K68">
            <v>400.47173600000008</v>
          </cell>
          <cell r="L68">
            <v>1418.3712540000001</v>
          </cell>
        </row>
        <row r="69">
          <cell r="D69">
            <v>252.57225099999999</v>
          </cell>
          <cell r="E69">
            <v>83.451949999999997</v>
          </cell>
          <cell r="F69">
            <v>169.12030099999998</v>
          </cell>
          <cell r="J69">
            <v>2109.6198829999998</v>
          </cell>
          <cell r="K69">
            <v>401.27272099999993</v>
          </cell>
          <cell r="L69">
            <v>1708.347162</v>
          </cell>
        </row>
        <row r="70">
          <cell r="D70">
            <v>306.75118860000003</v>
          </cell>
          <cell r="E70">
            <v>105.905601</v>
          </cell>
          <cell r="F70">
            <v>200.84558760000004</v>
          </cell>
          <cell r="J70">
            <v>2251.177765173672</v>
          </cell>
          <cell r="K70">
            <v>424.00271155000001</v>
          </cell>
          <cell r="L70">
            <v>1827.1750536236718</v>
          </cell>
        </row>
        <row r="71">
          <cell r="D71">
            <v>313.57676499999991</v>
          </cell>
          <cell r="E71">
            <v>105.67628700000002</v>
          </cell>
          <cell r="F71">
            <v>207.90047799999988</v>
          </cell>
          <cell r="J71">
            <v>2361.3769674079463</v>
          </cell>
          <cell r="K71">
            <v>435.45409599999999</v>
          </cell>
          <cell r="L71">
            <v>1925.9228714079463</v>
          </cell>
        </row>
        <row r="72">
          <cell r="D72">
            <v>322.96894949401008</v>
          </cell>
          <cell r="E72">
            <v>105.84771987332039</v>
          </cell>
          <cell r="F72">
            <v>217.12122962068966</v>
          </cell>
          <cell r="J72">
            <v>2342.5425918123965</v>
          </cell>
          <cell r="K72">
            <v>504.33014668254555</v>
          </cell>
          <cell r="L72">
            <v>1838.2124451298509</v>
          </cell>
        </row>
        <row r="73">
          <cell r="D73">
            <v>310.66975623576116</v>
          </cell>
          <cell r="E73">
            <v>99.288173294505313</v>
          </cell>
          <cell r="F73">
            <v>211.38158294125583</v>
          </cell>
          <cell r="J73">
            <v>2392.902086898036</v>
          </cell>
          <cell r="K73">
            <v>500.44663865999991</v>
          </cell>
          <cell r="L73">
            <v>1892.4554482380363</v>
          </cell>
        </row>
        <row r="74">
          <cell r="D74">
            <v>306.74071613587591</v>
          </cell>
          <cell r="E74">
            <v>99.031319672295666</v>
          </cell>
          <cell r="F74">
            <v>207.70939646358028</v>
          </cell>
          <cell r="J74">
            <v>2212.9778928466612</v>
          </cell>
          <cell r="K74">
            <v>491.30091455834497</v>
          </cell>
          <cell r="L74">
            <v>1721.6769782883161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adores"/>
      <sheetName val="1.2"/>
      <sheetName val="1.3"/>
      <sheetName val="2.1. PI"/>
      <sheetName val="2.2"/>
      <sheetName val="2.3-2.4"/>
      <sheetName val="2.5"/>
      <sheetName val="3.1. PE"/>
      <sheetName val="3.2"/>
      <sheetName val="3.3-3.4"/>
      <sheetName val="4. MD"/>
      <sheetName val="5.1. PROD"/>
      <sheetName val="5.2"/>
      <sheetName val="5.3-5.4"/>
      <sheetName val="5.5"/>
      <sheetName val="6.1 LLTT"/>
      <sheetName val="6.2."/>
      <sheetName val="7.1"/>
      <sheetName val="7.2-7.3"/>
      <sheetName val="8.1"/>
      <sheetName val="8.2-8.3-8.4"/>
      <sheetName val="9.1"/>
      <sheetName val="9.2-9.3"/>
      <sheetName val="10.1"/>
      <sheetName val="10.2-10.3"/>
      <sheetName val="11"/>
      <sheetName val="12"/>
      <sheetName val="13"/>
      <sheetName val="14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8">
          <cell r="J28">
            <v>0.35143412087516829</v>
          </cell>
          <cell r="K28">
            <v>0.15939243836517414</v>
          </cell>
          <cell r="L28">
            <v>0.19731365677700474</v>
          </cell>
          <cell r="M28">
            <v>0.29185978398265289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- CLIENTES"/>
      <sheetName val="Distribuidoras"/>
    </sheetNames>
    <sheetDataSet>
      <sheetData sheetId="0"/>
      <sheetData sheetId="1">
        <row r="8">
          <cell r="C8">
            <v>175</v>
          </cell>
          <cell r="H8">
            <v>2491629</v>
          </cell>
        </row>
        <row r="9">
          <cell r="C9">
            <v>161</v>
          </cell>
          <cell r="H9">
            <v>2775514</v>
          </cell>
        </row>
        <row r="10">
          <cell r="C10">
            <v>160</v>
          </cell>
          <cell r="H10">
            <v>2964103</v>
          </cell>
        </row>
        <row r="11">
          <cell r="C11">
            <v>168</v>
          </cell>
          <cell r="H11">
            <v>3057102</v>
          </cell>
        </row>
        <row r="12">
          <cell r="C12">
            <v>176</v>
          </cell>
          <cell r="H12">
            <v>3216835</v>
          </cell>
        </row>
        <row r="13">
          <cell r="C13">
            <v>179</v>
          </cell>
          <cell r="H13">
            <v>3351980</v>
          </cell>
        </row>
        <row r="14">
          <cell r="C14">
            <v>182</v>
          </cell>
          <cell r="H14">
            <v>3462610</v>
          </cell>
        </row>
        <row r="15">
          <cell r="C15">
            <v>185</v>
          </cell>
          <cell r="H15">
            <v>3614223</v>
          </cell>
        </row>
        <row r="16">
          <cell r="C16">
            <v>165</v>
          </cell>
          <cell r="H16">
            <v>3727019</v>
          </cell>
        </row>
        <row r="17">
          <cell r="C17">
            <v>160</v>
          </cell>
          <cell r="H17">
            <v>3860270</v>
          </cell>
        </row>
        <row r="18">
          <cell r="C18">
            <v>164</v>
          </cell>
          <cell r="H18">
            <v>3976856.25</v>
          </cell>
        </row>
        <row r="19">
          <cell r="C19">
            <v>154</v>
          </cell>
          <cell r="H19">
            <v>4165037</v>
          </cell>
        </row>
        <row r="20">
          <cell r="C20">
            <v>152</v>
          </cell>
          <cell r="H20">
            <v>4359612</v>
          </cell>
        </row>
        <row r="21">
          <cell r="C21">
            <v>150</v>
          </cell>
          <cell r="H21">
            <v>4624534</v>
          </cell>
        </row>
        <row r="22">
          <cell r="C22">
            <v>159</v>
          </cell>
          <cell r="H22">
            <v>4878695</v>
          </cell>
        </row>
        <row r="23">
          <cell r="C23">
            <v>140</v>
          </cell>
          <cell r="H23">
            <v>5170638</v>
          </cell>
        </row>
        <row r="24">
          <cell r="C24">
            <v>130</v>
          </cell>
          <cell r="H24">
            <v>5494961</v>
          </cell>
        </row>
        <row r="25">
          <cell r="C25">
            <v>130</v>
          </cell>
          <cell r="H25">
            <v>5834625</v>
          </cell>
        </row>
        <row r="26">
          <cell r="C26">
            <v>141</v>
          </cell>
          <cell r="H26">
            <v>6156035</v>
          </cell>
        </row>
        <row r="27">
          <cell r="C27">
            <v>143.05376357461844</v>
          </cell>
          <cell r="H27">
            <v>6432444</v>
          </cell>
        </row>
        <row r="28">
          <cell r="C28">
            <v>173</v>
          </cell>
          <cell r="H28">
            <v>6718310</v>
          </cell>
        </row>
        <row r="46">
          <cell r="B46">
            <v>31</v>
          </cell>
        </row>
        <row r="47">
          <cell r="B47">
            <v>38</v>
          </cell>
        </row>
        <row r="48">
          <cell r="B48">
            <v>52</v>
          </cell>
        </row>
        <row r="49">
          <cell r="B49">
            <v>50</v>
          </cell>
        </row>
        <row r="50">
          <cell r="B50">
            <v>47</v>
          </cell>
        </row>
        <row r="51">
          <cell r="B51">
            <v>50</v>
          </cell>
        </row>
        <row r="52">
          <cell r="B52">
            <v>59</v>
          </cell>
        </row>
        <row r="53">
          <cell r="B53">
            <v>76</v>
          </cell>
        </row>
        <row r="54">
          <cell r="B54">
            <v>82</v>
          </cell>
        </row>
        <row r="55">
          <cell r="B55">
            <v>85</v>
          </cell>
        </row>
        <row r="56">
          <cell r="B56">
            <v>80</v>
          </cell>
        </row>
        <row r="57">
          <cell r="B57">
            <v>83</v>
          </cell>
        </row>
        <row r="58">
          <cell r="B58">
            <v>98</v>
          </cell>
        </row>
        <row r="59">
          <cell r="B59">
            <v>108</v>
          </cell>
        </row>
        <row r="60">
          <cell r="B60">
            <v>110</v>
          </cell>
        </row>
        <row r="61">
          <cell r="B61">
            <v>118</v>
          </cell>
        </row>
        <row r="62">
          <cell r="B62">
            <v>131</v>
          </cell>
        </row>
        <row r="63">
          <cell r="B63">
            <v>132</v>
          </cell>
        </row>
        <row r="64">
          <cell r="B64">
            <v>139</v>
          </cell>
        </row>
        <row r="65">
          <cell r="B65">
            <v>156</v>
          </cell>
        </row>
        <row r="66">
          <cell r="B66">
            <v>165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- VENTAS"/>
      <sheetName val="desagregados"/>
    </sheetNames>
    <sheetDataSet>
      <sheetData sheetId="0"/>
      <sheetData sheetId="1">
        <row r="9">
          <cell r="C9">
            <v>2243.3232249999996</v>
          </cell>
          <cell r="H9">
            <v>6430.3848620000044</v>
          </cell>
        </row>
        <row r="10">
          <cell r="C10">
            <v>1988.7948940000003</v>
          </cell>
          <cell r="H10">
            <v>6781.8158419999918</v>
          </cell>
        </row>
        <row r="11">
          <cell r="C11">
            <v>2086.2452379999995</v>
          </cell>
          <cell r="H11">
            <v>7291.6494419999917</v>
          </cell>
        </row>
        <row r="12">
          <cell r="C12">
            <v>2122.8234709999997</v>
          </cell>
          <cell r="H12">
            <v>7755.838101999997</v>
          </cell>
        </row>
        <row r="13">
          <cell r="C13">
            <v>2127.0176919999999</v>
          </cell>
          <cell r="H13">
            <v>8071.8733350000111</v>
          </cell>
        </row>
        <row r="14">
          <cell r="C14">
            <v>2356.4909910000001</v>
          </cell>
          <cell r="H14">
            <v>8406.7782800000132</v>
          </cell>
        </row>
        <row r="15">
          <cell r="C15">
            <v>1867.5214919999999</v>
          </cell>
          <cell r="H15">
            <v>8654.8532329999871</v>
          </cell>
        </row>
        <row r="16">
          <cell r="C16">
            <v>1891.6583559999997</v>
          </cell>
          <cell r="H16">
            <v>9221.8888070000012</v>
          </cell>
        </row>
        <row r="17">
          <cell r="C17">
            <v>1692.8232840000001</v>
          </cell>
          <cell r="H17">
            <v>9610.7902890000005</v>
          </cell>
        </row>
        <row r="18">
          <cell r="C18">
            <v>1648.7939530000001</v>
          </cell>
          <cell r="H18">
            <v>10352.511363000001</v>
          </cell>
        </row>
        <row r="19">
          <cell r="C19">
            <v>1764.1809539999999</v>
          </cell>
          <cell r="H19">
            <v>11150.106846222223</v>
          </cell>
        </row>
        <row r="20">
          <cell r="C20">
            <v>1874.1233889999999</v>
          </cell>
          <cell r="H20">
            <v>12169.514937999998</v>
          </cell>
        </row>
        <row r="21">
          <cell r="C21">
            <v>1685.996386</v>
          </cell>
          <cell r="H21">
            <v>13346.184469</v>
          </cell>
        </row>
        <row r="22">
          <cell r="C22">
            <v>1727.732471</v>
          </cell>
          <cell r="H22">
            <v>14569.444074000001</v>
          </cell>
        </row>
        <row r="23">
          <cell r="C23">
            <v>1795.9593729999997</v>
          </cell>
          <cell r="H23">
            <v>15204.704771999996</v>
          </cell>
        </row>
        <row r="24">
          <cell r="C24">
            <v>1764.4745290000001</v>
          </cell>
          <cell r="H24">
            <v>16430.850569000002</v>
          </cell>
        </row>
        <row r="25">
          <cell r="C25">
            <v>1861.4841750000001</v>
          </cell>
          <cell r="H25">
            <v>17891.5565232511</v>
          </cell>
        </row>
        <row r="26">
          <cell r="C26">
            <v>1985.1254450000001</v>
          </cell>
          <cell r="H26">
            <v>18962.169935999998</v>
          </cell>
        </row>
        <row r="27">
          <cell r="C27">
            <v>2055.3020699999997</v>
          </cell>
          <cell r="H27">
            <v>19883.276369286003</v>
          </cell>
        </row>
        <row r="28">
          <cell r="C28">
            <v>2018.0005961056249</v>
          </cell>
          <cell r="H28">
            <v>20763.97139729272</v>
          </cell>
        </row>
        <row r="29">
          <cell r="C29">
            <v>2018.3067886155122</v>
          </cell>
          <cell r="H29">
            <v>21564.640493245512</v>
          </cell>
        </row>
        <row r="46">
          <cell r="B46">
            <v>1175.548041</v>
          </cell>
        </row>
        <row r="47">
          <cell r="B47">
            <v>1560.2288619999999</v>
          </cell>
        </row>
        <row r="48">
          <cell r="B48">
            <v>3073.3354799999997</v>
          </cell>
        </row>
        <row r="49">
          <cell r="B49">
            <v>4129.9152500000009</v>
          </cell>
        </row>
        <row r="50">
          <cell r="B50">
            <v>4393.000532</v>
          </cell>
        </row>
        <row r="51">
          <cell r="B51">
            <v>4782.3261210000001</v>
          </cell>
        </row>
        <row r="52">
          <cell r="B52">
            <v>6106.3798200000001</v>
          </cell>
        </row>
        <row r="53">
          <cell r="B53">
            <v>6491.7787508479996</v>
          </cell>
        </row>
        <row r="54">
          <cell r="B54">
            <v>7071.721837000001</v>
          </cell>
        </row>
        <row r="55">
          <cell r="B55">
            <v>7639.3457939999998</v>
          </cell>
        </row>
        <row r="56">
          <cell r="B56">
            <v>7787.095080000001</v>
          </cell>
        </row>
        <row r="57">
          <cell r="B57">
            <v>8246.4228259999982</v>
          </cell>
        </row>
        <row r="58">
          <cell r="B58">
            <v>9689.5676980000007</v>
          </cell>
        </row>
        <row r="59">
          <cell r="B59">
            <v>10667.238051</v>
          </cell>
        </row>
        <row r="60">
          <cell r="B60">
            <v>10086.341632</v>
          </cell>
        </row>
        <row r="61">
          <cell r="B61">
            <v>11240.850026</v>
          </cell>
        </row>
        <row r="62">
          <cell r="B62">
            <v>12067.310106999999</v>
          </cell>
        </row>
        <row r="63">
          <cell r="B63">
            <v>12700.89055</v>
          </cell>
        </row>
        <row r="64">
          <cell r="B64">
            <v>13674.172221000001</v>
          </cell>
        </row>
        <row r="65">
          <cell r="B65">
            <v>14545.805000800003</v>
          </cell>
        </row>
        <row r="66">
          <cell r="B66">
            <v>16123.008124301699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-FACT"/>
      <sheetName val="desagregados"/>
    </sheetNames>
    <sheetDataSet>
      <sheetData sheetId="0"/>
      <sheetData sheetId="1">
        <row r="9">
          <cell r="C9">
            <v>124184.48634359846</v>
          </cell>
          <cell r="H9">
            <v>652594.70505039126</v>
          </cell>
        </row>
        <row r="10">
          <cell r="C10">
            <v>118518.19419908689</v>
          </cell>
          <cell r="H10">
            <v>703942.0843935553</v>
          </cell>
        </row>
        <row r="11">
          <cell r="C11">
            <v>119469.61099105242</v>
          </cell>
          <cell r="H11">
            <v>739882.06859937776</v>
          </cell>
        </row>
        <row r="12">
          <cell r="C12">
            <v>107173.85069988419</v>
          </cell>
          <cell r="H12">
            <v>678887.14895575435</v>
          </cell>
        </row>
        <row r="13">
          <cell r="C13">
            <v>107879.16120478789</v>
          </cell>
          <cell r="H13">
            <v>670509.97864915198</v>
          </cell>
        </row>
        <row r="14">
          <cell r="C14">
            <v>125742.6973683028</v>
          </cell>
          <cell r="H14">
            <v>740329.43935992219</v>
          </cell>
        </row>
        <row r="15">
          <cell r="C15">
            <v>101440.22575696744</v>
          </cell>
          <cell r="H15">
            <v>761192.05792891572</v>
          </cell>
        </row>
        <row r="16">
          <cell r="C16">
            <v>97685.027246002166</v>
          </cell>
          <cell r="H16">
            <v>764543.09032842796</v>
          </cell>
        </row>
        <row r="17">
          <cell r="C17">
            <v>89989.026017499913</v>
          </cell>
          <cell r="H17">
            <v>811107.14639795315</v>
          </cell>
        </row>
        <row r="18">
          <cell r="C18">
            <v>88872.410827747721</v>
          </cell>
          <cell r="H18">
            <v>897997.70685053943</v>
          </cell>
        </row>
        <row r="19">
          <cell r="C19">
            <v>99638.871343217426</v>
          </cell>
          <cell r="H19">
            <v>1048137.0214944701</v>
          </cell>
        </row>
        <row r="20">
          <cell r="C20">
            <v>101892.57380962497</v>
          </cell>
          <cell r="H20">
            <v>1120521.0639498956</v>
          </cell>
        </row>
        <row r="21">
          <cell r="C21">
            <v>91758.397642161377</v>
          </cell>
          <cell r="H21">
            <v>1213689.4778540342</v>
          </cell>
        </row>
        <row r="22">
          <cell r="C22">
            <v>107608.88207387061</v>
          </cell>
          <cell r="H22">
            <v>1393393.8557439279</v>
          </cell>
        </row>
        <row r="23">
          <cell r="C23">
            <v>118749.05177280001</v>
          </cell>
          <cell r="H23">
            <v>1556915.7010486</v>
          </cell>
        </row>
        <row r="24">
          <cell r="C24">
            <v>122514.81330417127</v>
          </cell>
          <cell r="H24">
            <v>1718589.3030064055</v>
          </cell>
        </row>
        <row r="25">
          <cell r="C25">
            <v>146073.32673288663</v>
          </cell>
          <cell r="H25">
            <v>1984402.415805182</v>
          </cell>
        </row>
        <row r="26">
          <cell r="C26">
            <v>160857.30697259019</v>
          </cell>
          <cell r="H26">
            <v>2313676.253838758</v>
          </cell>
        </row>
        <row r="27">
          <cell r="H27">
            <v>2432390.4404826723</v>
          </cell>
        </row>
        <row r="28">
          <cell r="C28">
            <v>185561.5864329187</v>
          </cell>
          <cell r="H28">
            <v>2788652.8472374799</v>
          </cell>
        </row>
        <row r="29">
          <cell r="C29">
            <v>191469.97497541874</v>
          </cell>
          <cell r="H29">
            <v>2946488.7014594637</v>
          </cell>
        </row>
        <row r="43">
          <cell r="B43">
            <v>49896.810295752563</v>
          </cell>
        </row>
        <row r="44">
          <cell r="B44">
            <v>70910.116548175167</v>
          </cell>
        </row>
        <row r="45">
          <cell r="B45">
            <v>160185.85702650671</v>
          </cell>
        </row>
        <row r="46">
          <cell r="B46">
            <v>202083.97088961289</v>
          </cell>
        </row>
        <row r="47">
          <cell r="B47">
            <v>213570.22841279037</v>
          </cell>
        </row>
        <row r="48">
          <cell r="B48">
            <v>246997.36354015436</v>
          </cell>
        </row>
        <row r="49">
          <cell r="B49">
            <v>276726.23015266506</v>
          </cell>
        </row>
        <row r="50">
          <cell r="B50">
            <v>294839.04269330332</v>
          </cell>
        </row>
        <row r="51">
          <cell r="B51">
            <v>316113.97125522856</v>
          </cell>
        </row>
        <row r="52">
          <cell r="B52">
            <v>395429.89413182059</v>
          </cell>
        </row>
        <row r="53">
          <cell r="B53">
            <v>431433.37825869262</v>
          </cell>
        </row>
        <row r="54">
          <cell r="B54">
            <v>460755.2665463867</v>
          </cell>
        </row>
        <row r="55">
          <cell r="B55">
            <v>525183.78793804673</v>
          </cell>
        </row>
        <row r="56">
          <cell r="B56">
            <v>715097.23536556808</v>
          </cell>
        </row>
        <row r="57">
          <cell r="B57">
            <v>560393.40099600004</v>
          </cell>
        </row>
        <row r="58">
          <cell r="B58">
            <v>607430.91189238196</v>
          </cell>
        </row>
        <row r="59">
          <cell r="B59">
            <v>729915.81282072805</v>
          </cell>
        </row>
        <row r="60">
          <cell r="B60">
            <v>824591.93851566571</v>
          </cell>
        </row>
        <row r="61">
          <cell r="B61">
            <v>918560.29170848709</v>
          </cell>
        </row>
        <row r="62">
          <cell r="B62">
            <v>1051131.6818032635</v>
          </cell>
        </row>
        <row r="63">
          <cell r="B63">
            <v>1128104.3490953064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-PRECIOMEDIO"/>
      <sheetName val="desagregados"/>
    </sheetNames>
    <sheetDataSet>
      <sheetData sheetId="0"/>
      <sheetData sheetId="1">
        <row r="27">
          <cell r="B27">
            <v>13.055122860006383</v>
          </cell>
          <cell r="C27">
            <v>9.1953187125424485</v>
          </cell>
          <cell r="H27">
            <v>13.430247970776314</v>
          </cell>
        </row>
        <row r="62">
          <cell r="B62">
            <v>7.2263562019802521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tabSelected="1" view="pageBreakPreview" zoomScale="90" zoomScaleNormal="90" zoomScaleSheetLayoutView="90" workbookViewId="0">
      <selection activeCell="R19" sqref="R19"/>
    </sheetView>
  </sheetViews>
  <sheetFormatPr baseColWidth="10" defaultRowHeight="12.75" x14ac:dyDescent="0.2"/>
  <cols>
    <col min="1" max="12" width="10.7109375" style="4" customWidth="1"/>
    <col min="13" max="256" width="11.42578125" style="4"/>
    <col min="257" max="268" width="10.7109375" style="4" customWidth="1"/>
    <col min="269" max="512" width="11.42578125" style="4"/>
    <col min="513" max="524" width="10.7109375" style="4" customWidth="1"/>
    <col min="525" max="768" width="11.42578125" style="4"/>
    <col min="769" max="780" width="10.7109375" style="4" customWidth="1"/>
    <col min="781" max="1024" width="11.42578125" style="4"/>
    <col min="1025" max="1036" width="10.7109375" style="4" customWidth="1"/>
    <col min="1037" max="1280" width="11.42578125" style="4"/>
    <col min="1281" max="1292" width="10.7109375" style="4" customWidth="1"/>
    <col min="1293" max="1536" width="11.42578125" style="4"/>
    <col min="1537" max="1548" width="10.7109375" style="4" customWidth="1"/>
    <col min="1549" max="1792" width="11.42578125" style="4"/>
    <col min="1793" max="1804" width="10.7109375" style="4" customWidth="1"/>
    <col min="1805" max="2048" width="11.42578125" style="4"/>
    <col min="2049" max="2060" width="10.7109375" style="4" customWidth="1"/>
    <col min="2061" max="2304" width="11.42578125" style="4"/>
    <col min="2305" max="2316" width="10.7109375" style="4" customWidth="1"/>
    <col min="2317" max="2560" width="11.42578125" style="4"/>
    <col min="2561" max="2572" width="10.7109375" style="4" customWidth="1"/>
    <col min="2573" max="2816" width="11.42578125" style="4"/>
    <col min="2817" max="2828" width="10.7109375" style="4" customWidth="1"/>
    <col min="2829" max="3072" width="11.42578125" style="4"/>
    <col min="3073" max="3084" width="10.7109375" style="4" customWidth="1"/>
    <col min="3085" max="3328" width="11.42578125" style="4"/>
    <col min="3329" max="3340" width="10.7109375" style="4" customWidth="1"/>
    <col min="3341" max="3584" width="11.42578125" style="4"/>
    <col min="3585" max="3596" width="10.7109375" style="4" customWidth="1"/>
    <col min="3597" max="3840" width="11.42578125" style="4"/>
    <col min="3841" max="3852" width="10.7109375" style="4" customWidth="1"/>
    <col min="3853" max="4096" width="11.42578125" style="4"/>
    <col min="4097" max="4108" width="10.7109375" style="4" customWidth="1"/>
    <col min="4109" max="4352" width="11.42578125" style="4"/>
    <col min="4353" max="4364" width="10.7109375" style="4" customWidth="1"/>
    <col min="4365" max="4608" width="11.42578125" style="4"/>
    <col min="4609" max="4620" width="10.7109375" style="4" customWidth="1"/>
    <col min="4621" max="4864" width="11.42578125" style="4"/>
    <col min="4865" max="4876" width="10.7109375" style="4" customWidth="1"/>
    <col min="4877" max="5120" width="11.42578125" style="4"/>
    <col min="5121" max="5132" width="10.7109375" style="4" customWidth="1"/>
    <col min="5133" max="5376" width="11.42578125" style="4"/>
    <col min="5377" max="5388" width="10.7109375" style="4" customWidth="1"/>
    <col min="5389" max="5632" width="11.42578125" style="4"/>
    <col min="5633" max="5644" width="10.7109375" style="4" customWidth="1"/>
    <col min="5645" max="5888" width="11.42578125" style="4"/>
    <col min="5889" max="5900" width="10.7109375" style="4" customWidth="1"/>
    <col min="5901" max="6144" width="11.42578125" style="4"/>
    <col min="6145" max="6156" width="10.7109375" style="4" customWidth="1"/>
    <col min="6157" max="6400" width="11.42578125" style="4"/>
    <col min="6401" max="6412" width="10.7109375" style="4" customWidth="1"/>
    <col min="6413" max="6656" width="11.42578125" style="4"/>
    <col min="6657" max="6668" width="10.7109375" style="4" customWidth="1"/>
    <col min="6669" max="6912" width="11.42578125" style="4"/>
    <col min="6913" max="6924" width="10.7109375" style="4" customWidth="1"/>
    <col min="6925" max="7168" width="11.42578125" style="4"/>
    <col min="7169" max="7180" width="10.7109375" style="4" customWidth="1"/>
    <col min="7181" max="7424" width="11.42578125" style="4"/>
    <col min="7425" max="7436" width="10.7109375" style="4" customWidth="1"/>
    <col min="7437" max="7680" width="11.42578125" style="4"/>
    <col min="7681" max="7692" width="10.7109375" style="4" customWidth="1"/>
    <col min="7693" max="7936" width="11.42578125" style="4"/>
    <col min="7937" max="7948" width="10.7109375" style="4" customWidth="1"/>
    <col min="7949" max="8192" width="11.42578125" style="4"/>
    <col min="8193" max="8204" width="10.7109375" style="4" customWidth="1"/>
    <col min="8205" max="8448" width="11.42578125" style="4"/>
    <col min="8449" max="8460" width="10.7109375" style="4" customWidth="1"/>
    <col min="8461" max="8704" width="11.42578125" style="4"/>
    <col min="8705" max="8716" width="10.7109375" style="4" customWidth="1"/>
    <col min="8717" max="8960" width="11.42578125" style="4"/>
    <col min="8961" max="8972" width="10.7109375" style="4" customWidth="1"/>
    <col min="8973" max="9216" width="11.42578125" style="4"/>
    <col min="9217" max="9228" width="10.7109375" style="4" customWidth="1"/>
    <col min="9229" max="9472" width="11.42578125" style="4"/>
    <col min="9473" max="9484" width="10.7109375" style="4" customWidth="1"/>
    <col min="9485" max="9728" width="11.42578125" style="4"/>
    <col min="9729" max="9740" width="10.7109375" style="4" customWidth="1"/>
    <col min="9741" max="9984" width="11.42578125" style="4"/>
    <col min="9985" max="9996" width="10.7109375" style="4" customWidth="1"/>
    <col min="9997" max="10240" width="11.42578125" style="4"/>
    <col min="10241" max="10252" width="10.7109375" style="4" customWidth="1"/>
    <col min="10253" max="10496" width="11.42578125" style="4"/>
    <col min="10497" max="10508" width="10.7109375" style="4" customWidth="1"/>
    <col min="10509" max="10752" width="11.42578125" style="4"/>
    <col min="10753" max="10764" width="10.7109375" style="4" customWidth="1"/>
    <col min="10765" max="11008" width="11.42578125" style="4"/>
    <col min="11009" max="11020" width="10.7109375" style="4" customWidth="1"/>
    <col min="11021" max="11264" width="11.42578125" style="4"/>
    <col min="11265" max="11276" width="10.7109375" style="4" customWidth="1"/>
    <col min="11277" max="11520" width="11.42578125" style="4"/>
    <col min="11521" max="11532" width="10.7109375" style="4" customWidth="1"/>
    <col min="11533" max="11776" width="11.42578125" style="4"/>
    <col min="11777" max="11788" width="10.7109375" style="4" customWidth="1"/>
    <col min="11789" max="12032" width="11.42578125" style="4"/>
    <col min="12033" max="12044" width="10.7109375" style="4" customWidth="1"/>
    <col min="12045" max="12288" width="11.42578125" style="4"/>
    <col min="12289" max="12300" width="10.7109375" style="4" customWidth="1"/>
    <col min="12301" max="12544" width="11.42578125" style="4"/>
    <col min="12545" max="12556" width="10.7109375" style="4" customWidth="1"/>
    <col min="12557" max="12800" width="11.42578125" style="4"/>
    <col min="12801" max="12812" width="10.7109375" style="4" customWidth="1"/>
    <col min="12813" max="13056" width="11.42578125" style="4"/>
    <col min="13057" max="13068" width="10.7109375" style="4" customWidth="1"/>
    <col min="13069" max="13312" width="11.42578125" style="4"/>
    <col min="13313" max="13324" width="10.7109375" style="4" customWidth="1"/>
    <col min="13325" max="13568" width="11.42578125" style="4"/>
    <col min="13569" max="13580" width="10.7109375" style="4" customWidth="1"/>
    <col min="13581" max="13824" width="11.42578125" style="4"/>
    <col min="13825" max="13836" width="10.7109375" style="4" customWidth="1"/>
    <col min="13837" max="14080" width="11.42578125" style="4"/>
    <col min="14081" max="14092" width="10.7109375" style="4" customWidth="1"/>
    <col min="14093" max="14336" width="11.42578125" style="4"/>
    <col min="14337" max="14348" width="10.7109375" style="4" customWidth="1"/>
    <col min="14349" max="14592" width="11.42578125" style="4"/>
    <col min="14593" max="14604" width="10.7109375" style="4" customWidth="1"/>
    <col min="14605" max="14848" width="11.42578125" style="4"/>
    <col min="14849" max="14860" width="10.7109375" style="4" customWidth="1"/>
    <col min="14861" max="15104" width="11.42578125" style="4"/>
    <col min="15105" max="15116" width="10.7109375" style="4" customWidth="1"/>
    <col min="15117" max="15360" width="11.42578125" style="4"/>
    <col min="15361" max="15372" width="10.7109375" style="4" customWidth="1"/>
    <col min="15373" max="15616" width="11.42578125" style="4"/>
    <col min="15617" max="15628" width="10.7109375" style="4" customWidth="1"/>
    <col min="15629" max="15872" width="11.42578125" style="4"/>
    <col min="15873" max="15884" width="10.7109375" style="4" customWidth="1"/>
    <col min="15885" max="16128" width="11.42578125" style="4"/>
    <col min="16129" max="16140" width="10.7109375" style="4" customWidth="1"/>
    <col min="16141" max="16384" width="11.42578125" style="4"/>
  </cols>
  <sheetData>
    <row r="1" spans="1:12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12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</row>
    <row r="3" spans="1:12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7"/>
    </row>
    <row r="4" spans="1:12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7"/>
    </row>
    <row r="5" spans="1:12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7"/>
    </row>
    <row r="6" spans="1:12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7"/>
    </row>
    <row r="7" spans="1:12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7"/>
    </row>
    <row r="8" spans="1:12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7"/>
    </row>
    <row r="9" spans="1:12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7"/>
    </row>
    <row r="10" spans="1:12" x14ac:dyDescent="0.2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7"/>
    </row>
    <row r="11" spans="1:12" x14ac:dyDescent="0.2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7"/>
    </row>
    <row r="12" spans="1:12" x14ac:dyDescent="0.2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  <c r="L12" s="7"/>
    </row>
    <row r="13" spans="1:12" x14ac:dyDescent="0.2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7"/>
    </row>
    <row r="14" spans="1:12" x14ac:dyDescent="0.2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7"/>
    </row>
    <row r="15" spans="1:12" x14ac:dyDescent="0.2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  <c r="L15" s="7"/>
    </row>
    <row r="16" spans="1:12" x14ac:dyDescent="0.2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  <c r="L16" s="7"/>
    </row>
    <row r="17" spans="1:12" x14ac:dyDescent="0.2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7"/>
    </row>
    <row r="18" spans="1:12" x14ac:dyDescent="0.2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7"/>
    </row>
    <row r="19" spans="1:12" x14ac:dyDescent="0.2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  <c r="L19" s="7"/>
    </row>
    <row r="20" spans="1:12" x14ac:dyDescent="0.2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7"/>
    </row>
    <row r="21" spans="1:12" x14ac:dyDescent="0.2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  <c r="L21" s="7"/>
    </row>
    <row r="22" spans="1:12" x14ac:dyDescent="0.2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7"/>
    </row>
    <row r="23" spans="1:12" x14ac:dyDescent="0.2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  <c r="L23" s="7"/>
    </row>
    <row r="24" spans="1:12" x14ac:dyDescent="0.2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  <c r="L24" s="7"/>
    </row>
    <row r="25" spans="1:12" x14ac:dyDescent="0.2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  <c r="L25" s="7"/>
    </row>
    <row r="26" spans="1:12" x14ac:dyDescent="0.2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7"/>
    </row>
    <row r="27" spans="1:12" x14ac:dyDescent="0.2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7"/>
    </row>
    <row r="28" spans="1:12" x14ac:dyDescent="0.2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7"/>
    </row>
    <row r="29" spans="1:12" x14ac:dyDescent="0.2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7"/>
    </row>
    <row r="30" spans="1:12" x14ac:dyDescent="0.2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7"/>
    </row>
    <row r="31" spans="1:12" x14ac:dyDescent="0.2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7"/>
    </row>
    <row r="32" spans="1:12" x14ac:dyDescent="0.2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  <c r="L32" s="7"/>
    </row>
    <row r="33" spans="1:12" x14ac:dyDescent="0.2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  <c r="L33" s="7"/>
    </row>
    <row r="34" spans="1:12" x14ac:dyDescent="0.2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  <c r="L34" s="7"/>
    </row>
    <row r="35" spans="1:12" x14ac:dyDescent="0.2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7"/>
    </row>
    <row r="36" spans="1:12" x14ac:dyDescent="0.2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7"/>
    </row>
    <row r="37" spans="1:12" x14ac:dyDescent="0.2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7"/>
    </row>
    <row r="38" spans="1:12" x14ac:dyDescent="0.2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7"/>
    </row>
    <row r="39" spans="1:12" x14ac:dyDescent="0.2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7"/>
    </row>
    <row r="40" spans="1:12" x14ac:dyDescent="0.2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7"/>
    </row>
    <row r="41" spans="1:12" x14ac:dyDescent="0.2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</row>
    <row r="42" spans="1:12" x14ac:dyDescent="0.2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</row>
    <row r="43" spans="1:12" x14ac:dyDescent="0.2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</row>
    <row r="44" spans="1:12" x14ac:dyDescent="0.2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7"/>
    </row>
    <row r="45" spans="1:12" x14ac:dyDescent="0.2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7"/>
    </row>
    <row r="46" spans="1:12" x14ac:dyDescent="0.2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7"/>
    </row>
    <row r="47" spans="1:12" x14ac:dyDescent="0.2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7"/>
    </row>
    <row r="48" spans="1:12" x14ac:dyDescent="0.2">
      <c r="A48" s="5"/>
      <c r="B48" s="6"/>
      <c r="C48" s="6"/>
      <c r="D48" s="6"/>
      <c r="E48" s="6"/>
      <c r="F48" s="6"/>
      <c r="G48" s="6"/>
      <c r="H48" s="6"/>
      <c r="I48" s="6"/>
      <c r="J48" s="6"/>
      <c r="K48" s="6"/>
      <c r="L48" s="7"/>
    </row>
    <row r="49" spans="1:12" x14ac:dyDescent="0.2">
      <c r="A49" s="5"/>
      <c r="B49" s="6"/>
      <c r="C49" s="6"/>
      <c r="D49" s="6"/>
      <c r="E49" s="6"/>
      <c r="F49" s="6"/>
      <c r="G49" s="6"/>
      <c r="H49" s="6"/>
      <c r="I49" s="6"/>
      <c r="J49" s="6"/>
      <c r="K49" s="6"/>
      <c r="L49" s="7"/>
    </row>
    <row r="50" spans="1:12" x14ac:dyDescent="0.2">
      <c r="A50" s="5"/>
      <c r="B50" s="6"/>
      <c r="C50" s="6"/>
      <c r="D50" s="6"/>
      <c r="E50" s="6"/>
      <c r="F50" s="6"/>
      <c r="G50" s="6"/>
      <c r="H50" s="6"/>
      <c r="I50" s="6"/>
      <c r="J50" s="6"/>
      <c r="K50" s="6"/>
      <c r="L50" s="7"/>
    </row>
    <row r="51" spans="1:12" x14ac:dyDescent="0.2">
      <c r="A51" s="5"/>
      <c r="B51" s="6"/>
      <c r="C51" s="6"/>
      <c r="D51" s="6"/>
      <c r="E51" s="6"/>
      <c r="F51" s="6"/>
      <c r="G51" s="6"/>
      <c r="H51" s="6"/>
      <c r="I51" s="6"/>
      <c r="J51" s="6"/>
      <c r="K51" s="6"/>
      <c r="L51" s="7"/>
    </row>
    <row r="52" spans="1:12" x14ac:dyDescent="0.2">
      <c r="A52" s="5"/>
      <c r="B52" s="6"/>
      <c r="C52" s="6"/>
      <c r="D52" s="6"/>
      <c r="E52" s="6"/>
      <c r="F52" s="6"/>
      <c r="G52" s="6"/>
      <c r="H52" s="6"/>
      <c r="I52" s="6"/>
      <c r="J52" s="6"/>
      <c r="K52" s="6"/>
      <c r="L52" s="7"/>
    </row>
    <row r="53" spans="1:12" x14ac:dyDescent="0.2">
      <c r="A53" s="5"/>
      <c r="B53" s="6"/>
      <c r="C53" s="6"/>
      <c r="D53" s="6"/>
      <c r="E53" s="6"/>
      <c r="F53" s="6"/>
      <c r="G53" s="6"/>
      <c r="H53" s="6"/>
      <c r="I53" s="6"/>
      <c r="J53" s="6"/>
      <c r="K53" s="6"/>
      <c r="L53" s="7"/>
    </row>
    <row r="54" spans="1:12" x14ac:dyDescent="0.2">
      <c r="A54" s="5"/>
      <c r="B54" s="6"/>
      <c r="C54" s="6"/>
      <c r="D54" s="6"/>
      <c r="E54" s="6"/>
      <c r="F54" s="6"/>
      <c r="G54" s="6"/>
      <c r="H54" s="6"/>
      <c r="I54" s="6"/>
      <c r="J54" s="6"/>
      <c r="K54" s="6"/>
      <c r="L54" s="7"/>
    </row>
    <row r="55" spans="1:12" x14ac:dyDescent="0.2">
      <c r="A55" s="5"/>
      <c r="B55" s="6"/>
      <c r="C55" s="6"/>
      <c r="D55" s="6"/>
      <c r="E55" s="6"/>
      <c r="F55" s="6"/>
      <c r="G55" s="6"/>
      <c r="H55" s="6"/>
      <c r="I55" s="6"/>
      <c r="J55" s="6"/>
      <c r="K55" s="6"/>
      <c r="L55" s="7"/>
    </row>
    <row r="56" spans="1:12" x14ac:dyDescent="0.2">
      <c r="A56" s="5"/>
      <c r="B56" s="6"/>
      <c r="C56" s="6"/>
      <c r="D56" s="6"/>
      <c r="E56" s="6"/>
      <c r="F56" s="6"/>
      <c r="G56" s="6"/>
      <c r="H56" s="6"/>
      <c r="I56" s="6"/>
      <c r="J56" s="6"/>
      <c r="K56" s="6"/>
      <c r="L56" s="7"/>
    </row>
    <row r="57" spans="1:12" x14ac:dyDescent="0.2">
      <c r="A57" s="5"/>
      <c r="B57" s="6"/>
      <c r="C57" s="6"/>
      <c r="D57" s="6"/>
      <c r="E57" s="6"/>
      <c r="F57" s="6"/>
      <c r="G57" s="6"/>
      <c r="H57" s="6"/>
      <c r="I57" s="6"/>
      <c r="J57" s="6"/>
      <c r="K57" s="6"/>
      <c r="L57" s="7"/>
    </row>
    <row r="58" spans="1:12" x14ac:dyDescent="0.2">
      <c r="A58" s="5"/>
      <c r="B58" s="6"/>
      <c r="C58" s="6"/>
      <c r="D58" s="6"/>
      <c r="E58" s="6"/>
      <c r="F58" s="6"/>
      <c r="G58" s="6"/>
      <c r="H58" s="6"/>
      <c r="I58" s="6"/>
      <c r="J58" s="6"/>
      <c r="K58" s="6"/>
      <c r="L58" s="7"/>
    </row>
    <row r="59" spans="1:12" ht="12.75" customHeight="1" x14ac:dyDescent="0.2">
      <c r="A59" s="5"/>
      <c r="B59" s="1342" t="s">
        <v>316</v>
      </c>
      <c r="C59" s="1342"/>
      <c r="D59" s="1342"/>
      <c r="E59" s="1342"/>
      <c r="F59" s="1342"/>
      <c r="G59" s="1342"/>
      <c r="H59" s="1342"/>
      <c r="I59" s="1342"/>
      <c r="J59" s="1342"/>
      <c r="K59" s="1342"/>
      <c r="L59" s="7"/>
    </row>
    <row r="60" spans="1:12" ht="12.75" customHeight="1" x14ac:dyDescent="0.2">
      <c r="A60" s="5"/>
      <c r="B60" s="1342"/>
      <c r="C60" s="1342"/>
      <c r="D60" s="1342"/>
      <c r="E60" s="1342"/>
      <c r="F60" s="1342"/>
      <c r="G60" s="1342"/>
      <c r="H60" s="1342"/>
      <c r="I60" s="1342"/>
      <c r="J60" s="1342"/>
      <c r="K60" s="1342"/>
      <c r="L60" s="7"/>
    </row>
    <row r="61" spans="1:12" ht="12.75" customHeight="1" x14ac:dyDescent="0.2">
      <c r="A61" s="5"/>
      <c r="B61" s="1342"/>
      <c r="C61" s="1342"/>
      <c r="D61" s="1342"/>
      <c r="E61" s="1342"/>
      <c r="F61" s="1342"/>
      <c r="G61" s="1342"/>
      <c r="H61" s="1342"/>
      <c r="I61" s="1342"/>
      <c r="J61" s="1342"/>
      <c r="K61" s="1342"/>
      <c r="L61" s="7"/>
    </row>
    <row r="62" spans="1:12" ht="12.75" customHeight="1" x14ac:dyDescent="0.2">
      <c r="A62" s="5"/>
      <c r="B62" s="1342"/>
      <c r="C62" s="1342"/>
      <c r="D62" s="1342"/>
      <c r="E62" s="1342"/>
      <c r="F62" s="1342"/>
      <c r="G62" s="1342"/>
      <c r="H62" s="1342"/>
      <c r="I62" s="1342"/>
      <c r="J62" s="1342"/>
      <c r="K62" s="1342"/>
      <c r="L62" s="7"/>
    </row>
    <row r="63" spans="1:12" ht="12.75" customHeight="1" x14ac:dyDescent="0.2">
      <c r="A63" s="5"/>
      <c r="B63" s="1342"/>
      <c r="C63" s="1342"/>
      <c r="D63" s="1342"/>
      <c r="E63" s="1342"/>
      <c r="F63" s="1342"/>
      <c r="G63" s="1342"/>
      <c r="H63" s="1342"/>
      <c r="I63" s="1342"/>
      <c r="J63" s="1342"/>
      <c r="K63" s="1342"/>
      <c r="L63" s="7"/>
    </row>
    <row r="64" spans="1:12" ht="12.75" customHeight="1" x14ac:dyDescent="0.2">
      <c r="A64" s="5"/>
      <c r="B64" s="1342"/>
      <c r="C64" s="1342"/>
      <c r="D64" s="1342"/>
      <c r="E64" s="1342"/>
      <c r="F64" s="1342"/>
      <c r="G64" s="1342"/>
      <c r="H64" s="1342"/>
      <c r="I64" s="1342"/>
      <c r="J64" s="1342"/>
      <c r="K64" s="1342"/>
      <c r="L64" s="7"/>
    </row>
    <row r="65" spans="1:12" ht="12.75" customHeight="1" x14ac:dyDescent="0.2">
      <c r="A65" s="5"/>
      <c r="B65" s="1342"/>
      <c r="C65" s="1342"/>
      <c r="D65" s="1342"/>
      <c r="E65" s="1342"/>
      <c r="F65" s="1342"/>
      <c r="G65" s="1342"/>
      <c r="H65" s="1342"/>
      <c r="I65" s="1342"/>
      <c r="J65" s="1342"/>
      <c r="K65" s="1342"/>
      <c r="L65" s="7"/>
    </row>
    <row r="66" spans="1:12" ht="12.75" customHeight="1" x14ac:dyDescent="0.2">
      <c r="A66" s="5"/>
      <c r="B66" s="8"/>
      <c r="C66" s="6"/>
      <c r="D66" s="6"/>
      <c r="E66" s="6"/>
      <c r="F66" s="6"/>
      <c r="G66" s="6"/>
      <c r="H66" s="6"/>
      <c r="I66" s="6"/>
      <c r="J66" s="6"/>
      <c r="K66" s="6"/>
      <c r="L66" s="7"/>
    </row>
    <row r="67" spans="1:12" ht="12.75" customHeight="1" x14ac:dyDescent="0.2">
      <c r="A67" s="5"/>
      <c r="B67" s="8"/>
      <c r="C67" s="6"/>
      <c r="D67" s="6"/>
      <c r="E67" s="6"/>
      <c r="F67" s="6"/>
      <c r="G67" s="6"/>
      <c r="H67" s="6"/>
      <c r="I67" s="6"/>
      <c r="J67" s="6"/>
      <c r="K67" s="6"/>
      <c r="L67" s="7"/>
    </row>
    <row r="68" spans="1:12" ht="12.75" customHeight="1" x14ac:dyDescent="0.2">
      <c r="A68" s="5"/>
      <c r="B68" s="8"/>
      <c r="C68" s="9"/>
      <c r="D68" s="6"/>
      <c r="E68" s="6"/>
      <c r="F68" s="6"/>
      <c r="G68" s="6"/>
      <c r="H68" s="6"/>
      <c r="I68" s="6"/>
      <c r="J68" s="6"/>
      <c r="K68" s="6"/>
      <c r="L68" s="7"/>
    </row>
    <row r="69" spans="1:12" ht="13.5" customHeight="1" x14ac:dyDescent="0.2">
      <c r="A69" s="5"/>
      <c r="B69" s="8"/>
      <c r="C69" s="6"/>
      <c r="D69" s="6"/>
      <c r="E69" s="6"/>
      <c r="F69" s="6"/>
      <c r="G69" s="6"/>
      <c r="H69" s="6"/>
      <c r="I69" s="6"/>
      <c r="J69" s="6"/>
      <c r="K69" s="6"/>
      <c r="L69" s="7"/>
    </row>
    <row r="70" spans="1:12" x14ac:dyDescent="0.2">
      <c r="A70" s="5"/>
      <c r="B70" s="6"/>
      <c r="C70" s="6"/>
      <c r="D70" s="6"/>
      <c r="E70" s="6"/>
      <c r="F70" s="6"/>
      <c r="G70" s="6"/>
      <c r="H70" s="6"/>
      <c r="I70" s="6"/>
      <c r="J70" s="6"/>
      <c r="K70" s="6"/>
      <c r="L70" s="7"/>
    </row>
    <row r="71" spans="1:12" x14ac:dyDescent="0.2">
      <c r="A71" s="5"/>
      <c r="B71" s="9"/>
      <c r="C71" s="6"/>
      <c r="D71" s="6"/>
      <c r="E71" s="6"/>
      <c r="F71" s="6"/>
      <c r="G71" s="6"/>
      <c r="H71" s="6"/>
      <c r="I71" s="6"/>
      <c r="J71" s="6"/>
      <c r="K71" s="6"/>
      <c r="L71" s="7"/>
    </row>
    <row r="72" spans="1:12" ht="18" x14ac:dyDescent="0.25">
      <c r="A72" s="5"/>
      <c r="B72" s="6"/>
      <c r="C72" s="1343" t="s">
        <v>315</v>
      </c>
      <c r="D72" s="1343"/>
      <c r="E72" s="1343"/>
      <c r="F72" s="1343"/>
      <c r="G72" s="1343"/>
      <c r="H72" s="1343"/>
      <c r="I72" s="1343"/>
      <c r="J72" s="1343"/>
      <c r="K72" s="6"/>
      <c r="L72" s="10"/>
    </row>
    <row r="73" spans="1:12" x14ac:dyDescent="0.2">
      <c r="A73" s="5"/>
      <c r="B73" s="6"/>
      <c r="C73" s="6"/>
      <c r="D73" s="6"/>
      <c r="E73" s="6"/>
      <c r="F73" s="6"/>
      <c r="G73" s="6"/>
      <c r="H73" s="6"/>
      <c r="I73" s="6"/>
      <c r="J73" s="6"/>
      <c r="K73" s="6"/>
      <c r="L73" s="7"/>
    </row>
    <row r="74" spans="1:12" x14ac:dyDescent="0.2">
      <c r="A74" s="5"/>
      <c r="B74" s="6"/>
      <c r="C74" s="6"/>
      <c r="D74" s="6"/>
      <c r="E74" s="6"/>
      <c r="F74" s="6"/>
      <c r="G74" s="6"/>
      <c r="H74" s="6"/>
      <c r="I74" s="6"/>
      <c r="J74" s="6"/>
      <c r="K74" s="6"/>
      <c r="L74" s="7"/>
    </row>
    <row r="75" spans="1:12" x14ac:dyDescent="0.2">
      <c r="A75" s="5"/>
      <c r="B75" s="6"/>
      <c r="C75" s="6"/>
      <c r="D75" s="6"/>
      <c r="E75" s="6"/>
      <c r="F75" s="6"/>
      <c r="G75" s="6"/>
      <c r="H75" s="6"/>
      <c r="I75" s="6"/>
      <c r="J75" s="6"/>
      <c r="K75" s="6"/>
      <c r="L75" s="7"/>
    </row>
    <row r="76" spans="1:12" x14ac:dyDescent="0.2">
      <c r="A76" s="5"/>
      <c r="B76" s="6"/>
      <c r="C76" s="6"/>
      <c r="D76" s="6"/>
      <c r="E76" s="6"/>
      <c r="F76" s="6"/>
      <c r="G76" s="6"/>
      <c r="H76" s="6"/>
      <c r="I76" s="6"/>
      <c r="J76" s="6"/>
      <c r="K76" s="6"/>
      <c r="L76" s="7"/>
    </row>
    <row r="77" spans="1:12" x14ac:dyDescent="0.2">
      <c r="A77" s="5"/>
      <c r="B77" s="6"/>
      <c r="C77" s="6"/>
      <c r="D77" s="6"/>
      <c r="E77" s="6"/>
      <c r="F77" s="6"/>
      <c r="G77" s="6"/>
      <c r="H77" s="6"/>
      <c r="I77" s="6"/>
      <c r="J77" s="6"/>
      <c r="K77" s="6"/>
      <c r="L77" s="7"/>
    </row>
    <row r="78" spans="1:12" x14ac:dyDescent="0.2">
      <c r="A78" s="5"/>
      <c r="B78" s="6"/>
      <c r="C78" s="6"/>
      <c r="D78" s="6"/>
      <c r="E78" s="6"/>
      <c r="F78" s="6"/>
      <c r="G78" s="6"/>
      <c r="H78" s="6"/>
      <c r="I78" s="6"/>
      <c r="J78" s="6"/>
      <c r="K78" s="6"/>
      <c r="L78" s="7"/>
    </row>
    <row r="79" spans="1:12" x14ac:dyDescent="0.2">
      <c r="A79" s="5"/>
      <c r="B79" s="6"/>
      <c r="C79" s="6"/>
      <c r="D79" s="6"/>
      <c r="E79" s="6"/>
      <c r="F79" s="6"/>
      <c r="G79" s="6"/>
      <c r="H79" s="6"/>
      <c r="I79" s="6"/>
      <c r="J79" s="6"/>
      <c r="K79" s="6"/>
      <c r="L79" s="7"/>
    </row>
    <row r="80" spans="1:12" x14ac:dyDescent="0.2">
      <c r="A80" s="5"/>
      <c r="B80" s="6"/>
      <c r="C80" s="6"/>
      <c r="D80" s="6"/>
      <c r="E80" s="6"/>
      <c r="F80" s="6"/>
      <c r="G80" s="1344" t="s">
        <v>0</v>
      </c>
      <c r="H80" s="1345"/>
      <c r="I80" s="1345"/>
      <c r="J80" s="1345"/>
      <c r="K80" s="1345"/>
      <c r="L80" s="7"/>
    </row>
    <row r="81" spans="1:12" x14ac:dyDescent="0.2">
      <c r="A81" s="5"/>
      <c r="B81" s="6"/>
      <c r="C81" s="6"/>
      <c r="D81" s="6"/>
      <c r="E81" s="6"/>
      <c r="F81" s="6"/>
      <c r="G81" s="1345"/>
      <c r="H81" s="1345"/>
      <c r="I81" s="1345"/>
      <c r="J81" s="1345"/>
      <c r="K81" s="1345"/>
      <c r="L81" s="7"/>
    </row>
    <row r="82" spans="1:12" x14ac:dyDescent="0.2">
      <c r="A82" s="5"/>
      <c r="B82" s="6"/>
      <c r="C82" s="6"/>
      <c r="D82" s="6"/>
      <c r="E82" s="6"/>
      <c r="F82" s="6"/>
      <c r="G82" s="1345"/>
      <c r="H82" s="1345"/>
      <c r="I82" s="1345"/>
      <c r="J82" s="1345"/>
      <c r="K82" s="1345"/>
      <c r="L82" s="7"/>
    </row>
    <row r="83" spans="1:12" x14ac:dyDescent="0.2">
      <c r="A83" s="5"/>
      <c r="B83" s="6"/>
      <c r="C83" s="6"/>
      <c r="D83" s="6"/>
      <c r="E83" s="6"/>
      <c r="F83" s="6"/>
      <c r="G83" s="6"/>
      <c r="H83" s="6"/>
      <c r="I83" s="6"/>
      <c r="J83" s="6"/>
      <c r="K83" s="6"/>
      <c r="L83" s="7"/>
    </row>
    <row r="84" spans="1:12" x14ac:dyDescent="0.2">
      <c r="A84" s="5"/>
      <c r="B84" s="6"/>
      <c r="C84" s="6"/>
      <c r="D84" s="6"/>
      <c r="E84" s="6"/>
      <c r="F84" s="6"/>
      <c r="G84" s="6"/>
      <c r="H84" s="6"/>
      <c r="I84" s="6"/>
      <c r="J84" s="6"/>
      <c r="K84" s="6"/>
      <c r="L84" s="7"/>
    </row>
    <row r="85" spans="1:12" x14ac:dyDescent="0.2">
      <c r="A85" s="5"/>
      <c r="B85" s="6"/>
      <c r="C85" s="6"/>
      <c r="D85" s="6"/>
      <c r="E85" s="6"/>
      <c r="F85" s="6"/>
      <c r="G85" s="6"/>
      <c r="H85" s="6"/>
      <c r="I85" s="6"/>
      <c r="J85" s="6"/>
      <c r="K85" s="6"/>
      <c r="L85" s="7"/>
    </row>
    <row r="86" spans="1:12" x14ac:dyDescent="0.2">
      <c r="A86" s="5"/>
      <c r="B86" s="6"/>
      <c r="C86" s="6"/>
      <c r="D86" s="6"/>
      <c r="E86" s="6"/>
      <c r="F86" s="6"/>
      <c r="G86" s="6"/>
      <c r="H86" s="6"/>
      <c r="I86" s="6"/>
      <c r="J86" s="6"/>
      <c r="K86" s="6"/>
      <c r="L86" s="7"/>
    </row>
    <row r="87" spans="1:12" ht="13.5" thickBot="1" x14ac:dyDescent="0.25">
      <c r="A87" s="11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3"/>
    </row>
  </sheetData>
  <mergeCells count="3">
    <mergeCell ref="B59:K65"/>
    <mergeCell ref="C72:J72"/>
    <mergeCell ref="G80:K82"/>
  </mergeCells>
  <printOptions horizontalCentered="1" verticalCentered="1"/>
  <pageMargins left="0.78740157480314965" right="0.78740157480314965" top="0.78740157480314965" bottom="0.78740157480314965" header="0.31496062992125984" footer="0.31496062992125984"/>
  <pageSetup paperSize="9" scale="6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2"/>
  <sheetViews>
    <sheetView view="pageBreakPreview" topLeftCell="A4" zoomScale="115" zoomScaleNormal="100" zoomScaleSheetLayoutView="115" workbookViewId="0">
      <selection activeCell="A69" sqref="A68:XFD69"/>
    </sheetView>
  </sheetViews>
  <sheetFormatPr baseColWidth="10" defaultRowHeight="12.75" x14ac:dyDescent="0.2"/>
  <cols>
    <col min="1" max="1" width="5.7109375" style="157" customWidth="1"/>
    <col min="2" max="2" width="21.7109375" style="157" customWidth="1"/>
    <col min="3" max="3" width="11.85546875" style="157" customWidth="1"/>
    <col min="4" max="17" width="8.7109375" style="157" customWidth="1"/>
    <col min="18" max="256" width="11.42578125" style="157"/>
    <col min="257" max="257" width="5.7109375" style="157" customWidth="1"/>
    <col min="258" max="258" width="21.7109375" style="157" customWidth="1"/>
    <col min="259" max="259" width="11.85546875" style="157" customWidth="1"/>
    <col min="260" max="273" width="8.7109375" style="157" customWidth="1"/>
    <col min="274" max="512" width="11.42578125" style="157"/>
    <col min="513" max="513" width="5.7109375" style="157" customWidth="1"/>
    <col min="514" max="514" width="21.7109375" style="157" customWidth="1"/>
    <col min="515" max="515" width="11.85546875" style="157" customWidth="1"/>
    <col min="516" max="529" width="8.7109375" style="157" customWidth="1"/>
    <col min="530" max="768" width="11.42578125" style="157"/>
    <col min="769" max="769" width="5.7109375" style="157" customWidth="1"/>
    <col min="770" max="770" width="21.7109375" style="157" customWidth="1"/>
    <col min="771" max="771" width="11.85546875" style="157" customWidth="1"/>
    <col min="772" max="785" width="8.7109375" style="157" customWidth="1"/>
    <col min="786" max="1024" width="11.42578125" style="157"/>
    <col min="1025" max="1025" width="5.7109375" style="157" customWidth="1"/>
    <col min="1026" max="1026" width="21.7109375" style="157" customWidth="1"/>
    <col min="1027" max="1027" width="11.85546875" style="157" customWidth="1"/>
    <col min="1028" max="1041" width="8.7109375" style="157" customWidth="1"/>
    <col min="1042" max="1280" width="11.42578125" style="157"/>
    <col min="1281" max="1281" width="5.7109375" style="157" customWidth="1"/>
    <col min="1282" max="1282" width="21.7109375" style="157" customWidth="1"/>
    <col min="1283" max="1283" width="11.85546875" style="157" customWidth="1"/>
    <col min="1284" max="1297" width="8.7109375" style="157" customWidth="1"/>
    <col min="1298" max="1536" width="11.42578125" style="157"/>
    <col min="1537" max="1537" width="5.7109375" style="157" customWidth="1"/>
    <col min="1538" max="1538" width="21.7109375" style="157" customWidth="1"/>
    <col min="1539" max="1539" width="11.85546875" style="157" customWidth="1"/>
    <col min="1540" max="1553" width="8.7109375" style="157" customWidth="1"/>
    <col min="1554" max="1792" width="11.42578125" style="157"/>
    <col min="1793" max="1793" width="5.7109375" style="157" customWidth="1"/>
    <col min="1794" max="1794" width="21.7109375" style="157" customWidth="1"/>
    <col min="1795" max="1795" width="11.85546875" style="157" customWidth="1"/>
    <col min="1796" max="1809" width="8.7109375" style="157" customWidth="1"/>
    <col min="1810" max="2048" width="11.42578125" style="157"/>
    <col min="2049" max="2049" width="5.7109375" style="157" customWidth="1"/>
    <col min="2050" max="2050" width="21.7109375" style="157" customWidth="1"/>
    <col min="2051" max="2051" width="11.85546875" style="157" customWidth="1"/>
    <col min="2052" max="2065" width="8.7109375" style="157" customWidth="1"/>
    <col min="2066" max="2304" width="11.42578125" style="157"/>
    <col min="2305" max="2305" width="5.7109375" style="157" customWidth="1"/>
    <col min="2306" max="2306" width="21.7109375" style="157" customWidth="1"/>
    <col min="2307" max="2307" width="11.85546875" style="157" customWidth="1"/>
    <col min="2308" max="2321" width="8.7109375" style="157" customWidth="1"/>
    <col min="2322" max="2560" width="11.42578125" style="157"/>
    <col min="2561" max="2561" width="5.7109375" style="157" customWidth="1"/>
    <col min="2562" max="2562" width="21.7109375" style="157" customWidth="1"/>
    <col min="2563" max="2563" width="11.85546875" style="157" customWidth="1"/>
    <col min="2564" max="2577" width="8.7109375" style="157" customWidth="1"/>
    <col min="2578" max="2816" width="11.42578125" style="157"/>
    <col min="2817" max="2817" width="5.7109375" style="157" customWidth="1"/>
    <col min="2818" max="2818" width="21.7109375" style="157" customWidth="1"/>
    <col min="2819" max="2819" width="11.85546875" style="157" customWidth="1"/>
    <col min="2820" max="2833" width="8.7109375" style="157" customWidth="1"/>
    <col min="2834" max="3072" width="11.42578125" style="157"/>
    <col min="3073" max="3073" width="5.7109375" style="157" customWidth="1"/>
    <col min="3074" max="3074" width="21.7109375" style="157" customWidth="1"/>
    <col min="3075" max="3075" width="11.85546875" style="157" customWidth="1"/>
    <col min="3076" max="3089" width="8.7109375" style="157" customWidth="1"/>
    <col min="3090" max="3328" width="11.42578125" style="157"/>
    <col min="3329" max="3329" width="5.7109375" style="157" customWidth="1"/>
    <col min="3330" max="3330" width="21.7109375" style="157" customWidth="1"/>
    <col min="3331" max="3331" width="11.85546875" style="157" customWidth="1"/>
    <col min="3332" max="3345" width="8.7109375" style="157" customWidth="1"/>
    <col min="3346" max="3584" width="11.42578125" style="157"/>
    <col min="3585" max="3585" width="5.7109375" style="157" customWidth="1"/>
    <col min="3586" max="3586" width="21.7109375" style="157" customWidth="1"/>
    <col min="3587" max="3587" width="11.85546875" style="157" customWidth="1"/>
    <col min="3588" max="3601" width="8.7109375" style="157" customWidth="1"/>
    <col min="3602" max="3840" width="11.42578125" style="157"/>
    <col min="3841" max="3841" width="5.7109375" style="157" customWidth="1"/>
    <col min="3842" max="3842" width="21.7109375" style="157" customWidth="1"/>
    <col min="3843" max="3843" width="11.85546875" style="157" customWidth="1"/>
    <col min="3844" max="3857" width="8.7109375" style="157" customWidth="1"/>
    <col min="3858" max="4096" width="11.42578125" style="157"/>
    <col min="4097" max="4097" width="5.7109375" style="157" customWidth="1"/>
    <col min="4098" max="4098" width="21.7109375" style="157" customWidth="1"/>
    <col min="4099" max="4099" width="11.85546875" style="157" customWidth="1"/>
    <col min="4100" max="4113" width="8.7109375" style="157" customWidth="1"/>
    <col min="4114" max="4352" width="11.42578125" style="157"/>
    <col min="4353" max="4353" width="5.7109375" style="157" customWidth="1"/>
    <col min="4354" max="4354" width="21.7109375" style="157" customWidth="1"/>
    <col min="4355" max="4355" width="11.85546875" style="157" customWidth="1"/>
    <col min="4356" max="4369" width="8.7109375" style="157" customWidth="1"/>
    <col min="4370" max="4608" width="11.42578125" style="157"/>
    <col min="4609" max="4609" width="5.7109375" style="157" customWidth="1"/>
    <col min="4610" max="4610" width="21.7109375" style="157" customWidth="1"/>
    <col min="4611" max="4611" width="11.85546875" style="157" customWidth="1"/>
    <col min="4612" max="4625" width="8.7109375" style="157" customWidth="1"/>
    <col min="4626" max="4864" width="11.42578125" style="157"/>
    <col min="4865" max="4865" width="5.7109375" style="157" customWidth="1"/>
    <col min="4866" max="4866" width="21.7109375" style="157" customWidth="1"/>
    <col min="4867" max="4867" width="11.85546875" style="157" customWidth="1"/>
    <col min="4868" max="4881" width="8.7109375" style="157" customWidth="1"/>
    <col min="4882" max="5120" width="11.42578125" style="157"/>
    <col min="5121" max="5121" width="5.7109375" style="157" customWidth="1"/>
    <col min="5122" max="5122" width="21.7109375" style="157" customWidth="1"/>
    <col min="5123" max="5123" width="11.85546875" style="157" customWidth="1"/>
    <col min="5124" max="5137" width="8.7109375" style="157" customWidth="1"/>
    <col min="5138" max="5376" width="11.42578125" style="157"/>
    <col min="5377" max="5377" width="5.7109375" style="157" customWidth="1"/>
    <col min="5378" max="5378" width="21.7109375" style="157" customWidth="1"/>
    <col min="5379" max="5379" width="11.85546875" style="157" customWidth="1"/>
    <col min="5380" max="5393" width="8.7109375" style="157" customWidth="1"/>
    <col min="5394" max="5632" width="11.42578125" style="157"/>
    <col min="5633" max="5633" width="5.7109375" style="157" customWidth="1"/>
    <col min="5634" max="5634" width="21.7109375" style="157" customWidth="1"/>
    <col min="5635" max="5635" width="11.85546875" style="157" customWidth="1"/>
    <col min="5636" max="5649" width="8.7109375" style="157" customWidth="1"/>
    <col min="5650" max="5888" width="11.42578125" style="157"/>
    <col min="5889" max="5889" width="5.7109375" style="157" customWidth="1"/>
    <col min="5890" max="5890" width="21.7109375" style="157" customWidth="1"/>
    <col min="5891" max="5891" width="11.85546875" style="157" customWidth="1"/>
    <col min="5892" max="5905" width="8.7109375" style="157" customWidth="1"/>
    <col min="5906" max="6144" width="11.42578125" style="157"/>
    <col min="6145" max="6145" width="5.7109375" style="157" customWidth="1"/>
    <col min="6146" max="6146" width="21.7109375" style="157" customWidth="1"/>
    <col min="6147" max="6147" width="11.85546875" style="157" customWidth="1"/>
    <col min="6148" max="6161" width="8.7109375" style="157" customWidth="1"/>
    <col min="6162" max="6400" width="11.42578125" style="157"/>
    <col min="6401" max="6401" width="5.7109375" style="157" customWidth="1"/>
    <col min="6402" max="6402" width="21.7109375" style="157" customWidth="1"/>
    <col min="6403" max="6403" width="11.85546875" style="157" customWidth="1"/>
    <col min="6404" max="6417" width="8.7109375" style="157" customWidth="1"/>
    <col min="6418" max="6656" width="11.42578125" style="157"/>
    <col min="6657" max="6657" width="5.7109375" style="157" customWidth="1"/>
    <col min="6658" max="6658" width="21.7109375" style="157" customWidth="1"/>
    <col min="6659" max="6659" width="11.85546875" style="157" customWidth="1"/>
    <col min="6660" max="6673" width="8.7109375" style="157" customWidth="1"/>
    <col min="6674" max="6912" width="11.42578125" style="157"/>
    <col min="6913" max="6913" width="5.7109375" style="157" customWidth="1"/>
    <col min="6914" max="6914" width="21.7109375" style="157" customWidth="1"/>
    <col min="6915" max="6915" width="11.85546875" style="157" customWidth="1"/>
    <col min="6916" max="6929" width="8.7109375" style="157" customWidth="1"/>
    <col min="6930" max="7168" width="11.42578125" style="157"/>
    <col min="7169" max="7169" width="5.7109375" style="157" customWidth="1"/>
    <col min="7170" max="7170" width="21.7109375" style="157" customWidth="1"/>
    <col min="7171" max="7171" width="11.85546875" style="157" customWidth="1"/>
    <col min="7172" max="7185" width="8.7109375" style="157" customWidth="1"/>
    <col min="7186" max="7424" width="11.42578125" style="157"/>
    <col min="7425" max="7425" width="5.7109375" style="157" customWidth="1"/>
    <col min="7426" max="7426" width="21.7109375" style="157" customWidth="1"/>
    <col min="7427" max="7427" width="11.85546875" style="157" customWidth="1"/>
    <col min="7428" max="7441" width="8.7109375" style="157" customWidth="1"/>
    <col min="7442" max="7680" width="11.42578125" style="157"/>
    <col min="7681" max="7681" width="5.7109375" style="157" customWidth="1"/>
    <col min="7682" max="7682" width="21.7109375" style="157" customWidth="1"/>
    <col min="7683" max="7683" width="11.85546875" style="157" customWidth="1"/>
    <col min="7684" max="7697" width="8.7109375" style="157" customWidth="1"/>
    <col min="7698" max="7936" width="11.42578125" style="157"/>
    <col min="7937" max="7937" width="5.7109375" style="157" customWidth="1"/>
    <col min="7938" max="7938" width="21.7109375" style="157" customWidth="1"/>
    <col min="7939" max="7939" width="11.85546875" style="157" customWidth="1"/>
    <col min="7940" max="7953" width="8.7109375" style="157" customWidth="1"/>
    <col min="7954" max="8192" width="11.42578125" style="157"/>
    <col min="8193" max="8193" width="5.7109375" style="157" customWidth="1"/>
    <col min="8194" max="8194" width="21.7109375" style="157" customWidth="1"/>
    <col min="8195" max="8195" width="11.85546875" style="157" customWidth="1"/>
    <col min="8196" max="8209" width="8.7109375" style="157" customWidth="1"/>
    <col min="8210" max="8448" width="11.42578125" style="157"/>
    <col min="8449" max="8449" width="5.7109375" style="157" customWidth="1"/>
    <col min="8450" max="8450" width="21.7109375" style="157" customWidth="1"/>
    <col min="8451" max="8451" width="11.85546875" style="157" customWidth="1"/>
    <col min="8452" max="8465" width="8.7109375" style="157" customWidth="1"/>
    <col min="8466" max="8704" width="11.42578125" style="157"/>
    <col min="8705" max="8705" width="5.7109375" style="157" customWidth="1"/>
    <col min="8706" max="8706" width="21.7109375" style="157" customWidth="1"/>
    <col min="8707" max="8707" width="11.85546875" style="157" customWidth="1"/>
    <col min="8708" max="8721" width="8.7109375" style="157" customWidth="1"/>
    <col min="8722" max="8960" width="11.42578125" style="157"/>
    <col min="8961" max="8961" width="5.7109375" style="157" customWidth="1"/>
    <col min="8962" max="8962" width="21.7109375" style="157" customWidth="1"/>
    <col min="8963" max="8963" width="11.85546875" style="157" customWidth="1"/>
    <col min="8964" max="8977" width="8.7109375" style="157" customWidth="1"/>
    <col min="8978" max="9216" width="11.42578125" style="157"/>
    <col min="9217" max="9217" width="5.7109375" style="157" customWidth="1"/>
    <col min="9218" max="9218" width="21.7109375" style="157" customWidth="1"/>
    <col min="9219" max="9219" width="11.85546875" style="157" customWidth="1"/>
    <col min="9220" max="9233" width="8.7109375" style="157" customWidth="1"/>
    <col min="9234" max="9472" width="11.42578125" style="157"/>
    <col min="9473" max="9473" width="5.7109375" style="157" customWidth="1"/>
    <col min="9474" max="9474" width="21.7109375" style="157" customWidth="1"/>
    <col min="9475" max="9475" width="11.85546875" style="157" customWidth="1"/>
    <col min="9476" max="9489" width="8.7109375" style="157" customWidth="1"/>
    <col min="9490" max="9728" width="11.42578125" style="157"/>
    <col min="9729" max="9729" width="5.7109375" style="157" customWidth="1"/>
    <col min="9730" max="9730" width="21.7109375" style="157" customWidth="1"/>
    <col min="9731" max="9731" width="11.85546875" style="157" customWidth="1"/>
    <col min="9732" max="9745" width="8.7109375" style="157" customWidth="1"/>
    <col min="9746" max="9984" width="11.42578125" style="157"/>
    <col min="9985" max="9985" width="5.7109375" style="157" customWidth="1"/>
    <col min="9986" max="9986" width="21.7109375" style="157" customWidth="1"/>
    <col min="9987" max="9987" width="11.85546875" style="157" customWidth="1"/>
    <col min="9988" max="10001" width="8.7109375" style="157" customWidth="1"/>
    <col min="10002" max="10240" width="11.42578125" style="157"/>
    <col min="10241" max="10241" width="5.7109375" style="157" customWidth="1"/>
    <col min="10242" max="10242" width="21.7109375" style="157" customWidth="1"/>
    <col min="10243" max="10243" width="11.85546875" style="157" customWidth="1"/>
    <col min="10244" max="10257" width="8.7109375" style="157" customWidth="1"/>
    <col min="10258" max="10496" width="11.42578125" style="157"/>
    <col min="10497" max="10497" width="5.7109375" style="157" customWidth="1"/>
    <col min="10498" max="10498" width="21.7109375" style="157" customWidth="1"/>
    <col min="10499" max="10499" width="11.85546875" style="157" customWidth="1"/>
    <col min="10500" max="10513" width="8.7109375" style="157" customWidth="1"/>
    <col min="10514" max="10752" width="11.42578125" style="157"/>
    <col min="10753" max="10753" width="5.7109375" style="157" customWidth="1"/>
    <col min="10754" max="10754" width="21.7109375" style="157" customWidth="1"/>
    <col min="10755" max="10755" width="11.85546875" style="157" customWidth="1"/>
    <col min="10756" max="10769" width="8.7109375" style="157" customWidth="1"/>
    <col min="10770" max="11008" width="11.42578125" style="157"/>
    <col min="11009" max="11009" width="5.7109375" style="157" customWidth="1"/>
    <col min="11010" max="11010" width="21.7109375" style="157" customWidth="1"/>
    <col min="11011" max="11011" width="11.85546875" style="157" customWidth="1"/>
    <col min="11012" max="11025" width="8.7109375" style="157" customWidth="1"/>
    <col min="11026" max="11264" width="11.42578125" style="157"/>
    <col min="11265" max="11265" width="5.7109375" style="157" customWidth="1"/>
    <col min="11266" max="11266" width="21.7109375" style="157" customWidth="1"/>
    <col min="11267" max="11267" width="11.85546875" style="157" customWidth="1"/>
    <col min="11268" max="11281" width="8.7109375" style="157" customWidth="1"/>
    <col min="11282" max="11520" width="11.42578125" style="157"/>
    <col min="11521" max="11521" width="5.7109375" style="157" customWidth="1"/>
    <col min="11522" max="11522" width="21.7109375" style="157" customWidth="1"/>
    <col min="11523" max="11523" width="11.85546875" style="157" customWidth="1"/>
    <col min="11524" max="11537" width="8.7109375" style="157" customWidth="1"/>
    <col min="11538" max="11776" width="11.42578125" style="157"/>
    <col min="11777" max="11777" width="5.7109375" style="157" customWidth="1"/>
    <col min="11778" max="11778" width="21.7109375" style="157" customWidth="1"/>
    <col min="11779" max="11779" width="11.85546875" style="157" customWidth="1"/>
    <col min="11780" max="11793" width="8.7109375" style="157" customWidth="1"/>
    <col min="11794" max="12032" width="11.42578125" style="157"/>
    <col min="12033" max="12033" width="5.7109375" style="157" customWidth="1"/>
    <col min="12034" max="12034" width="21.7109375" style="157" customWidth="1"/>
    <col min="12035" max="12035" width="11.85546875" style="157" customWidth="1"/>
    <col min="12036" max="12049" width="8.7109375" style="157" customWidth="1"/>
    <col min="12050" max="12288" width="11.42578125" style="157"/>
    <col min="12289" max="12289" width="5.7109375" style="157" customWidth="1"/>
    <col min="12290" max="12290" width="21.7109375" style="157" customWidth="1"/>
    <col min="12291" max="12291" width="11.85546875" style="157" customWidth="1"/>
    <col min="12292" max="12305" width="8.7109375" style="157" customWidth="1"/>
    <col min="12306" max="12544" width="11.42578125" style="157"/>
    <col min="12545" max="12545" width="5.7109375" style="157" customWidth="1"/>
    <col min="12546" max="12546" width="21.7109375" style="157" customWidth="1"/>
    <col min="12547" max="12547" width="11.85546875" style="157" customWidth="1"/>
    <col min="12548" max="12561" width="8.7109375" style="157" customWidth="1"/>
    <col min="12562" max="12800" width="11.42578125" style="157"/>
    <col min="12801" max="12801" width="5.7109375" style="157" customWidth="1"/>
    <col min="12802" max="12802" width="21.7109375" style="157" customWidth="1"/>
    <col min="12803" max="12803" width="11.85546875" style="157" customWidth="1"/>
    <col min="12804" max="12817" width="8.7109375" style="157" customWidth="1"/>
    <col min="12818" max="13056" width="11.42578125" style="157"/>
    <col min="13057" max="13057" width="5.7109375" style="157" customWidth="1"/>
    <col min="13058" max="13058" width="21.7109375" style="157" customWidth="1"/>
    <col min="13059" max="13059" width="11.85546875" style="157" customWidth="1"/>
    <col min="13060" max="13073" width="8.7109375" style="157" customWidth="1"/>
    <col min="13074" max="13312" width="11.42578125" style="157"/>
    <col min="13313" max="13313" width="5.7109375" style="157" customWidth="1"/>
    <col min="13314" max="13314" width="21.7109375" style="157" customWidth="1"/>
    <col min="13315" max="13315" width="11.85546875" style="157" customWidth="1"/>
    <col min="13316" max="13329" width="8.7109375" style="157" customWidth="1"/>
    <col min="13330" max="13568" width="11.42578125" style="157"/>
    <col min="13569" max="13569" width="5.7109375" style="157" customWidth="1"/>
    <col min="13570" max="13570" width="21.7109375" style="157" customWidth="1"/>
    <col min="13571" max="13571" width="11.85546875" style="157" customWidth="1"/>
    <col min="13572" max="13585" width="8.7109375" style="157" customWidth="1"/>
    <col min="13586" max="13824" width="11.42578125" style="157"/>
    <col min="13825" max="13825" width="5.7109375" style="157" customWidth="1"/>
    <col min="13826" max="13826" width="21.7109375" style="157" customWidth="1"/>
    <col min="13827" max="13827" width="11.85546875" style="157" customWidth="1"/>
    <col min="13828" max="13841" width="8.7109375" style="157" customWidth="1"/>
    <col min="13842" max="14080" width="11.42578125" style="157"/>
    <col min="14081" max="14081" width="5.7109375" style="157" customWidth="1"/>
    <col min="14082" max="14082" width="21.7109375" style="157" customWidth="1"/>
    <col min="14083" max="14083" width="11.85546875" style="157" customWidth="1"/>
    <col min="14084" max="14097" width="8.7109375" style="157" customWidth="1"/>
    <col min="14098" max="14336" width="11.42578125" style="157"/>
    <col min="14337" max="14337" width="5.7109375" style="157" customWidth="1"/>
    <col min="14338" max="14338" width="21.7109375" style="157" customWidth="1"/>
    <col min="14339" max="14339" width="11.85546875" style="157" customWidth="1"/>
    <col min="14340" max="14353" width="8.7109375" style="157" customWidth="1"/>
    <col min="14354" max="14592" width="11.42578125" style="157"/>
    <col min="14593" max="14593" width="5.7109375" style="157" customWidth="1"/>
    <col min="14594" max="14594" width="21.7109375" style="157" customWidth="1"/>
    <col min="14595" max="14595" width="11.85546875" style="157" customWidth="1"/>
    <col min="14596" max="14609" width="8.7109375" style="157" customWidth="1"/>
    <col min="14610" max="14848" width="11.42578125" style="157"/>
    <col min="14849" max="14849" width="5.7109375" style="157" customWidth="1"/>
    <col min="14850" max="14850" width="21.7109375" style="157" customWidth="1"/>
    <col min="14851" max="14851" width="11.85546875" style="157" customWidth="1"/>
    <col min="14852" max="14865" width="8.7109375" style="157" customWidth="1"/>
    <col min="14866" max="15104" width="11.42578125" style="157"/>
    <col min="15105" max="15105" width="5.7109375" style="157" customWidth="1"/>
    <col min="15106" max="15106" width="21.7109375" style="157" customWidth="1"/>
    <col min="15107" max="15107" width="11.85546875" style="157" customWidth="1"/>
    <col min="15108" max="15121" width="8.7109375" style="157" customWidth="1"/>
    <col min="15122" max="15360" width="11.42578125" style="157"/>
    <col min="15361" max="15361" width="5.7109375" style="157" customWidth="1"/>
    <col min="15362" max="15362" width="21.7109375" style="157" customWidth="1"/>
    <col min="15363" max="15363" width="11.85546875" style="157" customWidth="1"/>
    <col min="15364" max="15377" width="8.7109375" style="157" customWidth="1"/>
    <col min="15378" max="15616" width="11.42578125" style="157"/>
    <col min="15617" max="15617" width="5.7109375" style="157" customWidth="1"/>
    <col min="15618" max="15618" width="21.7109375" style="157" customWidth="1"/>
    <col min="15619" max="15619" width="11.85546875" style="157" customWidth="1"/>
    <col min="15620" max="15633" width="8.7109375" style="157" customWidth="1"/>
    <col min="15634" max="15872" width="11.42578125" style="157"/>
    <col min="15873" max="15873" width="5.7109375" style="157" customWidth="1"/>
    <col min="15874" max="15874" width="21.7109375" style="157" customWidth="1"/>
    <col min="15875" max="15875" width="11.85546875" style="157" customWidth="1"/>
    <col min="15876" max="15889" width="8.7109375" style="157" customWidth="1"/>
    <col min="15890" max="16128" width="11.42578125" style="157"/>
    <col min="16129" max="16129" width="5.7109375" style="157" customWidth="1"/>
    <col min="16130" max="16130" width="21.7109375" style="157" customWidth="1"/>
    <col min="16131" max="16131" width="11.85546875" style="157" customWidth="1"/>
    <col min="16132" max="16145" width="8.7109375" style="157" customWidth="1"/>
    <col min="16146" max="16384" width="11.42578125" style="157"/>
  </cols>
  <sheetData>
    <row r="1" spans="1:29" ht="20.25" x14ac:dyDescent="0.3">
      <c r="B1" s="1372"/>
      <c r="C1" s="1372"/>
      <c r="D1" s="1372"/>
      <c r="E1" s="1372"/>
      <c r="F1" s="1372"/>
      <c r="G1" s="1372"/>
      <c r="H1" s="1372"/>
      <c r="I1" s="1372"/>
      <c r="J1" s="1372"/>
      <c r="K1" s="1372"/>
      <c r="L1" s="1372"/>
      <c r="M1" s="1372"/>
      <c r="N1" s="1372"/>
      <c r="O1" s="1372"/>
      <c r="P1" s="1372"/>
      <c r="Q1" s="1372"/>
    </row>
    <row r="2" spans="1:29" ht="20.25" x14ac:dyDescent="0.3">
      <c r="A2" s="158"/>
    </row>
    <row r="3" spans="1:29" ht="15" x14ac:dyDescent="0.25">
      <c r="C3" s="160"/>
      <c r="D3" s="160"/>
      <c r="E3" s="160"/>
      <c r="F3" s="160"/>
      <c r="G3" s="160"/>
      <c r="H3" s="160"/>
      <c r="I3" s="160"/>
      <c r="J3" s="160"/>
      <c r="K3" s="160"/>
      <c r="L3" s="265"/>
      <c r="M3" s="161"/>
      <c r="N3" s="161"/>
      <c r="O3" s="161"/>
      <c r="P3" s="161"/>
      <c r="Q3" s="161"/>
    </row>
    <row r="4" spans="1:29" ht="18" x14ac:dyDescent="0.25">
      <c r="B4" s="159" t="s">
        <v>212</v>
      </c>
      <c r="C4" s="266"/>
      <c r="D4" s="266"/>
      <c r="E4" s="266"/>
      <c r="F4" s="266"/>
      <c r="G4" s="266"/>
      <c r="H4" s="266"/>
      <c r="X4"/>
      <c r="Y4"/>
      <c r="Z4"/>
      <c r="AA4"/>
      <c r="AB4"/>
      <c r="AC4"/>
    </row>
    <row r="5" spans="1:29" ht="15.75" thickBot="1" x14ac:dyDescent="0.3">
      <c r="X5"/>
      <c r="Y5"/>
      <c r="Z5"/>
      <c r="AA5"/>
      <c r="AB5"/>
      <c r="AC5"/>
    </row>
    <row r="6" spans="1:29" ht="15.75" customHeight="1" x14ac:dyDescent="0.25">
      <c r="B6" s="267"/>
      <c r="C6" s="268"/>
      <c r="D6" s="269" t="s">
        <v>151</v>
      </c>
      <c r="E6" s="269"/>
      <c r="F6" s="269"/>
      <c r="G6" s="466"/>
      <c r="H6" s="467" t="s">
        <v>180</v>
      </c>
      <c r="I6" s="270"/>
      <c r="J6" s="270"/>
      <c r="K6" s="270"/>
      <c r="L6" s="273"/>
      <c r="M6" s="467" t="s">
        <v>181</v>
      </c>
      <c r="N6" s="272"/>
      <c r="O6" s="272"/>
      <c r="P6" s="272"/>
      <c r="Q6" s="273"/>
      <c r="T6" s="157" t="s">
        <v>151</v>
      </c>
      <c r="U6" s="190" t="s">
        <v>193</v>
      </c>
      <c r="V6" s="190" t="s">
        <v>196</v>
      </c>
      <c r="X6"/>
      <c r="Y6"/>
      <c r="Z6"/>
      <c r="AA6"/>
      <c r="AB6"/>
      <c r="AC6"/>
    </row>
    <row r="7" spans="1:29" ht="15.75" thickBot="1" x14ac:dyDescent="0.3">
      <c r="B7" s="274" t="s">
        <v>132</v>
      </c>
      <c r="C7" s="275" t="s">
        <v>151</v>
      </c>
      <c r="D7" s="321" t="s">
        <v>193</v>
      </c>
      <c r="E7" s="277" t="s">
        <v>194</v>
      </c>
      <c r="F7" s="321" t="s">
        <v>195</v>
      </c>
      <c r="G7" s="279" t="s">
        <v>196</v>
      </c>
      <c r="H7" s="468" t="s">
        <v>151</v>
      </c>
      <c r="I7" s="277" t="s">
        <v>193</v>
      </c>
      <c r="J7" s="321" t="s">
        <v>194</v>
      </c>
      <c r="K7" s="321" t="s">
        <v>195</v>
      </c>
      <c r="L7" s="280" t="s">
        <v>196</v>
      </c>
      <c r="M7" s="468" t="s">
        <v>151</v>
      </c>
      <c r="N7" s="279" t="s">
        <v>193</v>
      </c>
      <c r="O7" s="279" t="s">
        <v>194</v>
      </c>
      <c r="P7" s="279" t="s">
        <v>195</v>
      </c>
      <c r="Q7" s="280" t="s">
        <v>196</v>
      </c>
      <c r="S7" s="157">
        <v>1995</v>
      </c>
      <c r="T7" s="203">
        <f t="shared" ref="T7:U25" si="0">C9</f>
        <v>4075.4080000000004</v>
      </c>
      <c r="U7" s="203">
        <f t="shared" si="0"/>
        <v>0</v>
      </c>
      <c r="V7" s="203">
        <f t="shared" ref="V7:V25" si="1">G9</f>
        <v>604.202</v>
      </c>
      <c r="X7"/>
      <c r="Y7"/>
      <c r="Z7"/>
      <c r="AA7"/>
      <c r="AB7"/>
      <c r="AC7"/>
    </row>
    <row r="8" spans="1:29" ht="15" x14ac:dyDescent="0.25">
      <c r="B8" s="281"/>
      <c r="C8" s="282"/>
      <c r="D8" s="283"/>
      <c r="E8" s="290"/>
      <c r="F8" s="286"/>
      <c r="G8" s="284"/>
      <c r="H8" s="469"/>
      <c r="I8" s="290"/>
      <c r="J8" s="283"/>
      <c r="K8" s="286"/>
      <c r="L8" s="428"/>
      <c r="M8" s="470"/>
      <c r="N8" s="287"/>
      <c r="O8" s="287"/>
      <c r="P8" s="287"/>
      <c r="Q8" s="288"/>
      <c r="S8" s="157">
        <v>1996</v>
      </c>
      <c r="T8" s="203">
        <f t="shared" si="0"/>
        <v>4003.201</v>
      </c>
      <c r="U8" s="203">
        <f t="shared" si="0"/>
        <v>0</v>
      </c>
      <c r="V8" s="203">
        <f t="shared" si="1"/>
        <v>503.81400000000002</v>
      </c>
      <c r="X8"/>
      <c r="Y8"/>
      <c r="Z8"/>
      <c r="AA8"/>
      <c r="AB8"/>
      <c r="AC8"/>
    </row>
    <row r="9" spans="1:29" ht="15" x14ac:dyDescent="0.25">
      <c r="B9" s="299">
        <v>1995</v>
      </c>
      <c r="C9" s="1595">
        <f t="shared" ref="C9:C27" si="2">SUM(D9:G9)</f>
        <v>4075.4080000000004</v>
      </c>
      <c r="D9" s="1596"/>
      <c r="E9" s="1597">
        <f t="shared" ref="E9:G24" si="3">SUM(J9,O9)</f>
        <v>2838.1959999999999</v>
      </c>
      <c r="F9" s="1598">
        <f t="shared" si="3"/>
        <v>633.01</v>
      </c>
      <c r="G9" s="1599">
        <f t="shared" si="3"/>
        <v>604.202</v>
      </c>
      <c r="H9" s="1600">
        <f t="shared" ref="H9:H27" si="4">SUM(I9:L9)</f>
        <v>3195.3919999999998</v>
      </c>
      <c r="I9" s="1597"/>
      <c r="J9" s="1596">
        <f>+[3]Desagregado!D9</f>
        <v>2458.1259999999997</v>
      </c>
      <c r="K9" s="1597">
        <f>+[3]Desagregado!I9</f>
        <v>402.99</v>
      </c>
      <c r="L9" s="1601">
        <f>+[3]Desagregado!L9</f>
        <v>334.27599999999995</v>
      </c>
      <c r="M9" s="1600">
        <f t="shared" ref="M9:M24" si="5">SUM(N9:Q9)</f>
        <v>880.01600000000008</v>
      </c>
      <c r="N9" s="1599"/>
      <c r="O9" s="1599">
        <f>+[3]Desagregado!D53</f>
        <v>380.07</v>
      </c>
      <c r="P9" s="1599">
        <f>+[3]Desagregado!G53</f>
        <v>230.02</v>
      </c>
      <c r="Q9" s="1602">
        <f>+[3]Desagregado!J53</f>
        <v>269.92599999999999</v>
      </c>
      <c r="S9" s="157">
        <v>1997</v>
      </c>
      <c r="T9" s="203">
        <f t="shared" si="0"/>
        <v>4581.0189999999993</v>
      </c>
      <c r="U9" s="203">
        <f t="shared" si="0"/>
        <v>0</v>
      </c>
      <c r="V9" s="203">
        <f t="shared" si="1"/>
        <v>876.02099999999996</v>
      </c>
      <c r="X9"/>
      <c r="Y9"/>
      <c r="Z9"/>
      <c r="AA9"/>
      <c r="AB9"/>
      <c r="AC9"/>
    </row>
    <row r="10" spans="1:29" ht="15" x14ac:dyDescent="0.25">
      <c r="B10" s="289">
        <v>1996</v>
      </c>
      <c r="C10" s="443">
        <f t="shared" si="2"/>
        <v>4003.201</v>
      </c>
      <c r="D10" s="444"/>
      <c r="E10" s="442">
        <f t="shared" si="3"/>
        <v>2532.5950000000003</v>
      </c>
      <c r="F10" s="444">
        <f t="shared" si="3"/>
        <v>966.79199999999992</v>
      </c>
      <c r="G10" s="446">
        <f t="shared" si="3"/>
        <v>503.81400000000002</v>
      </c>
      <c r="H10" s="471">
        <f t="shared" si="4"/>
        <v>2879.5010000000002</v>
      </c>
      <c r="I10" s="442"/>
      <c r="J10" s="444">
        <f>+[3]Desagregado!D10</f>
        <v>2212.6770000000001</v>
      </c>
      <c r="K10" s="442">
        <f>+[3]Desagregado!I10</f>
        <v>405.86799999999994</v>
      </c>
      <c r="L10" s="472">
        <f>+[3]Desagregado!L10</f>
        <v>260.95600000000002</v>
      </c>
      <c r="M10" s="471">
        <f t="shared" si="5"/>
        <v>1123.7</v>
      </c>
      <c r="N10" s="446"/>
      <c r="O10" s="446">
        <f>+[3]Desagregado!D54</f>
        <v>319.91800000000001</v>
      </c>
      <c r="P10" s="446">
        <f>+[3]Desagregado!G54</f>
        <v>560.92399999999998</v>
      </c>
      <c r="Q10" s="447">
        <f>+[3]Desagregado!J54</f>
        <v>242.858</v>
      </c>
      <c r="S10" s="157">
        <v>1998</v>
      </c>
      <c r="T10" s="203">
        <f t="shared" si="0"/>
        <v>4781.6309999999994</v>
      </c>
      <c r="U10" s="203">
        <f t="shared" si="0"/>
        <v>0</v>
      </c>
      <c r="V10" s="203">
        <f t="shared" si="1"/>
        <v>948.79199999999992</v>
      </c>
      <c r="X10"/>
      <c r="Y10"/>
      <c r="Z10"/>
      <c r="AA10"/>
      <c r="AB10"/>
      <c r="AC10"/>
    </row>
    <row r="11" spans="1:29" ht="15" x14ac:dyDescent="0.25">
      <c r="B11" s="299">
        <v>1997</v>
      </c>
      <c r="C11" s="1595">
        <f t="shared" si="2"/>
        <v>4581.0189999999993</v>
      </c>
      <c r="D11" s="1596"/>
      <c r="E11" s="1597">
        <f t="shared" si="3"/>
        <v>3011.0179999999996</v>
      </c>
      <c r="F11" s="1596">
        <f t="shared" si="3"/>
        <v>693.98</v>
      </c>
      <c r="G11" s="1599">
        <f t="shared" si="3"/>
        <v>876.02099999999996</v>
      </c>
      <c r="H11" s="1600">
        <f t="shared" si="4"/>
        <v>3826.8329999999996</v>
      </c>
      <c r="I11" s="1597"/>
      <c r="J11" s="1596">
        <f>+[3]Desagregado!D11</f>
        <v>2888.4399999999996</v>
      </c>
      <c r="K11" s="1596">
        <f>+[3]Desagregado!I11</f>
        <v>629.43000000000006</v>
      </c>
      <c r="L11" s="1603">
        <f>+[3]Desagregado!L11</f>
        <v>308.96299999999997</v>
      </c>
      <c r="M11" s="1600">
        <f t="shared" si="5"/>
        <v>754.18599999999992</v>
      </c>
      <c r="N11" s="1599"/>
      <c r="O11" s="1599">
        <f>+[3]Desagregado!D55</f>
        <v>122.578</v>
      </c>
      <c r="P11" s="1599">
        <f>+[3]Desagregado!G55</f>
        <v>64.55</v>
      </c>
      <c r="Q11" s="1602">
        <f>+[3]Desagregado!J55</f>
        <v>567.05799999999999</v>
      </c>
      <c r="S11" s="157">
        <v>1999</v>
      </c>
      <c r="T11" s="203">
        <f t="shared" si="0"/>
        <v>5116.1560000000009</v>
      </c>
      <c r="U11" s="203">
        <f t="shared" si="0"/>
        <v>0</v>
      </c>
      <c r="V11" s="203">
        <f t="shared" si="1"/>
        <v>985.02800000000002</v>
      </c>
      <c r="X11"/>
      <c r="Y11"/>
      <c r="Z11"/>
      <c r="AA11"/>
      <c r="AB11"/>
      <c r="AC11"/>
    </row>
    <row r="12" spans="1:29" ht="15" x14ac:dyDescent="0.25">
      <c r="B12" s="289">
        <v>1998</v>
      </c>
      <c r="C12" s="443">
        <f t="shared" si="2"/>
        <v>4781.6309999999994</v>
      </c>
      <c r="D12" s="444"/>
      <c r="E12" s="442">
        <f t="shared" si="3"/>
        <v>3190.4989999999998</v>
      </c>
      <c r="F12" s="444">
        <f t="shared" si="3"/>
        <v>642.34</v>
      </c>
      <c r="G12" s="446">
        <f t="shared" si="3"/>
        <v>948.79199999999992</v>
      </c>
      <c r="H12" s="471">
        <f t="shared" si="4"/>
        <v>4020.8009999999995</v>
      </c>
      <c r="I12" s="442"/>
      <c r="J12" s="444">
        <f>+[3]Desagregado!D12</f>
        <v>3090.3449999999998</v>
      </c>
      <c r="K12" s="448">
        <f>+[3]Desagregado!I12</f>
        <v>596.01</v>
      </c>
      <c r="L12" s="473">
        <f>+[3]Desagregado!L12</f>
        <v>334.44599999999997</v>
      </c>
      <c r="M12" s="471">
        <f t="shared" si="5"/>
        <v>760.82999999999993</v>
      </c>
      <c r="N12" s="446"/>
      <c r="O12" s="446">
        <f>+[3]Desagregado!D56</f>
        <v>100.154</v>
      </c>
      <c r="P12" s="446">
        <f>+[3]Desagregado!G56</f>
        <v>46.33</v>
      </c>
      <c r="Q12" s="447">
        <f>+[3]Desagregado!J56</f>
        <v>614.346</v>
      </c>
      <c r="S12" s="157">
        <v>2000</v>
      </c>
      <c r="T12" s="203">
        <f t="shared" si="0"/>
        <v>5554.8460000000005</v>
      </c>
      <c r="U12" s="203">
        <f t="shared" si="0"/>
        <v>0</v>
      </c>
      <c r="V12" s="203">
        <f t="shared" si="1"/>
        <v>963.58000000000015</v>
      </c>
      <c r="X12"/>
      <c r="Y12"/>
      <c r="Z12"/>
      <c r="AA12"/>
      <c r="AB12"/>
      <c r="AC12"/>
    </row>
    <row r="13" spans="1:29" ht="15" x14ac:dyDescent="0.25">
      <c r="B13" s="299">
        <v>1999</v>
      </c>
      <c r="C13" s="1595">
        <f t="shared" si="2"/>
        <v>5116.1560000000009</v>
      </c>
      <c r="D13" s="1596"/>
      <c r="E13" s="1597">
        <f t="shared" si="3"/>
        <v>3375.4040000000005</v>
      </c>
      <c r="F13" s="1596">
        <f t="shared" si="3"/>
        <v>755.72400000000005</v>
      </c>
      <c r="G13" s="1599">
        <f t="shared" si="3"/>
        <v>985.02800000000002</v>
      </c>
      <c r="H13" s="1600">
        <f t="shared" si="4"/>
        <v>4317.9290000000001</v>
      </c>
      <c r="I13" s="1597"/>
      <c r="J13" s="1596">
        <f>+[3]Desagregado!D13</f>
        <v>3317.0060000000003</v>
      </c>
      <c r="K13" s="1598">
        <f>+[3]Desagregado!I13</f>
        <v>712.75800000000004</v>
      </c>
      <c r="L13" s="1603">
        <f>+[3]Desagregado!L13</f>
        <v>288.16500000000002</v>
      </c>
      <c r="M13" s="1600">
        <f t="shared" si="5"/>
        <v>798.22700000000009</v>
      </c>
      <c r="N13" s="1599"/>
      <c r="O13" s="1599">
        <f>+[3]Desagregado!D57</f>
        <v>58.398000000000003</v>
      </c>
      <c r="P13" s="1599">
        <f>+[3]Desagregado!G57</f>
        <v>42.965999999999994</v>
      </c>
      <c r="Q13" s="1602">
        <f>+[3]Desagregado!J57</f>
        <v>696.86300000000006</v>
      </c>
      <c r="S13" s="157">
        <v>2001</v>
      </c>
      <c r="T13" s="203">
        <f t="shared" si="0"/>
        <v>5387.1769999999997</v>
      </c>
      <c r="U13" s="203">
        <f t="shared" si="0"/>
        <v>4519.9249999999993</v>
      </c>
      <c r="V13" s="203">
        <f t="shared" si="1"/>
        <v>867.25200000000007</v>
      </c>
      <c r="X13"/>
      <c r="Y13"/>
      <c r="Z13"/>
      <c r="AA13"/>
      <c r="AB13"/>
      <c r="AC13"/>
    </row>
    <row r="14" spans="1:29" ht="15" x14ac:dyDescent="0.25">
      <c r="B14" s="289">
        <v>2000</v>
      </c>
      <c r="C14" s="443">
        <f t="shared" si="2"/>
        <v>5554.8460000000005</v>
      </c>
      <c r="D14" s="444"/>
      <c r="E14" s="442">
        <f t="shared" si="3"/>
        <v>3635.5080000000007</v>
      </c>
      <c r="F14" s="444">
        <f t="shared" si="3"/>
        <v>955.75800000000004</v>
      </c>
      <c r="G14" s="446">
        <f t="shared" si="3"/>
        <v>963.58000000000015</v>
      </c>
      <c r="H14" s="471">
        <f t="shared" si="4"/>
        <v>4775.9350000000004</v>
      </c>
      <c r="I14" s="442"/>
      <c r="J14" s="444">
        <f>+[3]Desagregado!D14</f>
        <v>3595.0750000000007</v>
      </c>
      <c r="K14" s="448">
        <f>+[3]Desagregado!I14</f>
        <v>906.31200000000001</v>
      </c>
      <c r="L14" s="473">
        <f>+[3]Desagregado!L14</f>
        <v>274.54799999999994</v>
      </c>
      <c r="M14" s="471">
        <f t="shared" si="5"/>
        <v>778.91100000000017</v>
      </c>
      <c r="N14" s="446"/>
      <c r="O14" s="446">
        <f>+[3]Desagregado!D58</f>
        <v>40.433</v>
      </c>
      <c r="P14" s="446">
        <f>+[3]Desagregado!G58</f>
        <v>49.445999999999998</v>
      </c>
      <c r="Q14" s="447">
        <f>+[3]Desagregado!J58</f>
        <v>689.03200000000015</v>
      </c>
      <c r="S14" s="216">
        <v>2002</v>
      </c>
      <c r="T14" s="203">
        <f t="shared" si="0"/>
        <v>5395.6689999999999</v>
      </c>
      <c r="U14" s="203">
        <f t="shared" si="0"/>
        <v>4572.4929999999995</v>
      </c>
      <c r="V14" s="203">
        <f t="shared" si="1"/>
        <v>823.17600000000061</v>
      </c>
      <c r="X14"/>
      <c r="Y14"/>
      <c r="Z14"/>
      <c r="AA14"/>
      <c r="AB14"/>
      <c r="AC14"/>
    </row>
    <row r="15" spans="1:29" ht="15" x14ac:dyDescent="0.25">
      <c r="B15" s="330" t="s">
        <v>211</v>
      </c>
      <c r="C15" s="1595">
        <f t="shared" si="2"/>
        <v>5387.1769999999997</v>
      </c>
      <c r="D15" s="1596">
        <f t="shared" ref="D15:D27" si="6">SUM(I15,N15)</f>
        <v>4519.9249999999993</v>
      </c>
      <c r="E15" s="1597"/>
      <c r="F15" s="1596"/>
      <c r="G15" s="1599">
        <f t="shared" si="3"/>
        <v>867.25200000000007</v>
      </c>
      <c r="H15" s="1600">
        <f t="shared" si="4"/>
        <v>4642.0639999999994</v>
      </c>
      <c r="I15" s="1597">
        <f>+[3]Desagregado!D17</f>
        <v>4418.8459999999995</v>
      </c>
      <c r="J15" s="1596"/>
      <c r="K15" s="1596"/>
      <c r="L15" s="1603">
        <f>+[3]Desagregado!L17</f>
        <v>223.21799999999993</v>
      </c>
      <c r="M15" s="1600">
        <f t="shared" si="5"/>
        <v>745.11300000000006</v>
      </c>
      <c r="N15" s="1597">
        <f>+[3]Desagregado!D61</f>
        <v>101.07900000000001</v>
      </c>
      <c r="O15" s="1599"/>
      <c r="P15" s="1599"/>
      <c r="Q15" s="1602">
        <f>+[3]Desagregado!J61</f>
        <v>644.03400000000011</v>
      </c>
      <c r="S15" s="157">
        <v>2003</v>
      </c>
      <c r="T15" s="203">
        <f t="shared" si="0"/>
        <v>5421.8070000000016</v>
      </c>
      <c r="U15" s="203">
        <f t="shared" si="0"/>
        <v>4597.9300000000012</v>
      </c>
      <c r="V15" s="203">
        <f t="shared" si="1"/>
        <v>823.87700000000029</v>
      </c>
      <c r="X15"/>
      <c r="Y15"/>
      <c r="Z15"/>
      <c r="AA15"/>
      <c r="AB15"/>
      <c r="AC15"/>
    </row>
    <row r="16" spans="1:29" ht="15" x14ac:dyDescent="0.25">
      <c r="B16" s="289">
        <v>2002</v>
      </c>
      <c r="C16" s="443">
        <f t="shared" si="2"/>
        <v>5395.6689999999999</v>
      </c>
      <c r="D16" s="444">
        <f t="shared" si="6"/>
        <v>4572.4929999999995</v>
      </c>
      <c r="E16" s="442"/>
      <c r="F16" s="444"/>
      <c r="G16" s="446">
        <f t="shared" si="3"/>
        <v>823.17600000000061</v>
      </c>
      <c r="H16" s="471">
        <f t="shared" si="4"/>
        <v>4657.8269999999993</v>
      </c>
      <c r="I16" s="442">
        <f>+[3]Desagregado!D18</f>
        <v>4491.7919999999995</v>
      </c>
      <c r="J16" s="444"/>
      <c r="K16" s="444"/>
      <c r="L16" s="473">
        <f>+[3]Desagregado!L18</f>
        <v>166.035</v>
      </c>
      <c r="M16" s="471">
        <f t="shared" si="5"/>
        <v>737.84200000000067</v>
      </c>
      <c r="N16" s="442">
        <f>+[3]Desagregado!D62</f>
        <v>80.701000000000008</v>
      </c>
      <c r="O16" s="446"/>
      <c r="P16" s="446"/>
      <c r="Q16" s="447">
        <f>+[3]Desagregado!J62</f>
        <v>657.14100000000064</v>
      </c>
      <c r="S16" s="157">
        <v>2004</v>
      </c>
      <c r="T16" s="203">
        <f t="shared" si="0"/>
        <v>5417.9590700000017</v>
      </c>
      <c r="U16" s="203">
        <f t="shared" si="0"/>
        <v>4607.7060700000011</v>
      </c>
      <c r="V16" s="203">
        <f t="shared" si="1"/>
        <v>810.25300000000038</v>
      </c>
      <c r="X16"/>
      <c r="Y16"/>
      <c r="Z16"/>
      <c r="AA16"/>
      <c r="AB16"/>
      <c r="AC16"/>
    </row>
    <row r="17" spans="2:29" ht="15" x14ac:dyDescent="0.25">
      <c r="B17" s="299">
        <v>2003</v>
      </c>
      <c r="C17" s="1595">
        <f t="shared" si="2"/>
        <v>5421.8070000000016</v>
      </c>
      <c r="D17" s="1596">
        <f t="shared" si="6"/>
        <v>4597.9300000000012</v>
      </c>
      <c r="E17" s="1597"/>
      <c r="F17" s="1596"/>
      <c r="G17" s="1599">
        <f t="shared" si="3"/>
        <v>823.87700000000029</v>
      </c>
      <c r="H17" s="1600">
        <f t="shared" si="4"/>
        <v>4686.3940000000011</v>
      </c>
      <c r="I17" s="1597">
        <f>+[3]Desagregado!D19</f>
        <v>4517.7180000000008</v>
      </c>
      <c r="J17" s="1596"/>
      <c r="K17" s="1596"/>
      <c r="L17" s="1603">
        <f>+[3]Desagregado!L19</f>
        <v>168.67599999999996</v>
      </c>
      <c r="M17" s="1600">
        <f t="shared" si="5"/>
        <v>735.41300000000035</v>
      </c>
      <c r="N17" s="1597">
        <f>+[3]Desagregado!D63</f>
        <v>80.212000000000018</v>
      </c>
      <c r="O17" s="1599"/>
      <c r="P17" s="1599"/>
      <c r="Q17" s="1602">
        <f>+[3]Desagregado!J63</f>
        <v>655.20100000000036</v>
      </c>
      <c r="S17" s="157">
        <v>2005</v>
      </c>
      <c r="T17" s="203">
        <f t="shared" si="0"/>
        <v>5610.9249999999993</v>
      </c>
      <c r="U17" s="203">
        <f t="shared" si="0"/>
        <v>4746.7159999999994</v>
      </c>
      <c r="V17" s="203">
        <f t="shared" si="1"/>
        <v>864.20900000000029</v>
      </c>
      <c r="X17"/>
      <c r="Y17"/>
      <c r="Z17"/>
      <c r="AA17"/>
      <c r="AB17"/>
      <c r="AC17"/>
    </row>
    <row r="18" spans="2:29" ht="15" x14ac:dyDescent="0.25">
      <c r="B18" s="289">
        <v>2004</v>
      </c>
      <c r="C18" s="443">
        <f t="shared" si="2"/>
        <v>5417.9590700000017</v>
      </c>
      <c r="D18" s="444">
        <f t="shared" si="6"/>
        <v>4607.7060700000011</v>
      </c>
      <c r="E18" s="442"/>
      <c r="F18" s="444"/>
      <c r="G18" s="446">
        <f t="shared" si="3"/>
        <v>810.25300000000038</v>
      </c>
      <c r="H18" s="471">
        <f t="shared" si="4"/>
        <v>4657.3150700000006</v>
      </c>
      <c r="I18" s="442">
        <f>+[3]Desagregado!D20</f>
        <v>4493.808070000001</v>
      </c>
      <c r="J18" s="444"/>
      <c r="K18" s="444"/>
      <c r="L18" s="473">
        <f>+[3]Desagregado!L20</f>
        <v>163.50700000000006</v>
      </c>
      <c r="M18" s="471">
        <f t="shared" si="5"/>
        <v>760.64400000000035</v>
      </c>
      <c r="N18" s="442">
        <f>+[3]Desagregado!D64</f>
        <v>113.89800000000001</v>
      </c>
      <c r="O18" s="446"/>
      <c r="P18" s="446"/>
      <c r="Q18" s="447">
        <f>+[3]Desagregado!J64</f>
        <v>646.74600000000032</v>
      </c>
      <c r="S18" s="157">
        <v>2006</v>
      </c>
      <c r="T18" s="203">
        <f t="shared" si="0"/>
        <v>5873.4</v>
      </c>
      <c r="U18" s="203">
        <f t="shared" si="0"/>
        <v>5000.5540000000001</v>
      </c>
      <c r="V18" s="203">
        <f t="shared" si="1"/>
        <v>872.846</v>
      </c>
      <c r="X18"/>
      <c r="Y18"/>
      <c r="Z18"/>
      <c r="AA18"/>
      <c r="AB18"/>
      <c r="AC18"/>
    </row>
    <row r="19" spans="2:29" ht="15" x14ac:dyDescent="0.25">
      <c r="B19" s="299">
        <v>2005</v>
      </c>
      <c r="C19" s="1595">
        <f t="shared" si="2"/>
        <v>5610.9249999999993</v>
      </c>
      <c r="D19" s="1596">
        <f t="shared" si="6"/>
        <v>4746.7159999999994</v>
      </c>
      <c r="E19" s="1597"/>
      <c r="F19" s="1598"/>
      <c r="G19" s="1599">
        <f t="shared" si="3"/>
        <v>864.20900000000029</v>
      </c>
      <c r="H19" s="1600">
        <f t="shared" si="4"/>
        <v>4798.6629999999996</v>
      </c>
      <c r="I19" s="1597">
        <f>+[3]Desagregado!D21</f>
        <v>4619.7579999999998</v>
      </c>
      <c r="J19" s="1597"/>
      <c r="K19" s="1598"/>
      <c r="L19" s="1603">
        <f>+[3]Desagregado!L21</f>
        <v>178.90499999999992</v>
      </c>
      <c r="M19" s="1600">
        <f t="shared" si="5"/>
        <v>812.26200000000028</v>
      </c>
      <c r="N19" s="1597">
        <f>+[3]Desagregado!D65</f>
        <v>126.95800000000001</v>
      </c>
      <c r="O19" s="1599"/>
      <c r="P19" s="1599"/>
      <c r="Q19" s="1602">
        <f>+[3]Desagregado!J65</f>
        <v>685.30400000000031</v>
      </c>
      <c r="S19" s="216">
        <v>2007</v>
      </c>
      <c r="T19" s="203">
        <f t="shared" si="0"/>
        <v>6352.0139999999983</v>
      </c>
      <c r="U19" s="203">
        <f t="shared" si="0"/>
        <v>5473.9199999999983</v>
      </c>
      <c r="V19" s="203">
        <f t="shared" si="1"/>
        <v>878.09400000000005</v>
      </c>
      <c r="X19"/>
      <c r="Y19"/>
      <c r="Z19"/>
      <c r="AA19"/>
      <c r="AB19"/>
      <c r="AC19"/>
    </row>
    <row r="20" spans="2:29" ht="15" x14ac:dyDescent="0.25">
      <c r="B20" s="289">
        <v>2006</v>
      </c>
      <c r="C20" s="443">
        <f t="shared" si="2"/>
        <v>5873.4</v>
      </c>
      <c r="D20" s="444">
        <f t="shared" si="6"/>
        <v>5000.5540000000001</v>
      </c>
      <c r="E20" s="442"/>
      <c r="F20" s="448"/>
      <c r="G20" s="446">
        <f t="shared" si="3"/>
        <v>872.846</v>
      </c>
      <c r="H20" s="471">
        <f t="shared" si="4"/>
        <v>5064.3620000000001</v>
      </c>
      <c r="I20" s="442">
        <f>+[3]Desagregado!D22</f>
        <v>4891.5619999999999</v>
      </c>
      <c r="J20" s="442"/>
      <c r="K20" s="448"/>
      <c r="L20" s="473">
        <f>+[3]Desagregado!L22</f>
        <v>172.8</v>
      </c>
      <c r="M20" s="471">
        <f t="shared" si="5"/>
        <v>809.03800000000001</v>
      </c>
      <c r="N20" s="442">
        <f>+[3]Desagregado!D66</f>
        <v>108.992</v>
      </c>
      <c r="O20" s="446"/>
      <c r="P20" s="446"/>
      <c r="Q20" s="447">
        <f>+[3]Desagregado!J66</f>
        <v>700.04600000000005</v>
      </c>
      <c r="S20" s="157">
        <v>2008</v>
      </c>
      <c r="T20" s="203">
        <f t="shared" si="0"/>
        <v>6348.9440000000004</v>
      </c>
      <c r="U20" s="203">
        <f t="shared" si="0"/>
        <v>5356.4100000000008</v>
      </c>
      <c r="V20" s="203">
        <f t="shared" si="1"/>
        <v>992.53399999999988</v>
      </c>
      <c r="X20"/>
      <c r="Y20"/>
      <c r="Z20"/>
      <c r="AA20"/>
      <c r="AB20"/>
      <c r="AC20"/>
    </row>
    <row r="21" spans="2:29" x14ac:dyDescent="0.2">
      <c r="B21" s="299">
        <v>2007</v>
      </c>
      <c r="C21" s="1595">
        <f t="shared" si="2"/>
        <v>6352.0139999999983</v>
      </c>
      <c r="D21" s="1596">
        <f t="shared" si="6"/>
        <v>5473.9199999999983</v>
      </c>
      <c r="E21" s="1597"/>
      <c r="F21" s="1598"/>
      <c r="G21" s="1599">
        <f t="shared" si="3"/>
        <v>878.09400000000005</v>
      </c>
      <c r="H21" s="1600">
        <f t="shared" si="4"/>
        <v>5532.8549999999987</v>
      </c>
      <c r="I21" s="1597">
        <f>+[3]Desagregado!D23</f>
        <v>5363.3939999999984</v>
      </c>
      <c r="J21" s="1597"/>
      <c r="K21" s="1598"/>
      <c r="L21" s="1603">
        <f>+[3]Desagregado!L23</f>
        <v>169.46100000000004</v>
      </c>
      <c r="M21" s="1600">
        <f t="shared" si="5"/>
        <v>819.15900000000011</v>
      </c>
      <c r="N21" s="1597">
        <f>+[3]Desagregado!D67</f>
        <v>110.52600000000004</v>
      </c>
      <c r="O21" s="1599"/>
      <c r="P21" s="1599"/>
      <c r="Q21" s="1602">
        <f>+[3]Desagregado!J67</f>
        <v>708.63300000000004</v>
      </c>
      <c r="S21" s="157">
        <v>2009</v>
      </c>
      <c r="T21" s="203">
        <f t="shared" si="0"/>
        <v>7256.3470000000016</v>
      </c>
      <c r="U21" s="203">
        <f t="shared" si="0"/>
        <v>6188.6830000000009</v>
      </c>
      <c r="V21" s="203">
        <f t="shared" si="1"/>
        <v>1067.6640000000002</v>
      </c>
    </row>
    <row r="22" spans="2:29" x14ac:dyDescent="0.2">
      <c r="B22" s="289">
        <v>2008</v>
      </c>
      <c r="C22" s="443">
        <f t="shared" si="2"/>
        <v>6348.9440000000004</v>
      </c>
      <c r="D22" s="444">
        <f t="shared" si="6"/>
        <v>5356.4100000000008</v>
      </c>
      <c r="E22" s="442"/>
      <c r="F22" s="448"/>
      <c r="G22" s="446">
        <f t="shared" si="3"/>
        <v>992.53399999999988</v>
      </c>
      <c r="H22" s="471">
        <f t="shared" si="4"/>
        <v>5444.2160000000003</v>
      </c>
      <c r="I22" s="442">
        <f>+[3]Desagregado!D24</f>
        <v>5248.7000000000007</v>
      </c>
      <c r="J22" s="442"/>
      <c r="K22" s="448"/>
      <c r="L22" s="473">
        <f>+[3]Desagregado!L24</f>
        <v>195.51599999999991</v>
      </c>
      <c r="M22" s="471">
        <f t="shared" si="5"/>
        <v>904.72799999999995</v>
      </c>
      <c r="N22" s="442">
        <f>+[3]Desagregado!D68</f>
        <v>107.71000000000001</v>
      </c>
      <c r="O22" s="446"/>
      <c r="P22" s="446"/>
      <c r="Q22" s="447">
        <f>+[3]Desagregado!J68</f>
        <v>797.01799999999992</v>
      </c>
      <c r="S22" s="157">
        <v>2010</v>
      </c>
      <c r="T22" s="203">
        <f t="shared" si="0"/>
        <v>8000.3870000000015</v>
      </c>
      <c r="U22" s="203">
        <f t="shared" si="0"/>
        <v>6887.6360000000013</v>
      </c>
      <c r="V22" s="203">
        <f t="shared" si="1"/>
        <v>1112.7510000000002</v>
      </c>
    </row>
    <row r="23" spans="2:29" x14ac:dyDescent="0.2">
      <c r="B23" s="299">
        <v>2009</v>
      </c>
      <c r="C23" s="1595">
        <f t="shared" si="2"/>
        <v>7256.3470000000016</v>
      </c>
      <c r="D23" s="1596">
        <f t="shared" si="6"/>
        <v>6188.6830000000009</v>
      </c>
      <c r="E23" s="1597"/>
      <c r="F23" s="1598"/>
      <c r="G23" s="1599">
        <f t="shared" si="3"/>
        <v>1067.6640000000002</v>
      </c>
      <c r="H23" s="1600">
        <f t="shared" si="4"/>
        <v>6246.4090000000006</v>
      </c>
      <c r="I23" s="1597">
        <f>+[3]Desagregado!D25</f>
        <v>6064.4620000000004</v>
      </c>
      <c r="J23" s="1597"/>
      <c r="K23" s="1598"/>
      <c r="L23" s="1603">
        <f>+[3]Desagregado!L25</f>
        <v>181.947</v>
      </c>
      <c r="M23" s="1600">
        <f t="shared" si="5"/>
        <v>1009.9380000000001</v>
      </c>
      <c r="N23" s="1597">
        <f>+[3]Desagregado!D69</f>
        <v>124.221</v>
      </c>
      <c r="O23" s="1599"/>
      <c r="P23" s="1599"/>
      <c r="Q23" s="1602">
        <f>+[3]Desagregado!J69</f>
        <v>885.7170000000001</v>
      </c>
      <c r="S23" s="157">
        <v>2011</v>
      </c>
      <c r="T23" s="203">
        <f t="shared" si="0"/>
        <v>8045.5330000000004</v>
      </c>
      <c r="U23" s="203">
        <f t="shared" si="0"/>
        <v>6888.4620000000004</v>
      </c>
      <c r="V23" s="203">
        <f t="shared" si="1"/>
        <v>1157.0709999999999</v>
      </c>
    </row>
    <row r="24" spans="2:29" x14ac:dyDescent="0.2">
      <c r="B24" s="289">
        <v>2010</v>
      </c>
      <c r="C24" s="449">
        <f t="shared" si="2"/>
        <v>8000.3870000000015</v>
      </c>
      <c r="D24" s="444">
        <f t="shared" si="6"/>
        <v>6887.6360000000013</v>
      </c>
      <c r="E24" s="442"/>
      <c r="F24" s="448"/>
      <c r="G24" s="446">
        <f t="shared" si="3"/>
        <v>1112.7510000000002</v>
      </c>
      <c r="H24" s="474">
        <f t="shared" si="4"/>
        <v>6875.0380000000014</v>
      </c>
      <c r="I24" s="450">
        <f>+[3]Desagregado!D26</f>
        <v>6727.0620000000017</v>
      </c>
      <c r="J24" s="450"/>
      <c r="K24" s="475"/>
      <c r="L24" s="476">
        <f>+[3]Desagregado!L26</f>
        <v>147.976</v>
      </c>
      <c r="M24" s="474">
        <f t="shared" si="5"/>
        <v>1125.3490000000004</v>
      </c>
      <c r="N24" s="450">
        <f>+[3]Desagregado!D70</f>
        <v>160.57400000000001</v>
      </c>
      <c r="O24" s="452"/>
      <c r="P24" s="452"/>
      <c r="Q24" s="453">
        <f>+[3]Desagregado!J70</f>
        <v>964.77500000000032</v>
      </c>
      <c r="S24" s="157">
        <v>2012</v>
      </c>
      <c r="T24" s="203">
        <f t="shared" si="0"/>
        <v>8939.2569999999996</v>
      </c>
      <c r="U24" s="203">
        <f t="shared" si="0"/>
        <v>7777.549</v>
      </c>
      <c r="V24" s="203">
        <f t="shared" si="1"/>
        <v>1161.7080000000001</v>
      </c>
    </row>
    <row r="25" spans="2:29" x14ac:dyDescent="0.2">
      <c r="B25" s="299">
        <v>2011</v>
      </c>
      <c r="C25" s="1595">
        <f t="shared" si="2"/>
        <v>8045.5330000000004</v>
      </c>
      <c r="D25" s="1596">
        <f t="shared" si="6"/>
        <v>6888.4620000000004</v>
      </c>
      <c r="E25" s="1597"/>
      <c r="F25" s="1598"/>
      <c r="G25" s="1599">
        <f t="shared" ref="G25:G27" si="7">SUM(L25,Q25)</f>
        <v>1157.0709999999999</v>
      </c>
      <c r="H25" s="1600">
        <f t="shared" si="4"/>
        <v>6867.8209999999999</v>
      </c>
      <c r="I25" s="1597">
        <f>+[3]Desagregado!D27</f>
        <v>6729.8410000000003</v>
      </c>
      <c r="J25" s="1597"/>
      <c r="K25" s="1598"/>
      <c r="L25" s="1603">
        <f>+[3]Desagregado!L27</f>
        <v>137.97999999999999</v>
      </c>
      <c r="M25" s="1600">
        <f>SUM(N25:Q25)</f>
        <v>1177.712</v>
      </c>
      <c r="N25" s="1597">
        <f>+[3]Desagregado!D71</f>
        <v>158.62100000000001</v>
      </c>
      <c r="O25" s="1599"/>
      <c r="P25" s="1599"/>
      <c r="Q25" s="1602">
        <f>+[3]Desagregado!J71</f>
        <v>1019.0909999999999</v>
      </c>
      <c r="S25" s="157">
        <v>2013</v>
      </c>
      <c r="T25" s="203">
        <f t="shared" si="0"/>
        <v>9885.271999999999</v>
      </c>
      <c r="U25" s="203">
        <f t="shared" si="0"/>
        <v>8677.6899999999987</v>
      </c>
      <c r="V25" s="203">
        <f t="shared" si="1"/>
        <v>1207.5820000000001</v>
      </c>
    </row>
    <row r="26" spans="2:29" x14ac:dyDescent="0.2">
      <c r="B26" s="293">
        <v>2012</v>
      </c>
      <c r="C26" s="449">
        <f t="shared" si="2"/>
        <v>8939.2569999999996</v>
      </c>
      <c r="D26" s="444">
        <f t="shared" si="6"/>
        <v>7777.549</v>
      </c>
      <c r="E26" s="442"/>
      <c r="F26" s="448"/>
      <c r="G26" s="446">
        <f t="shared" si="7"/>
        <v>1161.7080000000001</v>
      </c>
      <c r="H26" s="474">
        <f t="shared" si="4"/>
        <v>7754.9049999999997</v>
      </c>
      <c r="I26" s="450">
        <f>+[3]Desagregado!D28</f>
        <v>7617.5529999999999</v>
      </c>
      <c r="J26" s="450"/>
      <c r="K26" s="475"/>
      <c r="L26" s="476">
        <f>+[3]Desagregado!L28</f>
        <v>137.352</v>
      </c>
      <c r="M26" s="474">
        <f>SUM(N26:Q26)</f>
        <v>1184.3520000000001</v>
      </c>
      <c r="N26" s="450">
        <f>+[3]Desagregado!D72</f>
        <v>159.99600000000001</v>
      </c>
      <c r="O26" s="452"/>
      <c r="P26" s="452"/>
      <c r="Q26" s="453">
        <f>+[3]Desagregado!J72</f>
        <v>1024.356</v>
      </c>
      <c r="S26" s="157">
        <v>2014</v>
      </c>
      <c r="T26" s="203">
        <f>C28</f>
        <v>10269.342000000001</v>
      </c>
      <c r="U26" s="203">
        <f>D28</f>
        <v>9049.6930000000011</v>
      </c>
      <c r="V26" s="203">
        <f>G28</f>
        <v>1219.6490000000003</v>
      </c>
    </row>
    <row r="27" spans="2:29" x14ac:dyDescent="0.2">
      <c r="B27" s="299">
        <v>2013</v>
      </c>
      <c r="C27" s="1595">
        <f t="shared" si="2"/>
        <v>9885.271999999999</v>
      </c>
      <c r="D27" s="1596">
        <f t="shared" si="6"/>
        <v>8677.6899999999987</v>
      </c>
      <c r="E27" s="1597"/>
      <c r="F27" s="1598"/>
      <c r="G27" s="1599">
        <f t="shared" si="7"/>
        <v>1207.5820000000001</v>
      </c>
      <c r="H27" s="1600">
        <f t="shared" si="4"/>
        <v>8680.4209999999985</v>
      </c>
      <c r="I27" s="1597">
        <f>+[3]Desagregado!D29</f>
        <v>8521.0119999999988</v>
      </c>
      <c r="J27" s="1597"/>
      <c r="K27" s="1598"/>
      <c r="L27" s="1603">
        <f>+[3]Desagregado!L29</f>
        <v>159.40900000000005</v>
      </c>
      <c r="M27" s="1600">
        <f>SUM(N27:Q27)</f>
        <v>1204.8510000000001</v>
      </c>
      <c r="N27" s="1597">
        <f>+[3]Desagregado!D73</f>
        <v>156.67800000000003</v>
      </c>
      <c r="O27" s="1599"/>
      <c r="P27" s="1599"/>
      <c r="Q27" s="1602">
        <f>+[3]Desagregado!J73</f>
        <v>1048.173</v>
      </c>
      <c r="S27" s="259" t="s">
        <v>136</v>
      </c>
      <c r="T27" s="203">
        <f>C29</f>
        <v>11295.836999999996</v>
      </c>
      <c r="U27" s="203">
        <f>D29</f>
        <v>10069.292999999996</v>
      </c>
      <c r="V27" s="203">
        <f>G29</f>
        <v>1226.5440000000003</v>
      </c>
    </row>
    <row r="28" spans="2:29" x14ac:dyDescent="0.2">
      <c r="B28" s="293">
        <v>2014</v>
      </c>
      <c r="C28" s="449">
        <f>SUM(D28:G28)</f>
        <v>10269.342000000001</v>
      </c>
      <c r="D28" s="444">
        <f>SUM(I28,N28)</f>
        <v>9049.6930000000011</v>
      </c>
      <c r="E28" s="442"/>
      <c r="F28" s="448"/>
      <c r="G28" s="446">
        <f>SUM(L28,Q28)</f>
        <v>1219.6490000000003</v>
      </c>
      <c r="H28" s="474">
        <f>SUM(I28:L28)</f>
        <v>9082.8000000000011</v>
      </c>
      <c r="I28" s="450">
        <f>[3]Desagregado!D30</f>
        <v>8908.4320000000007</v>
      </c>
      <c r="J28" s="450"/>
      <c r="K28" s="475"/>
      <c r="L28" s="476">
        <f>[3]Desagregado!L30</f>
        <v>174.36800000000005</v>
      </c>
      <c r="M28" s="474">
        <f>SUM(N28:Q28)</f>
        <v>1186.5420000000001</v>
      </c>
      <c r="N28" s="450">
        <f>[3]Desagregado!D74</f>
        <v>141.26100000000002</v>
      </c>
      <c r="O28" s="452"/>
      <c r="P28" s="452"/>
      <c r="Q28" s="453">
        <f>[3]Desagregado!J74</f>
        <v>1045.2810000000002</v>
      </c>
      <c r="T28" s="203"/>
      <c r="U28" s="203"/>
      <c r="V28" s="203"/>
    </row>
    <row r="29" spans="2:29" ht="15" x14ac:dyDescent="0.25">
      <c r="B29" s="1604" t="s">
        <v>136</v>
      </c>
      <c r="C29" s="1595">
        <f>SUM(D29:G29)</f>
        <v>11295.836999999996</v>
      </c>
      <c r="D29" s="1596">
        <f>SUM(I29,N29)</f>
        <v>10069.292999999996</v>
      </c>
      <c r="E29" s="1597"/>
      <c r="F29" s="1598"/>
      <c r="G29" s="1599">
        <f>SUM(L29,Q29)</f>
        <v>1226.5440000000003</v>
      </c>
      <c r="H29" s="1600">
        <f>SUM(I29:L29)</f>
        <v>10088.199999999997</v>
      </c>
      <c r="I29" s="1597">
        <f>[3]Desagregado!D31</f>
        <v>9913.2319999999963</v>
      </c>
      <c r="J29" s="1597"/>
      <c r="K29" s="1598"/>
      <c r="L29" s="1603">
        <f>[3]Desagregado!L31</f>
        <v>174.96799999999996</v>
      </c>
      <c r="M29" s="1600">
        <f>SUM(N29:Q29)</f>
        <v>1207.6370000000002</v>
      </c>
      <c r="N29" s="1597">
        <f>[3]Desagregado!D75</f>
        <v>156.06100000000001</v>
      </c>
      <c r="O29" s="1599"/>
      <c r="P29" s="1599"/>
      <c r="Q29" s="1602">
        <f>[3]Desagregado!J75</f>
        <v>1051.5760000000002</v>
      </c>
      <c r="T29" s="203"/>
      <c r="U29" s="203"/>
      <c r="V29" s="203"/>
      <c r="X29"/>
      <c r="Y29"/>
      <c r="Z29"/>
      <c r="AA29"/>
      <c r="AB29"/>
      <c r="AC29"/>
    </row>
    <row r="30" spans="2:29" ht="15.75" thickBot="1" x14ac:dyDescent="0.3">
      <c r="B30" s="293"/>
      <c r="C30" s="449"/>
      <c r="D30" s="444"/>
      <c r="E30" s="442"/>
      <c r="F30" s="448"/>
      <c r="G30" s="446"/>
      <c r="H30" s="474"/>
      <c r="I30" s="450"/>
      <c r="J30" s="450"/>
      <c r="K30" s="475"/>
      <c r="L30" s="476"/>
      <c r="M30" s="474"/>
      <c r="N30" s="450"/>
      <c r="O30" s="452"/>
      <c r="P30" s="452"/>
      <c r="Q30" s="453"/>
      <c r="T30" s="203"/>
      <c r="U30" s="203"/>
      <c r="V30" s="203"/>
      <c r="X30"/>
      <c r="Y30"/>
      <c r="Z30"/>
      <c r="AA30"/>
      <c r="AB30"/>
      <c r="AC30"/>
    </row>
    <row r="31" spans="2:29" ht="15" x14ac:dyDescent="0.25">
      <c r="B31" s="604" t="s">
        <v>137</v>
      </c>
      <c r="C31" s="605">
        <f>(C29/C28)-1</f>
        <v>9.9957231923914369E-2</v>
      </c>
      <c r="D31" s="609">
        <f>(D29/D28)-1</f>
        <v>0.11266680538223728</v>
      </c>
      <c r="E31" s="609"/>
      <c r="F31" s="1605"/>
      <c r="G31" s="636">
        <f>(G29/G28)-1</f>
        <v>5.6532658166406069E-3</v>
      </c>
      <c r="H31" s="605">
        <f>(H29/H28)-1</f>
        <v>0.11069273792222623</v>
      </c>
      <c r="I31" s="609">
        <f>(I29/I28)-1</f>
        <v>0.11279201547477657</v>
      </c>
      <c r="J31" s="609"/>
      <c r="K31" s="1605"/>
      <c r="L31" s="607">
        <f>(L29/L28)-1</f>
        <v>3.4409983483203455E-3</v>
      </c>
      <c r="M31" s="605">
        <f>(M29/M28)-1</f>
        <v>1.7778553140133324E-2</v>
      </c>
      <c r="N31" s="609">
        <f>(N29/N28)-1</f>
        <v>0.10477060193542442</v>
      </c>
      <c r="O31" s="636"/>
      <c r="P31" s="636"/>
      <c r="Q31" s="607">
        <f>(Q29/Q28)-1</f>
        <v>6.0223040502984659E-3</v>
      </c>
      <c r="T31" s="203"/>
      <c r="U31" s="203"/>
      <c r="V31" s="203"/>
      <c r="X31"/>
      <c r="Y31"/>
      <c r="Z31"/>
      <c r="AA31"/>
      <c r="AB31"/>
      <c r="AC31"/>
    </row>
    <row r="32" spans="2:29" ht="15" x14ac:dyDescent="0.25">
      <c r="B32" s="310" t="s">
        <v>138</v>
      </c>
      <c r="C32" s="311">
        <f>((C29/C24)^(1/5))-1</f>
        <v>7.1424280969060616E-2</v>
      </c>
      <c r="D32" s="312">
        <f>((D29/D24)^(1/5))-1</f>
        <v>7.8911340949134434E-2</v>
      </c>
      <c r="E32" s="312"/>
      <c r="F32" s="477"/>
      <c r="G32" s="478">
        <f>((G29/G24)^(1/5))-1</f>
        <v>1.9663862265226983E-2</v>
      </c>
      <c r="H32" s="311">
        <f>((H29/H24)^(1/5))-1</f>
        <v>7.9711472809880002E-2</v>
      </c>
      <c r="I32" s="312">
        <f>((I29/I24)^(1/5))-1</f>
        <v>8.06323585453943E-2</v>
      </c>
      <c r="J32" s="312"/>
      <c r="K32" s="477"/>
      <c r="L32" s="479">
        <f>((L29/L24)^(1/5))-1</f>
        <v>3.4078405231836362E-2</v>
      </c>
      <c r="M32" s="311">
        <f>((M29/M24)^(1/5))-1</f>
        <v>1.4214549006630994E-2</v>
      </c>
      <c r="N32" s="312">
        <f>((N29/N24)^(1/5))-1</f>
        <v>-5.6853646045493811E-3</v>
      </c>
      <c r="O32" s="478"/>
      <c r="P32" s="478"/>
      <c r="Q32" s="479">
        <f>((Q29/Q24)^(1/5))-1</f>
        <v>1.7379365234430066E-2</v>
      </c>
      <c r="T32" s="203"/>
      <c r="U32" s="203"/>
      <c r="V32" s="203"/>
      <c r="X32"/>
      <c r="Y32"/>
      <c r="Z32"/>
      <c r="AA32"/>
      <c r="AB32"/>
      <c r="AC32"/>
    </row>
    <row r="33" spans="2:29" ht="15" x14ac:dyDescent="0.25">
      <c r="B33" s="619" t="s">
        <v>144</v>
      </c>
      <c r="C33" s="620">
        <f>(C29/C19)-1</f>
        <v>1.0131862393455622</v>
      </c>
      <c r="D33" s="621">
        <f>(D29/D19)-1</f>
        <v>1.1213177700119403</v>
      </c>
      <c r="E33" s="621"/>
      <c r="F33" s="1606"/>
      <c r="G33" s="638">
        <f>(G29/G19)-1</f>
        <v>0.4192677928602917</v>
      </c>
      <c r="H33" s="620">
        <f>(H29/H19)-1</f>
        <v>1.1022939097827869</v>
      </c>
      <c r="I33" s="621">
        <f>(I29/I19)-1</f>
        <v>1.1458336129295077</v>
      </c>
      <c r="J33" s="638"/>
      <c r="K33" s="638"/>
      <c r="L33" s="622">
        <f>(L29/L19)-1</f>
        <v>-2.200609261898745E-2</v>
      </c>
      <c r="M33" s="620">
        <f>(M29/M19)-1</f>
        <v>0.48675796725687004</v>
      </c>
      <c r="N33" s="621">
        <f>(N29/N19)-1</f>
        <v>0.22923328974936585</v>
      </c>
      <c r="O33" s="638"/>
      <c r="P33" s="638"/>
      <c r="Q33" s="622">
        <f>(Q29/Q19)-1</f>
        <v>0.53446645576269769</v>
      </c>
      <c r="X33"/>
      <c r="Y33"/>
      <c r="Z33"/>
      <c r="AA33"/>
      <c r="AB33"/>
      <c r="AC33"/>
    </row>
    <row r="34" spans="2:29" ht="12.75" customHeight="1" thickBot="1" x14ac:dyDescent="0.3">
      <c r="B34" s="316" t="s">
        <v>140</v>
      </c>
      <c r="C34" s="459">
        <f>((C29/C19)^(1/10))-1</f>
        <v>7.247800780663094E-2</v>
      </c>
      <c r="D34" s="318">
        <f>((D29/D19)^(1/10))-1</f>
        <v>7.8103790560555275E-2</v>
      </c>
      <c r="E34" s="480"/>
      <c r="F34" s="480"/>
      <c r="G34" s="480">
        <f>((G29/G19)^(1/10))-1</f>
        <v>3.5634321475572994E-2</v>
      </c>
      <c r="H34" s="459">
        <f>((H29/H19)^(1/10))-1</f>
        <v>7.7133029003281006E-2</v>
      </c>
      <c r="I34" s="318">
        <f>((I29/I19)^(1/10))-1</f>
        <v>7.9343310925197308E-2</v>
      </c>
      <c r="J34" s="480"/>
      <c r="K34" s="480"/>
      <c r="L34" s="481">
        <f>((L29/L19)^(1/10))-1</f>
        <v>-2.2227099775259385E-3</v>
      </c>
      <c r="M34" s="459">
        <f>((M29/M19)^(1/10))-1</f>
        <v>4.045673898158797E-2</v>
      </c>
      <c r="N34" s="318">
        <f>((N29/N19)^(1/10))-1</f>
        <v>2.0853521668890318E-2</v>
      </c>
      <c r="O34" s="480"/>
      <c r="P34" s="480"/>
      <c r="Q34" s="481">
        <f>((Q29/Q19)^(1/10))-1</f>
        <v>4.3748200886082778E-2</v>
      </c>
      <c r="X34"/>
      <c r="Y34"/>
      <c r="Z34"/>
      <c r="AA34"/>
      <c r="AB34"/>
      <c r="AC34"/>
    </row>
    <row r="35" spans="2:29" ht="6" customHeight="1" x14ac:dyDescent="0.25">
      <c r="B35" s="319"/>
      <c r="X35"/>
      <c r="Y35"/>
      <c r="Z35"/>
      <c r="AA35"/>
      <c r="AB35"/>
      <c r="AC35"/>
    </row>
    <row r="36" spans="2:29" ht="15" customHeight="1" x14ac:dyDescent="0.25">
      <c r="B36" s="464" t="s">
        <v>320</v>
      </c>
      <c r="X36"/>
      <c r="Y36"/>
      <c r="Z36"/>
      <c r="AA36"/>
      <c r="AB36"/>
      <c r="AC36"/>
    </row>
    <row r="37" spans="2:29" ht="15" x14ac:dyDescent="0.25">
      <c r="B37" s="255" t="s">
        <v>160</v>
      </c>
      <c r="X37"/>
      <c r="Y37"/>
      <c r="Z37"/>
      <c r="AA37"/>
      <c r="AB37"/>
      <c r="AC37"/>
    </row>
    <row r="38" spans="2:29" ht="15" x14ac:dyDescent="0.25">
      <c r="B38" s="255"/>
      <c r="X38"/>
      <c r="Y38"/>
      <c r="Z38"/>
      <c r="AA38"/>
      <c r="AB38"/>
      <c r="AC38"/>
    </row>
    <row r="39" spans="2:29" ht="15" x14ac:dyDescent="0.25">
      <c r="X39"/>
      <c r="Y39"/>
      <c r="Z39"/>
      <c r="AA39"/>
      <c r="AB39"/>
      <c r="AC39"/>
    </row>
    <row r="40" spans="2:29" ht="15" x14ac:dyDescent="0.25">
      <c r="T40" s="157" t="s">
        <v>188</v>
      </c>
      <c r="X40"/>
      <c r="Y40"/>
      <c r="Z40"/>
      <c r="AA40"/>
      <c r="AB40"/>
      <c r="AC40"/>
    </row>
    <row r="41" spans="2:29" ht="15" x14ac:dyDescent="0.25">
      <c r="T41" s="157" t="s">
        <v>151</v>
      </c>
      <c r="U41" s="190" t="s">
        <v>193</v>
      </c>
      <c r="V41" s="190" t="s">
        <v>196</v>
      </c>
      <c r="X41"/>
      <c r="Y41"/>
      <c r="Z41"/>
      <c r="AA41"/>
      <c r="AB41"/>
      <c r="AC41"/>
    </row>
    <row r="42" spans="2:29" ht="15" x14ac:dyDescent="0.25">
      <c r="S42" s="157">
        <v>1995</v>
      </c>
      <c r="T42" s="203">
        <f t="shared" ref="T42:U62" si="8">H9</f>
        <v>3195.3919999999998</v>
      </c>
      <c r="U42" s="203">
        <f t="shared" si="8"/>
        <v>0</v>
      </c>
      <c r="V42" s="203">
        <f t="shared" ref="V42:V62" si="9">L9</f>
        <v>334.27599999999995</v>
      </c>
      <c r="X42"/>
      <c r="Y42"/>
      <c r="Z42"/>
      <c r="AA42"/>
      <c r="AB42"/>
      <c r="AC42"/>
    </row>
    <row r="43" spans="2:29" x14ac:dyDescent="0.2">
      <c r="S43" s="157">
        <v>1996</v>
      </c>
      <c r="T43" s="203">
        <f t="shared" si="8"/>
        <v>2879.5010000000002</v>
      </c>
      <c r="U43" s="203">
        <f t="shared" si="8"/>
        <v>0</v>
      </c>
      <c r="V43" s="203">
        <f t="shared" si="9"/>
        <v>260.95600000000002</v>
      </c>
    </row>
    <row r="44" spans="2:29" x14ac:dyDescent="0.2">
      <c r="S44" s="157">
        <v>1997</v>
      </c>
      <c r="T44" s="203">
        <f t="shared" si="8"/>
        <v>3826.8329999999996</v>
      </c>
      <c r="U44" s="203">
        <f t="shared" si="8"/>
        <v>0</v>
      </c>
      <c r="V44" s="203">
        <f t="shared" si="9"/>
        <v>308.96299999999997</v>
      </c>
    </row>
    <row r="45" spans="2:29" x14ac:dyDescent="0.2">
      <c r="S45" s="157">
        <v>1998</v>
      </c>
      <c r="T45" s="203">
        <f t="shared" si="8"/>
        <v>4020.8009999999995</v>
      </c>
      <c r="U45" s="203">
        <f t="shared" si="8"/>
        <v>0</v>
      </c>
      <c r="V45" s="203">
        <f t="shared" si="9"/>
        <v>334.44599999999997</v>
      </c>
    </row>
    <row r="46" spans="2:29" x14ac:dyDescent="0.2">
      <c r="S46" s="157">
        <v>1999</v>
      </c>
      <c r="T46" s="203">
        <f t="shared" si="8"/>
        <v>4317.9290000000001</v>
      </c>
      <c r="U46" s="203">
        <f t="shared" si="8"/>
        <v>0</v>
      </c>
      <c r="V46" s="203">
        <f t="shared" si="9"/>
        <v>288.16500000000002</v>
      </c>
    </row>
    <row r="47" spans="2:29" x14ac:dyDescent="0.2">
      <c r="S47" s="157">
        <v>2000</v>
      </c>
      <c r="T47" s="203">
        <f t="shared" si="8"/>
        <v>4775.9350000000004</v>
      </c>
      <c r="U47" s="203">
        <f t="shared" si="8"/>
        <v>0</v>
      </c>
      <c r="V47" s="203">
        <f t="shared" si="9"/>
        <v>274.54799999999994</v>
      </c>
    </row>
    <row r="48" spans="2:29" x14ac:dyDescent="0.2">
      <c r="S48" s="157">
        <v>2001</v>
      </c>
      <c r="T48" s="203">
        <f t="shared" si="8"/>
        <v>4642.0639999999994</v>
      </c>
      <c r="U48" s="203">
        <f t="shared" si="8"/>
        <v>4418.8459999999995</v>
      </c>
      <c r="V48" s="203">
        <f t="shared" si="9"/>
        <v>223.21799999999993</v>
      </c>
    </row>
    <row r="49" spans="2:22" x14ac:dyDescent="0.2">
      <c r="S49" s="216">
        <v>2002</v>
      </c>
      <c r="T49" s="203">
        <f t="shared" si="8"/>
        <v>4657.8269999999993</v>
      </c>
      <c r="U49" s="203">
        <f t="shared" si="8"/>
        <v>4491.7919999999995</v>
      </c>
      <c r="V49" s="203">
        <f t="shared" si="9"/>
        <v>166.035</v>
      </c>
    </row>
    <row r="50" spans="2:22" x14ac:dyDescent="0.2">
      <c r="S50" s="157">
        <v>2003</v>
      </c>
      <c r="T50" s="203">
        <f t="shared" si="8"/>
        <v>4686.3940000000011</v>
      </c>
      <c r="U50" s="203">
        <f t="shared" si="8"/>
        <v>4517.7180000000008</v>
      </c>
      <c r="V50" s="203">
        <f t="shared" si="9"/>
        <v>168.67599999999996</v>
      </c>
    </row>
    <row r="51" spans="2:22" x14ac:dyDescent="0.2">
      <c r="S51" s="157">
        <v>2004</v>
      </c>
      <c r="T51" s="203">
        <f t="shared" si="8"/>
        <v>4657.3150700000006</v>
      </c>
      <c r="U51" s="203">
        <f t="shared" si="8"/>
        <v>4493.808070000001</v>
      </c>
      <c r="V51" s="203">
        <f t="shared" si="9"/>
        <v>163.50700000000006</v>
      </c>
    </row>
    <row r="52" spans="2:22" x14ac:dyDescent="0.2">
      <c r="S52" s="157">
        <v>2005</v>
      </c>
      <c r="T52" s="203">
        <f t="shared" si="8"/>
        <v>4798.6629999999996</v>
      </c>
      <c r="U52" s="203">
        <f t="shared" si="8"/>
        <v>4619.7579999999998</v>
      </c>
      <c r="V52" s="203">
        <f t="shared" si="9"/>
        <v>178.90499999999992</v>
      </c>
    </row>
    <row r="53" spans="2:22" x14ac:dyDescent="0.2">
      <c r="S53" s="157">
        <v>2006</v>
      </c>
      <c r="T53" s="203">
        <f t="shared" si="8"/>
        <v>5064.3620000000001</v>
      </c>
      <c r="U53" s="203">
        <f t="shared" si="8"/>
        <v>4891.5619999999999</v>
      </c>
      <c r="V53" s="203">
        <f t="shared" si="9"/>
        <v>172.8</v>
      </c>
    </row>
    <row r="54" spans="2:22" x14ac:dyDescent="0.2">
      <c r="S54" s="216">
        <v>2007</v>
      </c>
      <c r="T54" s="203">
        <f t="shared" si="8"/>
        <v>5532.8549999999987</v>
      </c>
      <c r="U54" s="203">
        <f t="shared" si="8"/>
        <v>5363.3939999999984</v>
      </c>
      <c r="V54" s="203">
        <f t="shared" si="9"/>
        <v>169.46100000000004</v>
      </c>
    </row>
    <row r="55" spans="2:22" x14ac:dyDescent="0.2">
      <c r="S55" s="157">
        <v>2008</v>
      </c>
      <c r="T55" s="203">
        <f t="shared" si="8"/>
        <v>5444.2160000000003</v>
      </c>
      <c r="U55" s="203">
        <f t="shared" si="8"/>
        <v>5248.7000000000007</v>
      </c>
      <c r="V55" s="203">
        <f t="shared" si="9"/>
        <v>195.51599999999991</v>
      </c>
    </row>
    <row r="56" spans="2:22" x14ac:dyDescent="0.2">
      <c r="S56" s="157">
        <v>2009</v>
      </c>
      <c r="T56" s="203">
        <f t="shared" si="8"/>
        <v>6246.4090000000006</v>
      </c>
      <c r="U56" s="203">
        <f t="shared" si="8"/>
        <v>6064.4620000000004</v>
      </c>
      <c r="V56" s="203">
        <f t="shared" si="9"/>
        <v>181.947</v>
      </c>
    </row>
    <row r="57" spans="2:22" x14ac:dyDescent="0.2">
      <c r="S57" s="157">
        <v>2010</v>
      </c>
      <c r="T57" s="203">
        <f t="shared" si="8"/>
        <v>6875.0380000000014</v>
      </c>
      <c r="U57" s="157">
        <f t="shared" si="8"/>
        <v>6727.0620000000017</v>
      </c>
      <c r="V57" s="157">
        <f t="shared" si="9"/>
        <v>147.976</v>
      </c>
    </row>
    <row r="58" spans="2:22" x14ac:dyDescent="0.2">
      <c r="S58" s="157">
        <v>2011</v>
      </c>
      <c r="T58" s="203">
        <f t="shared" si="8"/>
        <v>6867.8209999999999</v>
      </c>
      <c r="U58" s="157">
        <f t="shared" si="8"/>
        <v>6729.8410000000003</v>
      </c>
      <c r="V58" s="157">
        <f t="shared" si="9"/>
        <v>137.97999999999999</v>
      </c>
    </row>
    <row r="59" spans="2:22" ht="226.5" x14ac:dyDescent="0.3">
      <c r="B59" s="1424" t="s">
        <v>316</v>
      </c>
      <c r="S59" s="157">
        <v>2012</v>
      </c>
      <c r="T59" s="203">
        <f t="shared" si="8"/>
        <v>7754.9049999999997</v>
      </c>
      <c r="U59" s="157">
        <f t="shared" si="8"/>
        <v>7617.5529999999999</v>
      </c>
      <c r="V59" s="157">
        <f t="shared" si="9"/>
        <v>137.352</v>
      </c>
    </row>
    <row r="60" spans="2:22" x14ac:dyDescent="0.2">
      <c r="S60" s="157">
        <v>2013</v>
      </c>
      <c r="T60" s="203">
        <f t="shared" si="8"/>
        <v>8680.4209999999985</v>
      </c>
      <c r="U60" s="157">
        <f t="shared" si="8"/>
        <v>8521.0119999999988</v>
      </c>
      <c r="V60" s="157">
        <f t="shared" si="9"/>
        <v>159.40900000000005</v>
      </c>
    </row>
    <row r="61" spans="2:22" x14ac:dyDescent="0.2">
      <c r="S61" s="157">
        <v>2014</v>
      </c>
      <c r="T61" s="203">
        <f t="shared" si="8"/>
        <v>9082.8000000000011</v>
      </c>
      <c r="U61" s="157">
        <f t="shared" si="8"/>
        <v>8908.4320000000007</v>
      </c>
      <c r="V61" s="157">
        <f t="shared" si="9"/>
        <v>174.36800000000005</v>
      </c>
    </row>
    <row r="62" spans="2:22" x14ac:dyDescent="0.2">
      <c r="S62" s="259" t="s">
        <v>136</v>
      </c>
      <c r="T62" s="203">
        <f t="shared" si="8"/>
        <v>10088.199999999997</v>
      </c>
      <c r="U62" s="157">
        <f t="shared" si="8"/>
        <v>9913.2319999999963</v>
      </c>
      <c r="V62" s="157">
        <f t="shared" si="9"/>
        <v>174.96799999999996</v>
      </c>
    </row>
    <row r="70" spans="19:22" x14ac:dyDescent="0.2">
      <c r="T70" s="157" t="s">
        <v>190</v>
      </c>
    </row>
    <row r="71" spans="19:22" x14ac:dyDescent="0.2">
      <c r="T71" s="157" t="s">
        <v>151</v>
      </c>
      <c r="U71" s="190" t="s">
        <v>193</v>
      </c>
      <c r="V71" s="190" t="s">
        <v>196</v>
      </c>
    </row>
    <row r="72" spans="19:22" x14ac:dyDescent="0.2">
      <c r="S72" s="157">
        <v>1995</v>
      </c>
      <c r="T72" s="203">
        <f t="shared" ref="T72:U92" si="10">M9</f>
        <v>880.01600000000008</v>
      </c>
      <c r="U72" s="203">
        <f t="shared" si="10"/>
        <v>0</v>
      </c>
      <c r="V72" s="203">
        <f t="shared" ref="V72:V92" si="11">Q9</f>
        <v>269.92599999999999</v>
      </c>
    </row>
    <row r="73" spans="19:22" x14ac:dyDescent="0.2">
      <c r="S73" s="157">
        <v>1996</v>
      </c>
      <c r="T73" s="203">
        <f t="shared" si="10"/>
        <v>1123.7</v>
      </c>
      <c r="U73" s="203">
        <f t="shared" si="10"/>
        <v>0</v>
      </c>
      <c r="V73" s="203">
        <f t="shared" si="11"/>
        <v>242.858</v>
      </c>
    </row>
    <row r="74" spans="19:22" x14ac:dyDescent="0.2">
      <c r="S74" s="157">
        <v>1997</v>
      </c>
      <c r="T74" s="203">
        <f t="shared" si="10"/>
        <v>754.18599999999992</v>
      </c>
      <c r="U74" s="203">
        <f t="shared" si="10"/>
        <v>0</v>
      </c>
      <c r="V74" s="203">
        <f t="shared" si="11"/>
        <v>567.05799999999999</v>
      </c>
    </row>
    <row r="75" spans="19:22" x14ac:dyDescent="0.2">
      <c r="S75" s="157">
        <v>1998</v>
      </c>
      <c r="T75" s="203">
        <f t="shared" si="10"/>
        <v>760.82999999999993</v>
      </c>
      <c r="U75" s="203">
        <f t="shared" si="10"/>
        <v>0</v>
      </c>
      <c r="V75" s="203">
        <f t="shared" si="11"/>
        <v>614.346</v>
      </c>
    </row>
    <row r="76" spans="19:22" x14ac:dyDescent="0.2">
      <c r="S76" s="157">
        <v>1999</v>
      </c>
      <c r="T76" s="203">
        <f t="shared" si="10"/>
        <v>798.22700000000009</v>
      </c>
      <c r="U76" s="203">
        <f t="shared" si="10"/>
        <v>0</v>
      </c>
      <c r="V76" s="203">
        <f t="shared" si="11"/>
        <v>696.86300000000006</v>
      </c>
    </row>
    <row r="77" spans="19:22" x14ac:dyDescent="0.2">
      <c r="S77" s="157">
        <v>2000</v>
      </c>
      <c r="T77" s="203">
        <f t="shared" si="10"/>
        <v>778.91100000000017</v>
      </c>
      <c r="U77" s="203">
        <f t="shared" si="10"/>
        <v>0</v>
      </c>
      <c r="V77" s="203">
        <f t="shared" si="11"/>
        <v>689.03200000000015</v>
      </c>
    </row>
    <row r="78" spans="19:22" x14ac:dyDescent="0.2">
      <c r="S78" s="157">
        <v>2001</v>
      </c>
      <c r="T78" s="203">
        <f t="shared" si="10"/>
        <v>745.11300000000006</v>
      </c>
      <c r="U78" s="203">
        <f t="shared" si="10"/>
        <v>101.07900000000001</v>
      </c>
      <c r="V78" s="203">
        <f t="shared" si="11"/>
        <v>644.03400000000011</v>
      </c>
    </row>
    <row r="79" spans="19:22" x14ac:dyDescent="0.2">
      <c r="S79" s="216">
        <v>2002</v>
      </c>
      <c r="T79" s="203">
        <f t="shared" si="10"/>
        <v>737.84200000000067</v>
      </c>
      <c r="U79" s="203">
        <f t="shared" si="10"/>
        <v>80.701000000000008</v>
      </c>
      <c r="V79" s="203">
        <f t="shared" si="11"/>
        <v>657.14100000000064</v>
      </c>
    </row>
    <row r="80" spans="19:22" x14ac:dyDescent="0.2">
      <c r="S80" s="157">
        <v>2003</v>
      </c>
      <c r="T80" s="203">
        <f t="shared" si="10"/>
        <v>735.41300000000035</v>
      </c>
      <c r="U80" s="203">
        <f t="shared" si="10"/>
        <v>80.212000000000018</v>
      </c>
      <c r="V80" s="203">
        <f t="shared" si="11"/>
        <v>655.20100000000036</v>
      </c>
    </row>
    <row r="81" spans="19:22" x14ac:dyDescent="0.2">
      <c r="S81" s="157">
        <v>2004</v>
      </c>
      <c r="T81" s="203">
        <f t="shared" si="10"/>
        <v>760.64400000000035</v>
      </c>
      <c r="U81" s="203">
        <f t="shared" si="10"/>
        <v>113.89800000000001</v>
      </c>
      <c r="V81" s="203">
        <f t="shared" si="11"/>
        <v>646.74600000000032</v>
      </c>
    </row>
    <row r="82" spans="19:22" x14ac:dyDescent="0.2">
      <c r="S82" s="157">
        <v>2005</v>
      </c>
      <c r="T82" s="203">
        <f t="shared" si="10"/>
        <v>812.26200000000028</v>
      </c>
      <c r="U82" s="203">
        <f t="shared" si="10"/>
        <v>126.95800000000001</v>
      </c>
      <c r="V82" s="203">
        <f t="shared" si="11"/>
        <v>685.30400000000031</v>
      </c>
    </row>
    <row r="83" spans="19:22" x14ac:dyDescent="0.2">
      <c r="S83" s="157">
        <v>2006</v>
      </c>
      <c r="T83" s="203">
        <f t="shared" si="10"/>
        <v>809.03800000000001</v>
      </c>
      <c r="U83" s="203">
        <f t="shared" si="10"/>
        <v>108.992</v>
      </c>
      <c r="V83" s="203">
        <f t="shared" si="11"/>
        <v>700.04600000000005</v>
      </c>
    </row>
    <row r="84" spans="19:22" x14ac:dyDescent="0.2">
      <c r="S84" s="216">
        <v>2007</v>
      </c>
      <c r="T84" s="203">
        <f t="shared" si="10"/>
        <v>819.15900000000011</v>
      </c>
      <c r="U84" s="203">
        <f t="shared" si="10"/>
        <v>110.52600000000004</v>
      </c>
      <c r="V84" s="203">
        <f t="shared" si="11"/>
        <v>708.63300000000004</v>
      </c>
    </row>
    <row r="85" spans="19:22" x14ac:dyDescent="0.2">
      <c r="S85" s="157">
        <v>2008</v>
      </c>
      <c r="T85" s="203">
        <f t="shared" si="10"/>
        <v>904.72799999999995</v>
      </c>
      <c r="U85" s="203">
        <f t="shared" si="10"/>
        <v>107.71000000000001</v>
      </c>
      <c r="V85" s="203">
        <f t="shared" si="11"/>
        <v>797.01799999999992</v>
      </c>
    </row>
    <row r="86" spans="19:22" x14ac:dyDescent="0.2">
      <c r="S86" s="157">
        <v>2009</v>
      </c>
      <c r="T86" s="203">
        <f t="shared" si="10"/>
        <v>1009.9380000000001</v>
      </c>
      <c r="U86" s="203">
        <f t="shared" si="10"/>
        <v>124.221</v>
      </c>
      <c r="V86" s="203">
        <f t="shared" si="11"/>
        <v>885.7170000000001</v>
      </c>
    </row>
    <row r="87" spans="19:22" x14ac:dyDescent="0.2">
      <c r="S87" s="216">
        <v>2010</v>
      </c>
      <c r="T87" s="157">
        <f t="shared" si="10"/>
        <v>1125.3490000000004</v>
      </c>
      <c r="U87" s="157">
        <f t="shared" si="10"/>
        <v>160.57400000000001</v>
      </c>
      <c r="V87" s="157">
        <f t="shared" si="11"/>
        <v>964.77500000000032</v>
      </c>
    </row>
    <row r="88" spans="19:22" x14ac:dyDescent="0.2">
      <c r="S88" s="216">
        <v>2011</v>
      </c>
      <c r="T88" s="157">
        <f t="shared" si="10"/>
        <v>1177.712</v>
      </c>
      <c r="U88" s="157">
        <f t="shared" si="10"/>
        <v>158.62100000000001</v>
      </c>
      <c r="V88" s="157">
        <f t="shared" si="11"/>
        <v>1019.0909999999999</v>
      </c>
    </row>
    <row r="89" spans="19:22" x14ac:dyDescent="0.2">
      <c r="S89" s="216">
        <v>2012</v>
      </c>
      <c r="T89" s="157">
        <f t="shared" si="10"/>
        <v>1184.3520000000001</v>
      </c>
      <c r="U89" s="157">
        <f t="shared" si="10"/>
        <v>159.99600000000001</v>
      </c>
      <c r="V89" s="157">
        <f t="shared" si="11"/>
        <v>1024.356</v>
      </c>
    </row>
    <row r="90" spans="19:22" x14ac:dyDescent="0.2">
      <c r="S90" s="216">
        <v>2013</v>
      </c>
      <c r="T90" s="157">
        <f t="shared" si="10"/>
        <v>1204.8510000000001</v>
      </c>
      <c r="U90" s="157">
        <f t="shared" si="10"/>
        <v>156.67800000000003</v>
      </c>
      <c r="V90" s="157">
        <f t="shared" si="11"/>
        <v>1048.173</v>
      </c>
    </row>
    <row r="91" spans="19:22" x14ac:dyDescent="0.2">
      <c r="S91" s="216">
        <v>2014</v>
      </c>
      <c r="T91" s="157">
        <f t="shared" si="10"/>
        <v>1186.5420000000001</v>
      </c>
      <c r="U91" s="157">
        <f t="shared" si="10"/>
        <v>141.26100000000002</v>
      </c>
      <c r="V91" s="157">
        <f t="shared" si="11"/>
        <v>1045.2810000000002</v>
      </c>
    </row>
    <row r="92" spans="19:22" x14ac:dyDescent="0.2">
      <c r="S92" s="259" t="s">
        <v>136</v>
      </c>
      <c r="T92" s="157">
        <f t="shared" si="10"/>
        <v>1207.6370000000002</v>
      </c>
      <c r="U92" s="157">
        <f t="shared" si="10"/>
        <v>156.06100000000001</v>
      </c>
      <c r="V92" s="157">
        <f t="shared" si="11"/>
        <v>1051.5760000000002</v>
      </c>
    </row>
  </sheetData>
  <autoFilter ref="B1:B92"/>
  <mergeCells count="1">
    <mergeCell ref="B1:Q1"/>
  </mergeCells>
  <printOptions horizontalCentered="1" verticalCentered="1"/>
  <pageMargins left="0.51181102362204722" right="0.19685039370078741" top="0.39370078740157483" bottom="0.31496062992125984" header="0" footer="0"/>
  <pageSetup paperSize="9" scale="5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86"/>
  <sheetViews>
    <sheetView view="pageBreakPreview" topLeftCell="A37" zoomScaleNormal="85" zoomScaleSheetLayoutView="100" workbookViewId="0">
      <selection activeCell="D80" sqref="D80"/>
    </sheetView>
  </sheetViews>
  <sheetFormatPr baseColWidth="10" defaultRowHeight="12.75" x14ac:dyDescent="0.2"/>
  <cols>
    <col min="1" max="1" width="5.7109375" style="157" customWidth="1"/>
    <col min="2" max="2" width="21.7109375" style="157" customWidth="1"/>
    <col min="3" max="3" width="15.7109375" style="157" customWidth="1"/>
    <col min="4" max="4" width="15.85546875" style="157" customWidth="1"/>
    <col min="5" max="5" width="15.7109375" style="157" customWidth="1"/>
    <col min="6" max="8" width="15.85546875" style="157" customWidth="1"/>
    <col min="9" max="9" width="12.7109375" style="157" customWidth="1"/>
    <col min="10" max="10" width="12.85546875" style="157" customWidth="1"/>
    <col min="11" max="11" width="12.7109375" style="157" customWidth="1"/>
    <col min="12" max="12" width="13.5703125" style="157" customWidth="1"/>
    <col min="13" max="14" width="11.42578125" style="157"/>
    <col min="15" max="15" width="10.7109375" style="157" customWidth="1"/>
    <col min="16" max="17" width="7.28515625" style="157" customWidth="1"/>
    <col min="18" max="18" width="17.140625" style="157" customWidth="1"/>
    <col min="19" max="19" width="13.85546875" style="157" customWidth="1"/>
    <col min="20" max="256" width="11.42578125" style="157"/>
    <col min="257" max="257" width="5.7109375" style="157" customWidth="1"/>
    <col min="258" max="258" width="21.7109375" style="157" customWidth="1"/>
    <col min="259" max="259" width="15.7109375" style="157" customWidth="1"/>
    <col min="260" max="260" width="15.85546875" style="157" customWidth="1"/>
    <col min="261" max="261" width="15.7109375" style="157" customWidth="1"/>
    <col min="262" max="264" width="15.85546875" style="157" customWidth="1"/>
    <col min="265" max="265" width="12.7109375" style="157" customWidth="1"/>
    <col min="266" max="266" width="12.85546875" style="157" customWidth="1"/>
    <col min="267" max="267" width="12.7109375" style="157" customWidth="1"/>
    <col min="268" max="268" width="13.5703125" style="157" customWidth="1"/>
    <col min="269" max="270" width="11.42578125" style="157"/>
    <col min="271" max="271" width="10.7109375" style="157" customWidth="1"/>
    <col min="272" max="273" width="7.28515625" style="157" customWidth="1"/>
    <col min="274" max="274" width="17.140625" style="157" customWidth="1"/>
    <col min="275" max="275" width="13.85546875" style="157" customWidth="1"/>
    <col min="276" max="512" width="11.42578125" style="157"/>
    <col min="513" max="513" width="5.7109375" style="157" customWidth="1"/>
    <col min="514" max="514" width="21.7109375" style="157" customWidth="1"/>
    <col min="515" max="515" width="15.7109375" style="157" customWidth="1"/>
    <col min="516" max="516" width="15.85546875" style="157" customWidth="1"/>
    <col min="517" max="517" width="15.7109375" style="157" customWidth="1"/>
    <col min="518" max="520" width="15.85546875" style="157" customWidth="1"/>
    <col min="521" max="521" width="12.7109375" style="157" customWidth="1"/>
    <col min="522" max="522" width="12.85546875" style="157" customWidth="1"/>
    <col min="523" max="523" width="12.7109375" style="157" customWidth="1"/>
    <col min="524" max="524" width="13.5703125" style="157" customWidth="1"/>
    <col min="525" max="526" width="11.42578125" style="157"/>
    <col min="527" max="527" width="10.7109375" style="157" customWidth="1"/>
    <col min="528" max="529" width="7.28515625" style="157" customWidth="1"/>
    <col min="530" max="530" width="17.140625" style="157" customWidth="1"/>
    <col min="531" max="531" width="13.85546875" style="157" customWidth="1"/>
    <col min="532" max="768" width="11.42578125" style="157"/>
    <col min="769" max="769" width="5.7109375" style="157" customWidth="1"/>
    <col min="770" max="770" width="21.7109375" style="157" customWidth="1"/>
    <col min="771" max="771" width="15.7109375" style="157" customWidth="1"/>
    <col min="772" max="772" width="15.85546875" style="157" customWidth="1"/>
    <col min="773" max="773" width="15.7109375" style="157" customWidth="1"/>
    <col min="774" max="776" width="15.85546875" style="157" customWidth="1"/>
    <col min="777" max="777" width="12.7109375" style="157" customWidth="1"/>
    <col min="778" max="778" width="12.85546875" style="157" customWidth="1"/>
    <col min="779" max="779" width="12.7109375" style="157" customWidth="1"/>
    <col min="780" max="780" width="13.5703125" style="157" customWidth="1"/>
    <col min="781" max="782" width="11.42578125" style="157"/>
    <col min="783" max="783" width="10.7109375" style="157" customWidth="1"/>
    <col min="784" max="785" width="7.28515625" style="157" customWidth="1"/>
    <col min="786" max="786" width="17.140625" style="157" customWidth="1"/>
    <col min="787" max="787" width="13.85546875" style="157" customWidth="1"/>
    <col min="788" max="1024" width="11.42578125" style="157"/>
    <col min="1025" max="1025" width="5.7109375" style="157" customWidth="1"/>
    <col min="1026" max="1026" width="21.7109375" style="157" customWidth="1"/>
    <col min="1027" max="1027" width="15.7109375" style="157" customWidth="1"/>
    <col min="1028" max="1028" width="15.85546875" style="157" customWidth="1"/>
    <col min="1029" max="1029" width="15.7109375" style="157" customWidth="1"/>
    <col min="1030" max="1032" width="15.85546875" style="157" customWidth="1"/>
    <col min="1033" max="1033" width="12.7109375" style="157" customWidth="1"/>
    <col min="1034" max="1034" width="12.85546875" style="157" customWidth="1"/>
    <col min="1035" max="1035" width="12.7109375" style="157" customWidth="1"/>
    <col min="1036" max="1036" width="13.5703125" style="157" customWidth="1"/>
    <col min="1037" max="1038" width="11.42578125" style="157"/>
    <col min="1039" max="1039" width="10.7109375" style="157" customWidth="1"/>
    <col min="1040" max="1041" width="7.28515625" style="157" customWidth="1"/>
    <col min="1042" max="1042" width="17.140625" style="157" customWidth="1"/>
    <col min="1043" max="1043" width="13.85546875" style="157" customWidth="1"/>
    <col min="1044" max="1280" width="11.42578125" style="157"/>
    <col min="1281" max="1281" width="5.7109375" style="157" customWidth="1"/>
    <col min="1282" max="1282" width="21.7109375" style="157" customWidth="1"/>
    <col min="1283" max="1283" width="15.7109375" style="157" customWidth="1"/>
    <col min="1284" max="1284" width="15.85546875" style="157" customWidth="1"/>
    <col min="1285" max="1285" width="15.7109375" style="157" customWidth="1"/>
    <col min="1286" max="1288" width="15.85546875" style="157" customWidth="1"/>
    <col min="1289" max="1289" width="12.7109375" style="157" customWidth="1"/>
    <col min="1290" max="1290" width="12.85546875" style="157" customWidth="1"/>
    <col min="1291" max="1291" width="12.7109375" style="157" customWidth="1"/>
    <col min="1292" max="1292" width="13.5703125" style="157" customWidth="1"/>
    <col min="1293" max="1294" width="11.42578125" style="157"/>
    <col min="1295" max="1295" width="10.7109375" style="157" customWidth="1"/>
    <col min="1296" max="1297" width="7.28515625" style="157" customWidth="1"/>
    <col min="1298" max="1298" width="17.140625" style="157" customWidth="1"/>
    <col min="1299" max="1299" width="13.85546875" style="157" customWidth="1"/>
    <col min="1300" max="1536" width="11.42578125" style="157"/>
    <col min="1537" max="1537" width="5.7109375" style="157" customWidth="1"/>
    <col min="1538" max="1538" width="21.7109375" style="157" customWidth="1"/>
    <col min="1539" max="1539" width="15.7109375" style="157" customWidth="1"/>
    <col min="1540" max="1540" width="15.85546875" style="157" customWidth="1"/>
    <col min="1541" max="1541" width="15.7109375" style="157" customWidth="1"/>
    <col min="1542" max="1544" width="15.85546875" style="157" customWidth="1"/>
    <col min="1545" max="1545" width="12.7109375" style="157" customWidth="1"/>
    <col min="1546" max="1546" width="12.85546875" style="157" customWidth="1"/>
    <col min="1547" max="1547" width="12.7109375" style="157" customWidth="1"/>
    <col min="1548" max="1548" width="13.5703125" style="157" customWidth="1"/>
    <col min="1549" max="1550" width="11.42578125" style="157"/>
    <col min="1551" max="1551" width="10.7109375" style="157" customWidth="1"/>
    <col min="1552" max="1553" width="7.28515625" style="157" customWidth="1"/>
    <col min="1554" max="1554" width="17.140625" style="157" customWidth="1"/>
    <col min="1555" max="1555" width="13.85546875" style="157" customWidth="1"/>
    <col min="1556" max="1792" width="11.42578125" style="157"/>
    <col min="1793" max="1793" width="5.7109375" style="157" customWidth="1"/>
    <col min="1794" max="1794" width="21.7109375" style="157" customWidth="1"/>
    <col min="1795" max="1795" width="15.7109375" style="157" customWidth="1"/>
    <col min="1796" max="1796" width="15.85546875" style="157" customWidth="1"/>
    <col min="1797" max="1797" width="15.7109375" style="157" customWidth="1"/>
    <col min="1798" max="1800" width="15.85546875" style="157" customWidth="1"/>
    <col min="1801" max="1801" width="12.7109375" style="157" customWidth="1"/>
    <col min="1802" max="1802" width="12.85546875" style="157" customWidth="1"/>
    <col min="1803" max="1803" width="12.7109375" style="157" customWidth="1"/>
    <col min="1804" max="1804" width="13.5703125" style="157" customWidth="1"/>
    <col min="1805" max="1806" width="11.42578125" style="157"/>
    <col min="1807" max="1807" width="10.7109375" style="157" customWidth="1"/>
    <col min="1808" max="1809" width="7.28515625" style="157" customWidth="1"/>
    <col min="1810" max="1810" width="17.140625" style="157" customWidth="1"/>
    <col min="1811" max="1811" width="13.85546875" style="157" customWidth="1"/>
    <col min="1812" max="2048" width="11.42578125" style="157"/>
    <col min="2049" max="2049" width="5.7109375" style="157" customWidth="1"/>
    <col min="2050" max="2050" width="21.7109375" style="157" customWidth="1"/>
    <col min="2051" max="2051" width="15.7109375" style="157" customWidth="1"/>
    <col min="2052" max="2052" width="15.85546875" style="157" customWidth="1"/>
    <col min="2053" max="2053" width="15.7109375" style="157" customWidth="1"/>
    <col min="2054" max="2056" width="15.85546875" style="157" customWidth="1"/>
    <col min="2057" max="2057" width="12.7109375" style="157" customWidth="1"/>
    <col min="2058" max="2058" width="12.85546875" style="157" customWidth="1"/>
    <col min="2059" max="2059" width="12.7109375" style="157" customWidth="1"/>
    <col min="2060" max="2060" width="13.5703125" style="157" customWidth="1"/>
    <col min="2061" max="2062" width="11.42578125" style="157"/>
    <col min="2063" max="2063" width="10.7109375" style="157" customWidth="1"/>
    <col min="2064" max="2065" width="7.28515625" style="157" customWidth="1"/>
    <col min="2066" max="2066" width="17.140625" style="157" customWidth="1"/>
    <col min="2067" max="2067" width="13.85546875" style="157" customWidth="1"/>
    <col min="2068" max="2304" width="11.42578125" style="157"/>
    <col min="2305" max="2305" width="5.7109375" style="157" customWidth="1"/>
    <col min="2306" max="2306" width="21.7109375" style="157" customWidth="1"/>
    <col min="2307" max="2307" width="15.7109375" style="157" customWidth="1"/>
    <col min="2308" max="2308" width="15.85546875" style="157" customWidth="1"/>
    <col min="2309" max="2309" width="15.7109375" style="157" customWidth="1"/>
    <col min="2310" max="2312" width="15.85546875" style="157" customWidth="1"/>
    <col min="2313" max="2313" width="12.7109375" style="157" customWidth="1"/>
    <col min="2314" max="2314" width="12.85546875" style="157" customWidth="1"/>
    <col min="2315" max="2315" width="12.7109375" style="157" customWidth="1"/>
    <col min="2316" max="2316" width="13.5703125" style="157" customWidth="1"/>
    <col min="2317" max="2318" width="11.42578125" style="157"/>
    <col min="2319" max="2319" width="10.7109375" style="157" customWidth="1"/>
    <col min="2320" max="2321" width="7.28515625" style="157" customWidth="1"/>
    <col min="2322" max="2322" width="17.140625" style="157" customWidth="1"/>
    <col min="2323" max="2323" width="13.85546875" style="157" customWidth="1"/>
    <col min="2324" max="2560" width="11.42578125" style="157"/>
    <col min="2561" max="2561" width="5.7109375" style="157" customWidth="1"/>
    <col min="2562" max="2562" width="21.7109375" style="157" customWidth="1"/>
    <col min="2563" max="2563" width="15.7109375" style="157" customWidth="1"/>
    <col min="2564" max="2564" width="15.85546875" style="157" customWidth="1"/>
    <col min="2565" max="2565" width="15.7109375" style="157" customWidth="1"/>
    <col min="2566" max="2568" width="15.85546875" style="157" customWidth="1"/>
    <col min="2569" max="2569" width="12.7109375" style="157" customWidth="1"/>
    <col min="2570" max="2570" width="12.85546875" style="157" customWidth="1"/>
    <col min="2571" max="2571" width="12.7109375" style="157" customWidth="1"/>
    <col min="2572" max="2572" width="13.5703125" style="157" customWidth="1"/>
    <col min="2573" max="2574" width="11.42578125" style="157"/>
    <col min="2575" max="2575" width="10.7109375" style="157" customWidth="1"/>
    <col min="2576" max="2577" width="7.28515625" style="157" customWidth="1"/>
    <col min="2578" max="2578" width="17.140625" style="157" customWidth="1"/>
    <col min="2579" max="2579" width="13.85546875" style="157" customWidth="1"/>
    <col min="2580" max="2816" width="11.42578125" style="157"/>
    <col min="2817" max="2817" width="5.7109375" style="157" customWidth="1"/>
    <col min="2818" max="2818" width="21.7109375" style="157" customWidth="1"/>
    <col min="2819" max="2819" width="15.7109375" style="157" customWidth="1"/>
    <col min="2820" max="2820" width="15.85546875" style="157" customWidth="1"/>
    <col min="2821" max="2821" width="15.7109375" style="157" customWidth="1"/>
    <col min="2822" max="2824" width="15.85546875" style="157" customWidth="1"/>
    <col min="2825" max="2825" width="12.7109375" style="157" customWidth="1"/>
    <col min="2826" max="2826" width="12.85546875" style="157" customWidth="1"/>
    <col min="2827" max="2827" width="12.7109375" style="157" customWidth="1"/>
    <col min="2828" max="2828" width="13.5703125" style="157" customWidth="1"/>
    <col min="2829" max="2830" width="11.42578125" style="157"/>
    <col min="2831" max="2831" width="10.7109375" style="157" customWidth="1"/>
    <col min="2832" max="2833" width="7.28515625" style="157" customWidth="1"/>
    <col min="2834" max="2834" width="17.140625" style="157" customWidth="1"/>
    <col min="2835" max="2835" width="13.85546875" style="157" customWidth="1"/>
    <col min="2836" max="3072" width="11.42578125" style="157"/>
    <col min="3073" max="3073" width="5.7109375" style="157" customWidth="1"/>
    <col min="3074" max="3074" width="21.7109375" style="157" customWidth="1"/>
    <col min="3075" max="3075" width="15.7109375" style="157" customWidth="1"/>
    <col min="3076" max="3076" width="15.85546875" style="157" customWidth="1"/>
    <col min="3077" max="3077" width="15.7109375" style="157" customWidth="1"/>
    <col min="3078" max="3080" width="15.85546875" style="157" customWidth="1"/>
    <col min="3081" max="3081" width="12.7109375" style="157" customWidth="1"/>
    <col min="3082" max="3082" width="12.85546875" style="157" customWidth="1"/>
    <col min="3083" max="3083" width="12.7109375" style="157" customWidth="1"/>
    <col min="3084" max="3084" width="13.5703125" style="157" customWidth="1"/>
    <col min="3085" max="3086" width="11.42578125" style="157"/>
    <col min="3087" max="3087" width="10.7109375" style="157" customWidth="1"/>
    <col min="3088" max="3089" width="7.28515625" style="157" customWidth="1"/>
    <col min="3090" max="3090" width="17.140625" style="157" customWidth="1"/>
    <col min="3091" max="3091" width="13.85546875" style="157" customWidth="1"/>
    <col min="3092" max="3328" width="11.42578125" style="157"/>
    <col min="3329" max="3329" width="5.7109375" style="157" customWidth="1"/>
    <col min="3330" max="3330" width="21.7109375" style="157" customWidth="1"/>
    <col min="3331" max="3331" width="15.7109375" style="157" customWidth="1"/>
    <col min="3332" max="3332" width="15.85546875" style="157" customWidth="1"/>
    <col min="3333" max="3333" width="15.7109375" style="157" customWidth="1"/>
    <col min="3334" max="3336" width="15.85546875" style="157" customWidth="1"/>
    <col min="3337" max="3337" width="12.7109375" style="157" customWidth="1"/>
    <col min="3338" max="3338" width="12.85546875" style="157" customWidth="1"/>
    <col min="3339" max="3339" width="12.7109375" style="157" customWidth="1"/>
    <col min="3340" max="3340" width="13.5703125" style="157" customWidth="1"/>
    <col min="3341" max="3342" width="11.42578125" style="157"/>
    <col min="3343" max="3343" width="10.7109375" style="157" customWidth="1"/>
    <col min="3344" max="3345" width="7.28515625" style="157" customWidth="1"/>
    <col min="3346" max="3346" width="17.140625" style="157" customWidth="1"/>
    <col min="3347" max="3347" width="13.85546875" style="157" customWidth="1"/>
    <col min="3348" max="3584" width="11.42578125" style="157"/>
    <col min="3585" max="3585" width="5.7109375" style="157" customWidth="1"/>
    <col min="3586" max="3586" width="21.7109375" style="157" customWidth="1"/>
    <col min="3587" max="3587" width="15.7109375" style="157" customWidth="1"/>
    <col min="3588" max="3588" width="15.85546875" style="157" customWidth="1"/>
    <col min="3589" max="3589" width="15.7109375" style="157" customWidth="1"/>
    <col min="3590" max="3592" width="15.85546875" style="157" customWidth="1"/>
    <col min="3593" max="3593" width="12.7109375" style="157" customWidth="1"/>
    <col min="3594" max="3594" width="12.85546875" style="157" customWidth="1"/>
    <col min="3595" max="3595" width="12.7109375" style="157" customWidth="1"/>
    <col min="3596" max="3596" width="13.5703125" style="157" customWidth="1"/>
    <col min="3597" max="3598" width="11.42578125" style="157"/>
    <col min="3599" max="3599" width="10.7109375" style="157" customWidth="1"/>
    <col min="3600" max="3601" width="7.28515625" style="157" customWidth="1"/>
    <col min="3602" max="3602" width="17.140625" style="157" customWidth="1"/>
    <col min="3603" max="3603" width="13.85546875" style="157" customWidth="1"/>
    <col min="3604" max="3840" width="11.42578125" style="157"/>
    <col min="3841" max="3841" width="5.7109375" style="157" customWidth="1"/>
    <col min="3842" max="3842" width="21.7109375" style="157" customWidth="1"/>
    <col min="3843" max="3843" width="15.7109375" style="157" customWidth="1"/>
    <col min="3844" max="3844" width="15.85546875" style="157" customWidth="1"/>
    <col min="3845" max="3845" width="15.7109375" style="157" customWidth="1"/>
    <col min="3846" max="3848" width="15.85546875" style="157" customWidth="1"/>
    <col min="3849" max="3849" width="12.7109375" style="157" customWidth="1"/>
    <col min="3850" max="3850" width="12.85546875" style="157" customWidth="1"/>
    <col min="3851" max="3851" width="12.7109375" style="157" customWidth="1"/>
    <col min="3852" max="3852" width="13.5703125" style="157" customWidth="1"/>
    <col min="3853" max="3854" width="11.42578125" style="157"/>
    <col min="3855" max="3855" width="10.7109375" style="157" customWidth="1"/>
    <col min="3856" max="3857" width="7.28515625" style="157" customWidth="1"/>
    <col min="3858" max="3858" width="17.140625" style="157" customWidth="1"/>
    <col min="3859" max="3859" width="13.85546875" style="157" customWidth="1"/>
    <col min="3860" max="4096" width="11.42578125" style="157"/>
    <col min="4097" max="4097" width="5.7109375" style="157" customWidth="1"/>
    <col min="4098" max="4098" width="21.7109375" style="157" customWidth="1"/>
    <col min="4099" max="4099" width="15.7109375" style="157" customWidth="1"/>
    <col min="4100" max="4100" width="15.85546875" style="157" customWidth="1"/>
    <col min="4101" max="4101" width="15.7109375" style="157" customWidth="1"/>
    <col min="4102" max="4104" width="15.85546875" style="157" customWidth="1"/>
    <col min="4105" max="4105" width="12.7109375" style="157" customWidth="1"/>
    <col min="4106" max="4106" width="12.85546875" style="157" customWidth="1"/>
    <col min="4107" max="4107" width="12.7109375" style="157" customWidth="1"/>
    <col min="4108" max="4108" width="13.5703125" style="157" customWidth="1"/>
    <col min="4109" max="4110" width="11.42578125" style="157"/>
    <col min="4111" max="4111" width="10.7109375" style="157" customWidth="1"/>
    <col min="4112" max="4113" width="7.28515625" style="157" customWidth="1"/>
    <col min="4114" max="4114" width="17.140625" style="157" customWidth="1"/>
    <col min="4115" max="4115" width="13.85546875" style="157" customWidth="1"/>
    <col min="4116" max="4352" width="11.42578125" style="157"/>
    <col min="4353" max="4353" width="5.7109375" style="157" customWidth="1"/>
    <col min="4354" max="4354" width="21.7109375" style="157" customWidth="1"/>
    <col min="4355" max="4355" width="15.7109375" style="157" customWidth="1"/>
    <col min="4356" max="4356" width="15.85546875" style="157" customWidth="1"/>
    <col min="4357" max="4357" width="15.7109375" style="157" customWidth="1"/>
    <col min="4358" max="4360" width="15.85546875" style="157" customWidth="1"/>
    <col min="4361" max="4361" width="12.7109375" style="157" customWidth="1"/>
    <col min="4362" max="4362" width="12.85546875" style="157" customWidth="1"/>
    <col min="4363" max="4363" width="12.7109375" style="157" customWidth="1"/>
    <col min="4364" max="4364" width="13.5703125" style="157" customWidth="1"/>
    <col min="4365" max="4366" width="11.42578125" style="157"/>
    <col min="4367" max="4367" width="10.7109375" style="157" customWidth="1"/>
    <col min="4368" max="4369" width="7.28515625" style="157" customWidth="1"/>
    <col min="4370" max="4370" width="17.140625" style="157" customWidth="1"/>
    <col min="4371" max="4371" width="13.85546875" style="157" customWidth="1"/>
    <col min="4372" max="4608" width="11.42578125" style="157"/>
    <col min="4609" max="4609" width="5.7109375" style="157" customWidth="1"/>
    <col min="4610" max="4610" width="21.7109375" style="157" customWidth="1"/>
    <col min="4611" max="4611" width="15.7109375" style="157" customWidth="1"/>
    <col min="4612" max="4612" width="15.85546875" style="157" customWidth="1"/>
    <col min="4613" max="4613" width="15.7109375" style="157" customWidth="1"/>
    <col min="4614" max="4616" width="15.85546875" style="157" customWidth="1"/>
    <col min="4617" max="4617" width="12.7109375" style="157" customWidth="1"/>
    <col min="4618" max="4618" width="12.85546875" style="157" customWidth="1"/>
    <col min="4619" max="4619" width="12.7109375" style="157" customWidth="1"/>
    <col min="4620" max="4620" width="13.5703125" style="157" customWidth="1"/>
    <col min="4621" max="4622" width="11.42578125" style="157"/>
    <col min="4623" max="4623" width="10.7109375" style="157" customWidth="1"/>
    <col min="4624" max="4625" width="7.28515625" style="157" customWidth="1"/>
    <col min="4626" max="4626" width="17.140625" style="157" customWidth="1"/>
    <col min="4627" max="4627" width="13.85546875" style="157" customWidth="1"/>
    <col min="4628" max="4864" width="11.42578125" style="157"/>
    <col min="4865" max="4865" width="5.7109375" style="157" customWidth="1"/>
    <col min="4866" max="4866" width="21.7109375" style="157" customWidth="1"/>
    <col min="4867" max="4867" width="15.7109375" style="157" customWidth="1"/>
    <col min="4868" max="4868" width="15.85546875" style="157" customWidth="1"/>
    <col min="4869" max="4869" width="15.7109375" style="157" customWidth="1"/>
    <col min="4870" max="4872" width="15.85546875" style="157" customWidth="1"/>
    <col min="4873" max="4873" width="12.7109375" style="157" customWidth="1"/>
    <col min="4874" max="4874" width="12.85546875" style="157" customWidth="1"/>
    <col min="4875" max="4875" width="12.7109375" style="157" customWidth="1"/>
    <col min="4876" max="4876" width="13.5703125" style="157" customWidth="1"/>
    <col min="4877" max="4878" width="11.42578125" style="157"/>
    <col min="4879" max="4879" width="10.7109375" style="157" customWidth="1"/>
    <col min="4880" max="4881" width="7.28515625" style="157" customWidth="1"/>
    <col min="4882" max="4882" width="17.140625" style="157" customWidth="1"/>
    <col min="4883" max="4883" width="13.85546875" style="157" customWidth="1"/>
    <col min="4884" max="5120" width="11.42578125" style="157"/>
    <col min="5121" max="5121" width="5.7109375" style="157" customWidth="1"/>
    <col min="5122" max="5122" width="21.7109375" style="157" customWidth="1"/>
    <col min="5123" max="5123" width="15.7109375" style="157" customWidth="1"/>
    <col min="5124" max="5124" width="15.85546875" style="157" customWidth="1"/>
    <col min="5125" max="5125" width="15.7109375" style="157" customWidth="1"/>
    <col min="5126" max="5128" width="15.85546875" style="157" customWidth="1"/>
    <col min="5129" max="5129" width="12.7109375" style="157" customWidth="1"/>
    <col min="5130" max="5130" width="12.85546875" style="157" customWidth="1"/>
    <col min="5131" max="5131" width="12.7109375" style="157" customWidth="1"/>
    <col min="5132" max="5132" width="13.5703125" style="157" customWidth="1"/>
    <col min="5133" max="5134" width="11.42578125" style="157"/>
    <col min="5135" max="5135" width="10.7109375" style="157" customWidth="1"/>
    <col min="5136" max="5137" width="7.28515625" style="157" customWidth="1"/>
    <col min="5138" max="5138" width="17.140625" style="157" customWidth="1"/>
    <col min="5139" max="5139" width="13.85546875" style="157" customWidth="1"/>
    <col min="5140" max="5376" width="11.42578125" style="157"/>
    <col min="5377" max="5377" width="5.7109375" style="157" customWidth="1"/>
    <col min="5378" max="5378" width="21.7109375" style="157" customWidth="1"/>
    <col min="5379" max="5379" width="15.7109375" style="157" customWidth="1"/>
    <col min="5380" max="5380" width="15.85546875" style="157" customWidth="1"/>
    <col min="5381" max="5381" width="15.7109375" style="157" customWidth="1"/>
    <col min="5382" max="5384" width="15.85546875" style="157" customWidth="1"/>
    <col min="5385" max="5385" width="12.7109375" style="157" customWidth="1"/>
    <col min="5386" max="5386" width="12.85546875" style="157" customWidth="1"/>
    <col min="5387" max="5387" width="12.7109375" style="157" customWidth="1"/>
    <col min="5388" max="5388" width="13.5703125" style="157" customWidth="1"/>
    <col min="5389" max="5390" width="11.42578125" style="157"/>
    <col min="5391" max="5391" width="10.7109375" style="157" customWidth="1"/>
    <col min="5392" max="5393" width="7.28515625" style="157" customWidth="1"/>
    <col min="5394" max="5394" width="17.140625" style="157" customWidth="1"/>
    <col min="5395" max="5395" width="13.85546875" style="157" customWidth="1"/>
    <col min="5396" max="5632" width="11.42578125" style="157"/>
    <col min="5633" max="5633" width="5.7109375" style="157" customWidth="1"/>
    <col min="5634" max="5634" width="21.7109375" style="157" customWidth="1"/>
    <col min="5635" max="5635" width="15.7109375" style="157" customWidth="1"/>
    <col min="5636" max="5636" width="15.85546875" style="157" customWidth="1"/>
    <col min="5637" max="5637" width="15.7109375" style="157" customWidth="1"/>
    <col min="5638" max="5640" width="15.85546875" style="157" customWidth="1"/>
    <col min="5641" max="5641" width="12.7109375" style="157" customWidth="1"/>
    <col min="5642" max="5642" width="12.85546875" style="157" customWidth="1"/>
    <col min="5643" max="5643" width="12.7109375" style="157" customWidth="1"/>
    <col min="5644" max="5644" width="13.5703125" style="157" customWidth="1"/>
    <col min="5645" max="5646" width="11.42578125" style="157"/>
    <col min="5647" max="5647" width="10.7109375" style="157" customWidth="1"/>
    <col min="5648" max="5649" width="7.28515625" style="157" customWidth="1"/>
    <col min="5650" max="5650" width="17.140625" style="157" customWidth="1"/>
    <col min="5651" max="5651" width="13.85546875" style="157" customWidth="1"/>
    <col min="5652" max="5888" width="11.42578125" style="157"/>
    <col min="5889" max="5889" width="5.7109375" style="157" customWidth="1"/>
    <col min="5890" max="5890" width="21.7109375" style="157" customWidth="1"/>
    <col min="5891" max="5891" width="15.7109375" style="157" customWidth="1"/>
    <col min="5892" max="5892" width="15.85546875" style="157" customWidth="1"/>
    <col min="5893" max="5893" width="15.7109375" style="157" customWidth="1"/>
    <col min="5894" max="5896" width="15.85546875" style="157" customWidth="1"/>
    <col min="5897" max="5897" width="12.7109375" style="157" customWidth="1"/>
    <col min="5898" max="5898" width="12.85546875" style="157" customWidth="1"/>
    <col min="5899" max="5899" width="12.7109375" style="157" customWidth="1"/>
    <col min="5900" max="5900" width="13.5703125" style="157" customWidth="1"/>
    <col min="5901" max="5902" width="11.42578125" style="157"/>
    <col min="5903" max="5903" width="10.7109375" style="157" customWidth="1"/>
    <col min="5904" max="5905" width="7.28515625" style="157" customWidth="1"/>
    <col min="5906" max="5906" width="17.140625" style="157" customWidth="1"/>
    <col min="5907" max="5907" width="13.85546875" style="157" customWidth="1"/>
    <col min="5908" max="6144" width="11.42578125" style="157"/>
    <col min="6145" max="6145" width="5.7109375" style="157" customWidth="1"/>
    <col min="6146" max="6146" width="21.7109375" style="157" customWidth="1"/>
    <col min="6147" max="6147" width="15.7109375" style="157" customWidth="1"/>
    <col min="6148" max="6148" width="15.85546875" style="157" customWidth="1"/>
    <col min="6149" max="6149" width="15.7109375" style="157" customWidth="1"/>
    <col min="6150" max="6152" width="15.85546875" style="157" customWidth="1"/>
    <col min="6153" max="6153" width="12.7109375" style="157" customWidth="1"/>
    <col min="6154" max="6154" width="12.85546875" style="157" customWidth="1"/>
    <col min="6155" max="6155" width="12.7109375" style="157" customWidth="1"/>
    <col min="6156" max="6156" width="13.5703125" style="157" customWidth="1"/>
    <col min="6157" max="6158" width="11.42578125" style="157"/>
    <col min="6159" max="6159" width="10.7109375" style="157" customWidth="1"/>
    <col min="6160" max="6161" width="7.28515625" style="157" customWidth="1"/>
    <col min="6162" max="6162" width="17.140625" style="157" customWidth="1"/>
    <col min="6163" max="6163" width="13.85546875" style="157" customWidth="1"/>
    <col min="6164" max="6400" width="11.42578125" style="157"/>
    <col min="6401" max="6401" width="5.7109375" style="157" customWidth="1"/>
    <col min="6402" max="6402" width="21.7109375" style="157" customWidth="1"/>
    <col min="6403" max="6403" width="15.7109375" style="157" customWidth="1"/>
    <col min="6404" max="6404" width="15.85546875" style="157" customWidth="1"/>
    <col min="6405" max="6405" width="15.7109375" style="157" customWidth="1"/>
    <col min="6406" max="6408" width="15.85546875" style="157" customWidth="1"/>
    <col min="6409" max="6409" width="12.7109375" style="157" customWidth="1"/>
    <col min="6410" max="6410" width="12.85546875" style="157" customWidth="1"/>
    <col min="6411" max="6411" width="12.7109375" style="157" customWidth="1"/>
    <col min="6412" max="6412" width="13.5703125" style="157" customWidth="1"/>
    <col min="6413" max="6414" width="11.42578125" style="157"/>
    <col min="6415" max="6415" width="10.7109375" style="157" customWidth="1"/>
    <col min="6416" max="6417" width="7.28515625" style="157" customWidth="1"/>
    <col min="6418" max="6418" width="17.140625" style="157" customWidth="1"/>
    <col min="6419" max="6419" width="13.85546875" style="157" customWidth="1"/>
    <col min="6420" max="6656" width="11.42578125" style="157"/>
    <col min="6657" max="6657" width="5.7109375" style="157" customWidth="1"/>
    <col min="6658" max="6658" width="21.7109375" style="157" customWidth="1"/>
    <col min="6659" max="6659" width="15.7109375" style="157" customWidth="1"/>
    <col min="6660" max="6660" width="15.85546875" style="157" customWidth="1"/>
    <col min="6661" max="6661" width="15.7109375" style="157" customWidth="1"/>
    <col min="6662" max="6664" width="15.85546875" style="157" customWidth="1"/>
    <col min="6665" max="6665" width="12.7109375" style="157" customWidth="1"/>
    <col min="6666" max="6666" width="12.85546875" style="157" customWidth="1"/>
    <col min="6667" max="6667" width="12.7109375" style="157" customWidth="1"/>
    <col min="6668" max="6668" width="13.5703125" style="157" customWidth="1"/>
    <col min="6669" max="6670" width="11.42578125" style="157"/>
    <col min="6671" max="6671" width="10.7109375" style="157" customWidth="1"/>
    <col min="6672" max="6673" width="7.28515625" style="157" customWidth="1"/>
    <col min="6674" max="6674" width="17.140625" style="157" customWidth="1"/>
    <col min="6675" max="6675" width="13.85546875" style="157" customWidth="1"/>
    <col min="6676" max="6912" width="11.42578125" style="157"/>
    <col min="6913" max="6913" width="5.7109375" style="157" customWidth="1"/>
    <col min="6914" max="6914" width="21.7109375" style="157" customWidth="1"/>
    <col min="6915" max="6915" width="15.7109375" style="157" customWidth="1"/>
    <col min="6916" max="6916" width="15.85546875" style="157" customWidth="1"/>
    <col min="6917" max="6917" width="15.7109375" style="157" customWidth="1"/>
    <col min="6918" max="6920" width="15.85546875" style="157" customWidth="1"/>
    <col min="6921" max="6921" width="12.7109375" style="157" customWidth="1"/>
    <col min="6922" max="6922" width="12.85546875" style="157" customWidth="1"/>
    <col min="6923" max="6923" width="12.7109375" style="157" customWidth="1"/>
    <col min="6924" max="6924" width="13.5703125" style="157" customWidth="1"/>
    <col min="6925" max="6926" width="11.42578125" style="157"/>
    <col min="6927" max="6927" width="10.7109375" style="157" customWidth="1"/>
    <col min="6928" max="6929" width="7.28515625" style="157" customWidth="1"/>
    <col min="6930" max="6930" width="17.140625" style="157" customWidth="1"/>
    <col min="6931" max="6931" width="13.85546875" style="157" customWidth="1"/>
    <col min="6932" max="7168" width="11.42578125" style="157"/>
    <col min="7169" max="7169" width="5.7109375" style="157" customWidth="1"/>
    <col min="7170" max="7170" width="21.7109375" style="157" customWidth="1"/>
    <col min="7171" max="7171" width="15.7109375" style="157" customWidth="1"/>
    <col min="7172" max="7172" width="15.85546875" style="157" customWidth="1"/>
    <col min="7173" max="7173" width="15.7109375" style="157" customWidth="1"/>
    <col min="7174" max="7176" width="15.85546875" style="157" customWidth="1"/>
    <col min="7177" max="7177" width="12.7109375" style="157" customWidth="1"/>
    <col min="7178" max="7178" width="12.85546875" style="157" customWidth="1"/>
    <col min="7179" max="7179" width="12.7109375" style="157" customWidth="1"/>
    <col min="7180" max="7180" width="13.5703125" style="157" customWidth="1"/>
    <col min="7181" max="7182" width="11.42578125" style="157"/>
    <col min="7183" max="7183" width="10.7109375" style="157" customWidth="1"/>
    <col min="7184" max="7185" width="7.28515625" style="157" customWidth="1"/>
    <col min="7186" max="7186" width="17.140625" style="157" customWidth="1"/>
    <col min="7187" max="7187" width="13.85546875" style="157" customWidth="1"/>
    <col min="7188" max="7424" width="11.42578125" style="157"/>
    <col min="7425" max="7425" width="5.7109375" style="157" customWidth="1"/>
    <col min="7426" max="7426" width="21.7109375" style="157" customWidth="1"/>
    <col min="7427" max="7427" width="15.7109375" style="157" customWidth="1"/>
    <col min="7428" max="7428" width="15.85546875" style="157" customWidth="1"/>
    <col min="7429" max="7429" width="15.7109375" style="157" customWidth="1"/>
    <col min="7430" max="7432" width="15.85546875" style="157" customWidth="1"/>
    <col min="7433" max="7433" width="12.7109375" style="157" customWidth="1"/>
    <col min="7434" max="7434" width="12.85546875" style="157" customWidth="1"/>
    <col min="7435" max="7435" width="12.7109375" style="157" customWidth="1"/>
    <col min="7436" max="7436" width="13.5703125" style="157" customWidth="1"/>
    <col min="7437" max="7438" width="11.42578125" style="157"/>
    <col min="7439" max="7439" width="10.7109375" style="157" customWidth="1"/>
    <col min="7440" max="7441" width="7.28515625" style="157" customWidth="1"/>
    <col min="7442" max="7442" width="17.140625" style="157" customWidth="1"/>
    <col min="7443" max="7443" width="13.85546875" style="157" customWidth="1"/>
    <col min="7444" max="7680" width="11.42578125" style="157"/>
    <col min="7681" max="7681" width="5.7109375" style="157" customWidth="1"/>
    <col min="7682" max="7682" width="21.7109375" style="157" customWidth="1"/>
    <col min="7683" max="7683" width="15.7109375" style="157" customWidth="1"/>
    <col min="7684" max="7684" width="15.85546875" style="157" customWidth="1"/>
    <col min="7685" max="7685" width="15.7109375" style="157" customWidth="1"/>
    <col min="7686" max="7688" width="15.85546875" style="157" customWidth="1"/>
    <col min="7689" max="7689" width="12.7109375" style="157" customWidth="1"/>
    <col min="7690" max="7690" width="12.85546875" style="157" customWidth="1"/>
    <col min="7691" max="7691" width="12.7109375" style="157" customWidth="1"/>
    <col min="7692" max="7692" width="13.5703125" style="157" customWidth="1"/>
    <col min="7693" max="7694" width="11.42578125" style="157"/>
    <col min="7695" max="7695" width="10.7109375" style="157" customWidth="1"/>
    <col min="7696" max="7697" width="7.28515625" style="157" customWidth="1"/>
    <col min="7698" max="7698" width="17.140625" style="157" customWidth="1"/>
    <col min="7699" max="7699" width="13.85546875" style="157" customWidth="1"/>
    <col min="7700" max="7936" width="11.42578125" style="157"/>
    <col min="7937" max="7937" width="5.7109375" style="157" customWidth="1"/>
    <col min="7938" max="7938" width="21.7109375" style="157" customWidth="1"/>
    <col min="7939" max="7939" width="15.7109375" style="157" customWidth="1"/>
    <col min="7940" max="7940" width="15.85546875" style="157" customWidth="1"/>
    <col min="7941" max="7941" width="15.7109375" style="157" customWidth="1"/>
    <col min="7942" max="7944" width="15.85546875" style="157" customWidth="1"/>
    <col min="7945" max="7945" width="12.7109375" style="157" customWidth="1"/>
    <col min="7946" max="7946" width="12.85546875" style="157" customWidth="1"/>
    <col min="7947" max="7947" width="12.7109375" style="157" customWidth="1"/>
    <col min="7948" max="7948" width="13.5703125" style="157" customWidth="1"/>
    <col min="7949" max="7950" width="11.42578125" style="157"/>
    <col min="7951" max="7951" width="10.7109375" style="157" customWidth="1"/>
    <col min="7952" max="7953" width="7.28515625" style="157" customWidth="1"/>
    <col min="7954" max="7954" width="17.140625" style="157" customWidth="1"/>
    <col min="7955" max="7955" width="13.85546875" style="157" customWidth="1"/>
    <col min="7956" max="8192" width="11.42578125" style="157"/>
    <col min="8193" max="8193" width="5.7109375" style="157" customWidth="1"/>
    <col min="8194" max="8194" width="21.7109375" style="157" customWidth="1"/>
    <col min="8195" max="8195" width="15.7109375" style="157" customWidth="1"/>
    <col min="8196" max="8196" width="15.85546875" style="157" customWidth="1"/>
    <col min="8197" max="8197" width="15.7109375" style="157" customWidth="1"/>
    <col min="8198" max="8200" width="15.85546875" style="157" customWidth="1"/>
    <col min="8201" max="8201" width="12.7109375" style="157" customWidth="1"/>
    <col min="8202" max="8202" width="12.85546875" style="157" customWidth="1"/>
    <col min="8203" max="8203" width="12.7109375" style="157" customWidth="1"/>
    <col min="8204" max="8204" width="13.5703125" style="157" customWidth="1"/>
    <col min="8205" max="8206" width="11.42578125" style="157"/>
    <col min="8207" max="8207" width="10.7109375" style="157" customWidth="1"/>
    <col min="8208" max="8209" width="7.28515625" style="157" customWidth="1"/>
    <col min="8210" max="8210" width="17.140625" style="157" customWidth="1"/>
    <col min="8211" max="8211" width="13.85546875" style="157" customWidth="1"/>
    <col min="8212" max="8448" width="11.42578125" style="157"/>
    <col min="8449" max="8449" width="5.7109375" style="157" customWidth="1"/>
    <col min="8450" max="8450" width="21.7109375" style="157" customWidth="1"/>
    <col min="8451" max="8451" width="15.7109375" style="157" customWidth="1"/>
    <col min="8452" max="8452" width="15.85546875" style="157" customWidth="1"/>
    <col min="8453" max="8453" width="15.7109375" style="157" customWidth="1"/>
    <col min="8454" max="8456" width="15.85546875" style="157" customWidth="1"/>
    <col min="8457" max="8457" width="12.7109375" style="157" customWidth="1"/>
    <col min="8458" max="8458" width="12.85546875" style="157" customWidth="1"/>
    <col min="8459" max="8459" width="12.7109375" style="157" customWidth="1"/>
    <col min="8460" max="8460" width="13.5703125" style="157" customWidth="1"/>
    <col min="8461" max="8462" width="11.42578125" style="157"/>
    <col min="8463" max="8463" width="10.7109375" style="157" customWidth="1"/>
    <col min="8464" max="8465" width="7.28515625" style="157" customWidth="1"/>
    <col min="8466" max="8466" width="17.140625" style="157" customWidth="1"/>
    <col min="8467" max="8467" width="13.85546875" style="157" customWidth="1"/>
    <col min="8468" max="8704" width="11.42578125" style="157"/>
    <col min="8705" max="8705" width="5.7109375" style="157" customWidth="1"/>
    <col min="8706" max="8706" width="21.7109375" style="157" customWidth="1"/>
    <col min="8707" max="8707" width="15.7109375" style="157" customWidth="1"/>
    <col min="8708" max="8708" width="15.85546875" style="157" customWidth="1"/>
    <col min="8709" max="8709" width="15.7109375" style="157" customWidth="1"/>
    <col min="8710" max="8712" width="15.85546875" style="157" customWidth="1"/>
    <col min="8713" max="8713" width="12.7109375" style="157" customWidth="1"/>
    <col min="8714" max="8714" width="12.85546875" style="157" customWidth="1"/>
    <col min="8715" max="8715" width="12.7109375" style="157" customWidth="1"/>
    <col min="8716" max="8716" width="13.5703125" style="157" customWidth="1"/>
    <col min="8717" max="8718" width="11.42578125" style="157"/>
    <col min="8719" max="8719" width="10.7109375" style="157" customWidth="1"/>
    <col min="8720" max="8721" width="7.28515625" style="157" customWidth="1"/>
    <col min="8722" max="8722" width="17.140625" style="157" customWidth="1"/>
    <col min="8723" max="8723" width="13.85546875" style="157" customWidth="1"/>
    <col min="8724" max="8960" width="11.42578125" style="157"/>
    <col min="8961" max="8961" width="5.7109375" style="157" customWidth="1"/>
    <col min="8962" max="8962" width="21.7109375" style="157" customWidth="1"/>
    <col min="8963" max="8963" width="15.7109375" style="157" customWidth="1"/>
    <col min="8964" max="8964" width="15.85546875" style="157" customWidth="1"/>
    <col min="8965" max="8965" width="15.7109375" style="157" customWidth="1"/>
    <col min="8966" max="8968" width="15.85546875" style="157" customWidth="1"/>
    <col min="8969" max="8969" width="12.7109375" style="157" customWidth="1"/>
    <col min="8970" max="8970" width="12.85546875" style="157" customWidth="1"/>
    <col min="8971" max="8971" width="12.7109375" style="157" customWidth="1"/>
    <col min="8972" max="8972" width="13.5703125" style="157" customWidth="1"/>
    <col min="8973" max="8974" width="11.42578125" style="157"/>
    <col min="8975" max="8975" width="10.7109375" style="157" customWidth="1"/>
    <col min="8976" max="8977" width="7.28515625" style="157" customWidth="1"/>
    <col min="8978" max="8978" width="17.140625" style="157" customWidth="1"/>
    <col min="8979" max="8979" width="13.85546875" style="157" customWidth="1"/>
    <col min="8980" max="9216" width="11.42578125" style="157"/>
    <col min="9217" max="9217" width="5.7109375" style="157" customWidth="1"/>
    <col min="9218" max="9218" width="21.7109375" style="157" customWidth="1"/>
    <col min="9219" max="9219" width="15.7109375" style="157" customWidth="1"/>
    <col min="9220" max="9220" width="15.85546875" style="157" customWidth="1"/>
    <col min="9221" max="9221" width="15.7109375" style="157" customWidth="1"/>
    <col min="9222" max="9224" width="15.85546875" style="157" customWidth="1"/>
    <col min="9225" max="9225" width="12.7109375" style="157" customWidth="1"/>
    <col min="9226" max="9226" width="12.85546875" style="157" customWidth="1"/>
    <col min="9227" max="9227" width="12.7109375" style="157" customWidth="1"/>
    <col min="9228" max="9228" width="13.5703125" style="157" customWidth="1"/>
    <col min="9229" max="9230" width="11.42578125" style="157"/>
    <col min="9231" max="9231" width="10.7109375" style="157" customWidth="1"/>
    <col min="9232" max="9233" width="7.28515625" style="157" customWidth="1"/>
    <col min="9234" max="9234" width="17.140625" style="157" customWidth="1"/>
    <col min="9235" max="9235" width="13.85546875" style="157" customWidth="1"/>
    <col min="9236" max="9472" width="11.42578125" style="157"/>
    <col min="9473" max="9473" width="5.7109375" style="157" customWidth="1"/>
    <col min="9474" max="9474" width="21.7109375" style="157" customWidth="1"/>
    <col min="9475" max="9475" width="15.7109375" style="157" customWidth="1"/>
    <col min="9476" max="9476" width="15.85546875" style="157" customWidth="1"/>
    <col min="9477" max="9477" width="15.7109375" style="157" customWidth="1"/>
    <col min="9478" max="9480" width="15.85546875" style="157" customWidth="1"/>
    <col min="9481" max="9481" width="12.7109375" style="157" customWidth="1"/>
    <col min="9482" max="9482" width="12.85546875" style="157" customWidth="1"/>
    <col min="9483" max="9483" width="12.7109375" style="157" customWidth="1"/>
    <col min="9484" max="9484" width="13.5703125" style="157" customWidth="1"/>
    <col min="9485" max="9486" width="11.42578125" style="157"/>
    <col min="9487" max="9487" width="10.7109375" style="157" customWidth="1"/>
    <col min="9488" max="9489" width="7.28515625" style="157" customWidth="1"/>
    <col min="9490" max="9490" width="17.140625" style="157" customWidth="1"/>
    <col min="9491" max="9491" width="13.85546875" style="157" customWidth="1"/>
    <col min="9492" max="9728" width="11.42578125" style="157"/>
    <col min="9729" max="9729" width="5.7109375" style="157" customWidth="1"/>
    <col min="9730" max="9730" width="21.7109375" style="157" customWidth="1"/>
    <col min="9731" max="9731" width="15.7109375" style="157" customWidth="1"/>
    <col min="9732" max="9732" width="15.85546875" style="157" customWidth="1"/>
    <col min="9733" max="9733" width="15.7109375" style="157" customWidth="1"/>
    <col min="9734" max="9736" width="15.85546875" style="157" customWidth="1"/>
    <col min="9737" max="9737" width="12.7109375" style="157" customWidth="1"/>
    <col min="9738" max="9738" width="12.85546875" style="157" customWidth="1"/>
    <col min="9739" max="9739" width="12.7109375" style="157" customWidth="1"/>
    <col min="9740" max="9740" width="13.5703125" style="157" customWidth="1"/>
    <col min="9741" max="9742" width="11.42578125" style="157"/>
    <col min="9743" max="9743" width="10.7109375" style="157" customWidth="1"/>
    <col min="9744" max="9745" width="7.28515625" style="157" customWidth="1"/>
    <col min="9746" max="9746" width="17.140625" style="157" customWidth="1"/>
    <col min="9747" max="9747" width="13.85546875" style="157" customWidth="1"/>
    <col min="9748" max="9984" width="11.42578125" style="157"/>
    <col min="9985" max="9985" width="5.7109375" style="157" customWidth="1"/>
    <col min="9986" max="9986" width="21.7109375" style="157" customWidth="1"/>
    <col min="9987" max="9987" width="15.7109375" style="157" customWidth="1"/>
    <col min="9988" max="9988" width="15.85546875" style="157" customWidth="1"/>
    <col min="9989" max="9989" width="15.7109375" style="157" customWidth="1"/>
    <col min="9990" max="9992" width="15.85546875" style="157" customWidth="1"/>
    <col min="9993" max="9993" width="12.7109375" style="157" customWidth="1"/>
    <col min="9994" max="9994" width="12.85546875" style="157" customWidth="1"/>
    <col min="9995" max="9995" width="12.7109375" style="157" customWidth="1"/>
    <col min="9996" max="9996" width="13.5703125" style="157" customWidth="1"/>
    <col min="9997" max="9998" width="11.42578125" style="157"/>
    <col min="9999" max="9999" width="10.7109375" style="157" customWidth="1"/>
    <col min="10000" max="10001" width="7.28515625" style="157" customWidth="1"/>
    <col min="10002" max="10002" width="17.140625" style="157" customWidth="1"/>
    <col min="10003" max="10003" width="13.85546875" style="157" customWidth="1"/>
    <col min="10004" max="10240" width="11.42578125" style="157"/>
    <col min="10241" max="10241" width="5.7109375" style="157" customWidth="1"/>
    <col min="10242" max="10242" width="21.7109375" style="157" customWidth="1"/>
    <col min="10243" max="10243" width="15.7109375" style="157" customWidth="1"/>
    <col min="10244" max="10244" width="15.85546875" style="157" customWidth="1"/>
    <col min="10245" max="10245" width="15.7109375" style="157" customWidth="1"/>
    <col min="10246" max="10248" width="15.85546875" style="157" customWidth="1"/>
    <col min="10249" max="10249" width="12.7109375" style="157" customWidth="1"/>
    <col min="10250" max="10250" width="12.85546875" style="157" customWidth="1"/>
    <col min="10251" max="10251" width="12.7109375" style="157" customWidth="1"/>
    <col min="10252" max="10252" width="13.5703125" style="157" customWidth="1"/>
    <col min="10253" max="10254" width="11.42578125" style="157"/>
    <col min="10255" max="10255" width="10.7109375" style="157" customWidth="1"/>
    <col min="10256" max="10257" width="7.28515625" style="157" customWidth="1"/>
    <col min="10258" max="10258" width="17.140625" style="157" customWidth="1"/>
    <col min="10259" max="10259" width="13.85546875" style="157" customWidth="1"/>
    <col min="10260" max="10496" width="11.42578125" style="157"/>
    <col min="10497" max="10497" width="5.7109375" style="157" customWidth="1"/>
    <col min="10498" max="10498" width="21.7109375" style="157" customWidth="1"/>
    <col min="10499" max="10499" width="15.7109375" style="157" customWidth="1"/>
    <col min="10500" max="10500" width="15.85546875" style="157" customWidth="1"/>
    <col min="10501" max="10501" width="15.7109375" style="157" customWidth="1"/>
    <col min="10502" max="10504" width="15.85546875" style="157" customWidth="1"/>
    <col min="10505" max="10505" width="12.7109375" style="157" customWidth="1"/>
    <col min="10506" max="10506" width="12.85546875" style="157" customWidth="1"/>
    <col min="10507" max="10507" width="12.7109375" style="157" customWidth="1"/>
    <col min="10508" max="10508" width="13.5703125" style="157" customWidth="1"/>
    <col min="10509" max="10510" width="11.42578125" style="157"/>
    <col min="10511" max="10511" width="10.7109375" style="157" customWidth="1"/>
    <col min="10512" max="10513" width="7.28515625" style="157" customWidth="1"/>
    <col min="10514" max="10514" width="17.140625" style="157" customWidth="1"/>
    <col min="10515" max="10515" width="13.85546875" style="157" customWidth="1"/>
    <col min="10516" max="10752" width="11.42578125" style="157"/>
    <col min="10753" max="10753" width="5.7109375" style="157" customWidth="1"/>
    <col min="10754" max="10754" width="21.7109375" style="157" customWidth="1"/>
    <col min="10755" max="10755" width="15.7109375" style="157" customWidth="1"/>
    <col min="10756" max="10756" width="15.85546875" style="157" customWidth="1"/>
    <col min="10757" max="10757" width="15.7109375" style="157" customWidth="1"/>
    <col min="10758" max="10760" width="15.85546875" style="157" customWidth="1"/>
    <col min="10761" max="10761" width="12.7109375" style="157" customWidth="1"/>
    <col min="10762" max="10762" width="12.85546875" style="157" customWidth="1"/>
    <col min="10763" max="10763" width="12.7109375" style="157" customWidth="1"/>
    <col min="10764" max="10764" width="13.5703125" style="157" customWidth="1"/>
    <col min="10765" max="10766" width="11.42578125" style="157"/>
    <col min="10767" max="10767" width="10.7109375" style="157" customWidth="1"/>
    <col min="10768" max="10769" width="7.28515625" style="157" customWidth="1"/>
    <col min="10770" max="10770" width="17.140625" style="157" customWidth="1"/>
    <col min="10771" max="10771" width="13.85546875" style="157" customWidth="1"/>
    <col min="10772" max="11008" width="11.42578125" style="157"/>
    <col min="11009" max="11009" width="5.7109375" style="157" customWidth="1"/>
    <col min="11010" max="11010" width="21.7109375" style="157" customWidth="1"/>
    <col min="11011" max="11011" width="15.7109375" style="157" customWidth="1"/>
    <col min="11012" max="11012" width="15.85546875" style="157" customWidth="1"/>
    <col min="11013" max="11013" width="15.7109375" style="157" customWidth="1"/>
    <col min="11014" max="11016" width="15.85546875" style="157" customWidth="1"/>
    <col min="11017" max="11017" width="12.7109375" style="157" customWidth="1"/>
    <col min="11018" max="11018" width="12.85546875" style="157" customWidth="1"/>
    <col min="11019" max="11019" width="12.7109375" style="157" customWidth="1"/>
    <col min="11020" max="11020" width="13.5703125" style="157" customWidth="1"/>
    <col min="11021" max="11022" width="11.42578125" style="157"/>
    <col min="11023" max="11023" width="10.7109375" style="157" customWidth="1"/>
    <col min="11024" max="11025" width="7.28515625" style="157" customWidth="1"/>
    <col min="11026" max="11026" width="17.140625" style="157" customWidth="1"/>
    <col min="11027" max="11027" width="13.85546875" style="157" customWidth="1"/>
    <col min="11028" max="11264" width="11.42578125" style="157"/>
    <col min="11265" max="11265" width="5.7109375" style="157" customWidth="1"/>
    <col min="11266" max="11266" width="21.7109375" style="157" customWidth="1"/>
    <col min="11267" max="11267" width="15.7109375" style="157" customWidth="1"/>
    <col min="11268" max="11268" width="15.85546875" style="157" customWidth="1"/>
    <col min="11269" max="11269" width="15.7109375" style="157" customWidth="1"/>
    <col min="11270" max="11272" width="15.85546875" style="157" customWidth="1"/>
    <col min="11273" max="11273" width="12.7109375" style="157" customWidth="1"/>
    <col min="11274" max="11274" width="12.85546875" style="157" customWidth="1"/>
    <col min="11275" max="11275" width="12.7109375" style="157" customWidth="1"/>
    <col min="11276" max="11276" width="13.5703125" style="157" customWidth="1"/>
    <col min="11277" max="11278" width="11.42578125" style="157"/>
    <col min="11279" max="11279" width="10.7109375" style="157" customWidth="1"/>
    <col min="11280" max="11281" width="7.28515625" style="157" customWidth="1"/>
    <col min="11282" max="11282" width="17.140625" style="157" customWidth="1"/>
    <col min="11283" max="11283" width="13.85546875" style="157" customWidth="1"/>
    <col min="11284" max="11520" width="11.42578125" style="157"/>
    <col min="11521" max="11521" width="5.7109375" style="157" customWidth="1"/>
    <col min="11522" max="11522" width="21.7109375" style="157" customWidth="1"/>
    <col min="11523" max="11523" width="15.7109375" style="157" customWidth="1"/>
    <col min="11524" max="11524" width="15.85546875" style="157" customWidth="1"/>
    <col min="11525" max="11525" width="15.7109375" style="157" customWidth="1"/>
    <col min="11526" max="11528" width="15.85546875" style="157" customWidth="1"/>
    <col min="11529" max="11529" width="12.7109375" style="157" customWidth="1"/>
    <col min="11530" max="11530" width="12.85546875" style="157" customWidth="1"/>
    <col min="11531" max="11531" width="12.7109375" style="157" customWidth="1"/>
    <col min="11532" max="11532" width="13.5703125" style="157" customWidth="1"/>
    <col min="11533" max="11534" width="11.42578125" style="157"/>
    <col min="11535" max="11535" width="10.7109375" style="157" customWidth="1"/>
    <col min="11536" max="11537" width="7.28515625" style="157" customWidth="1"/>
    <col min="11538" max="11538" width="17.140625" style="157" customWidth="1"/>
    <col min="11539" max="11539" width="13.85546875" style="157" customWidth="1"/>
    <col min="11540" max="11776" width="11.42578125" style="157"/>
    <col min="11777" max="11777" width="5.7109375" style="157" customWidth="1"/>
    <col min="11778" max="11778" width="21.7109375" style="157" customWidth="1"/>
    <col min="11779" max="11779" width="15.7109375" style="157" customWidth="1"/>
    <col min="11780" max="11780" width="15.85546875" style="157" customWidth="1"/>
    <col min="11781" max="11781" width="15.7109375" style="157" customWidth="1"/>
    <col min="11782" max="11784" width="15.85546875" style="157" customWidth="1"/>
    <col min="11785" max="11785" width="12.7109375" style="157" customWidth="1"/>
    <col min="11786" max="11786" width="12.85546875" style="157" customWidth="1"/>
    <col min="11787" max="11787" width="12.7109375" style="157" customWidth="1"/>
    <col min="11788" max="11788" width="13.5703125" style="157" customWidth="1"/>
    <col min="11789" max="11790" width="11.42578125" style="157"/>
    <col min="11791" max="11791" width="10.7109375" style="157" customWidth="1"/>
    <col min="11792" max="11793" width="7.28515625" style="157" customWidth="1"/>
    <col min="11794" max="11794" width="17.140625" style="157" customWidth="1"/>
    <col min="11795" max="11795" width="13.85546875" style="157" customWidth="1"/>
    <col min="11796" max="12032" width="11.42578125" style="157"/>
    <col min="12033" max="12033" width="5.7109375" style="157" customWidth="1"/>
    <col min="12034" max="12034" width="21.7109375" style="157" customWidth="1"/>
    <col min="12035" max="12035" width="15.7109375" style="157" customWidth="1"/>
    <col min="12036" max="12036" width="15.85546875" style="157" customWidth="1"/>
    <col min="12037" max="12037" width="15.7109375" style="157" customWidth="1"/>
    <col min="12038" max="12040" width="15.85546875" style="157" customWidth="1"/>
    <col min="12041" max="12041" width="12.7109375" style="157" customWidth="1"/>
    <col min="12042" max="12042" width="12.85546875" style="157" customWidth="1"/>
    <col min="12043" max="12043" width="12.7109375" style="157" customWidth="1"/>
    <col min="12044" max="12044" width="13.5703125" style="157" customWidth="1"/>
    <col min="12045" max="12046" width="11.42578125" style="157"/>
    <col min="12047" max="12047" width="10.7109375" style="157" customWidth="1"/>
    <col min="12048" max="12049" width="7.28515625" style="157" customWidth="1"/>
    <col min="12050" max="12050" width="17.140625" style="157" customWidth="1"/>
    <col min="12051" max="12051" width="13.85546875" style="157" customWidth="1"/>
    <col min="12052" max="12288" width="11.42578125" style="157"/>
    <col min="12289" max="12289" width="5.7109375" style="157" customWidth="1"/>
    <col min="12290" max="12290" width="21.7109375" style="157" customWidth="1"/>
    <col min="12291" max="12291" width="15.7109375" style="157" customWidth="1"/>
    <col min="12292" max="12292" width="15.85546875" style="157" customWidth="1"/>
    <col min="12293" max="12293" width="15.7109375" style="157" customWidth="1"/>
    <col min="12294" max="12296" width="15.85546875" style="157" customWidth="1"/>
    <col min="12297" max="12297" width="12.7109375" style="157" customWidth="1"/>
    <col min="12298" max="12298" width="12.85546875" style="157" customWidth="1"/>
    <col min="12299" max="12299" width="12.7109375" style="157" customWidth="1"/>
    <col min="12300" max="12300" width="13.5703125" style="157" customWidth="1"/>
    <col min="12301" max="12302" width="11.42578125" style="157"/>
    <col min="12303" max="12303" width="10.7109375" style="157" customWidth="1"/>
    <col min="12304" max="12305" width="7.28515625" style="157" customWidth="1"/>
    <col min="12306" max="12306" width="17.140625" style="157" customWidth="1"/>
    <col min="12307" max="12307" width="13.85546875" style="157" customWidth="1"/>
    <col min="12308" max="12544" width="11.42578125" style="157"/>
    <col min="12545" max="12545" width="5.7109375" style="157" customWidth="1"/>
    <col min="12546" max="12546" width="21.7109375" style="157" customWidth="1"/>
    <col min="12547" max="12547" width="15.7109375" style="157" customWidth="1"/>
    <col min="12548" max="12548" width="15.85546875" style="157" customWidth="1"/>
    <col min="12549" max="12549" width="15.7109375" style="157" customWidth="1"/>
    <col min="12550" max="12552" width="15.85546875" style="157" customWidth="1"/>
    <col min="12553" max="12553" width="12.7109375" style="157" customWidth="1"/>
    <col min="12554" max="12554" width="12.85546875" style="157" customWidth="1"/>
    <col min="12555" max="12555" width="12.7109375" style="157" customWidth="1"/>
    <col min="12556" max="12556" width="13.5703125" style="157" customWidth="1"/>
    <col min="12557" max="12558" width="11.42578125" style="157"/>
    <col min="12559" max="12559" width="10.7109375" style="157" customWidth="1"/>
    <col min="12560" max="12561" width="7.28515625" style="157" customWidth="1"/>
    <col min="12562" max="12562" width="17.140625" style="157" customWidth="1"/>
    <col min="12563" max="12563" width="13.85546875" style="157" customWidth="1"/>
    <col min="12564" max="12800" width="11.42578125" style="157"/>
    <col min="12801" max="12801" width="5.7109375" style="157" customWidth="1"/>
    <col min="12802" max="12802" width="21.7109375" style="157" customWidth="1"/>
    <col min="12803" max="12803" width="15.7109375" style="157" customWidth="1"/>
    <col min="12804" max="12804" width="15.85546875" style="157" customWidth="1"/>
    <col min="12805" max="12805" width="15.7109375" style="157" customWidth="1"/>
    <col min="12806" max="12808" width="15.85546875" style="157" customWidth="1"/>
    <col min="12809" max="12809" width="12.7109375" style="157" customWidth="1"/>
    <col min="12810" max="12810" width="12.85546875" style="157" customWidth="1"/>
    <col min="12811" max="12811" width="12.7109375" style="157" customWidth="1"/>
    <col min="12812" max="12812" width="13.5703125" style="157" customWidth="1"/>
    <col min="12813" max="12814" width="11.42578125" style="157"/>
    <col min="12815" max="12815" width="10.7109375" style="157" customWidth="1"/>
    <col min="12816" max="12817" width="7.28515625" style="157" customWidth="1"/>
    <col min="12818" max="12818" width="17.140625" style="157" customWidth="1"/>
    <col min="12819" max="12819" width="13.85546875" style="157" customWidth="1"/>
    <col min="12820" max="13056" width="11.42578125" style="157"/>
    <col min="13057" max="13057" width="5.7109375" style="157" customWidth="1"/>
    <col min="13058" max="13058" width="21.7109375" style="157" customWidth="1"/>
    <col min="13059" max="13059" width="15.7109375" style="157" customWidth="1"/>
    <col min="13060" max="13060" width="15.85546875" style="157" customWidth="1"/>
    <col min="13061" max="13061" width="15.7109375" style="157" customWidth="1"/>
    <col min="13062" max="13064" width="15.85546875" style="157" customWidth="1"/>
    <col min="13065" max="13065" width="12.7109375" style="157" customWidth="1"/>
    <col min="13066" max="13066" width="12.85546875" style="157" customWidth="1"/>
    <col min="13067" max="13067" width="12.7109375" style="157" customWidth="1"/>
    <col min="13068" max="13068" width="13.5703125" style="157" customWidth="1"/>
    <col min="13069" max="13070" width="11.42578125" style="157"/>
    <col min="13071" max="13071" width="10.7109375" style="157" customWidth="1"/>
    <col min="13072" max="13073" width="7.28515625" style="157" customWidth="1"/>
    <col min="13074" max="13074" width="17.140625" style="157" customWidth="1"/>
    <col min="13075" max="13075" width="13.85546875" style="157" customWidth="1"/>
    <col min="13076" max="13312" width="11.42578125" style="157"/>
    <col min="13313" max="13313" width="5.7109375" style="157" customWidth="1"/>
    <col min="13314" max="13314" width="21.7109375" style="157" customWidth="1"/>
    <col min="13315" max="13315" width="15.7109375" style="157" customWidth="1"/>
    <col min="13316" max="13316" width="15.85546875" style="157" customWidth="1"/>
    <col min="13317" max="13317" width="15.7109375" style="157" customWidth="1"/>
    <col min="13318" max="13320" width="15.85546875" style="157" customWidth="1"/>
    <col min="13321" max="13321" width="12.7109375" style="157" customWidth="1"/>
    <col min="13322" max="13322" width="12.85546875" style="157" customWidth="1"/>
    <col min="13323" max="13323" width="12.7109375" style="157" customWidth="1"/>
    <col min="13324" max="13324" width="13.5703125" style="157" customWidth="1"/>
    <col min="13325" max="13326" width="11.42578125" style="157"/>
    <col min="13327" max="13327" width="10.7109375" style="157" customWidth="1"/>
    <col min="13328" max="13329" width="7.28515625" style="157" customWidth="1"/>
    <col min="13330" max="13330" width="17.140625" style="157" customWidth="1"/>
    <col min="13331" max="13331" width="13.85546875" style="157" customWidth="1"/>
    <col min="13332" max="13568" width="11.42578125" style="157"/>
    <col min="13569" max="13569" width="5.7109375" style="157" customWidth="1"/>
    <col min="13570" max="13570" width="21.7109375" style="157" customWidth="1"/>
    <col min="13571" max="13571" width="15.7109375" style="157" customWidth="1"/>
    <col min="13572" max="13572" width="15.85546875" style="157" customWidth="1"/>
    <col min="13573" max="13573" width="15.7109375" style="157" customWidth="1"/>
    <col min="13574" max="13576" width="15.85546875" style="157" customWidth="1"/>
    <col min="13577" max="13577" width="12.7109375" style="157" customWidth="1"/>
    <col min="13578" max="13578" width="12.85546875" style="157" customWidth="1"/>
    <col min="13579" max="13579" width="12.7109375" style="157" customWidth="1"/>
    <col min="13580" max="13580" width="13.5703125" style="157" customWidth="1"/>
    <col min="13581" max="13582" width="11.42578125" style="157"/>
    <col min="13583" max="13583" width="10.7109375" style="157" customWidth="1"/>
    <col min="13584" max="13585" width="7.28515625" style="157" customWidth="1"/>
    <col min="13586" max="13586" width="17.140625" style="157" customWidth="1"/>
    <col min="13587" max="13587" width="13.85546875" style="157" customWidth="1"/>
    <col min="13588" max="13824" width="11.42578125" style="157"/>
    <col min="13825" max="13825" width="5.7109375" style="157" customWidth="1"/>
    <col min="13826" max="13826" width="21.7109375" style="157" customWidth="1"/>
    <col min="13827" max="13827" width="15.7109375" style="157" customWidth="1"/>
    <col min="13828" max="13828" width="15.85546875" style="157" customWidth="1"/>
    <col min="13829" max="13829" width="15.7109375" style="157" customWidth="1"/>
    <col min="13830" max="13832" width="15.85546875" style="157" customWidth="1"/>
    <col min="13833" max="13833" width="12.7109375" style="157" customWidth="1"/>
    <col min="13834" max="13834" width="12.85546875" style="157" customWidth="1"/>
    <col min="13835" max="13835" width="12.7109375" style="157" customWidth="1"/>
    <col min="13836" max="13836" width="13.5703125" style="157" customWidth="1"/>
    <col min="13837" max="13838" width="11.42578125" style="157"/>
    <col min="13839" max="13839" width="10.7109375" style="157" customWidth="1"/>
    <col min="13840" max="13841" width="7.28515625" style="157" customWidth="1"/>
    <col min="13842" max="13842" width="17.140625" style="157" customWidth="1"/>
    <col min="13843" max="13843" width="13.85546875" style="157" customWidth="1"/>
    <col min="13844" max="14080" width="11.42578125" style="157"/>
    <col min="14081" max="14081" width="5.7109375" style="157" customWidth="1"/>
    <col min="14082" max="14082" width="21.7109375" style="157" customWidth="1"/>
    <col min="14083" max="14083" width="15.7109375" style="157" customWidth="1"/>
    <col min="14084" max="14084" width="15.85546875" style="157" customWidth="1"/>
    <col min="14085" max="14085" width="15.7109375" style="157" customWidth="1"/>
    <col min="14086" max="14088" width="15.85546875" style="157" customWidth="1"/>
    <col min="14089" max="14089" width="12.7109375" style="157" customWidth="1"/>
    <col min="14090" max="14090" width="12.85546875" style="157" customWidth="1"/>
    <col min="14091" max="14091" width="12.7109375" style="157" customWidth="1"/>
    <col min="14092" max="14092" width="13.5703125" style="157" customWidth="1"/>
    <col min="14093" max="14094" width="11.42578125" style="157"/>
    <col min="14095" max="14095" width="10.7109375" style="157" customWidth="1"/>
    <col min="14096" max="14097" width="7.28515625" style="157" customWidth="1"/>
    <col min="14098" max="14098" width="17.140625" style="157" customWidth="1"/>
    <col min="14099" max="14099" width="13.85546875" style="157" customWidth="1"/>
    <col min="14100" max="14336" width="11.42578125" style="157"/>
    <col min="14337" max="14337" width="5.7109375" style="157" customWidth="1"/>
    <col min="14338" max="14338" width="21.7109375" style="157" customWidth="1"/>
    <col min="14339" max="14339" width="15.7109375" style="157" customWidth="1"/>
    <col min="14340" max="14340" width="15.85546875" style="157" customWidth="1"/>
    <col min="14341" max="14341" width="15.7109375" style="157" customWidth="1"/>
    <col min="14342" max="14344" width="15.85546875" style="157" customWidth="1"/>
    <col min="14345" max="14345" width="12.7109375" style="157" customWidth="1"/>
    <col min="14346" max="14346" width="12.85546875" style="157" customWidth="1"/>
    <col min="14347" max="14347" width="12.7109375" style="157" customWidth="1"/>
    <col min="14348" max="14348" width="13.5703125" style="157" customWidth="1"/>
    <col min="14349" max="14350" width="11.42578125" style="157"/>
    <col min="14351" max="14351" width="10.7109375" style="157" customWidth="1"/>
    <col min="14352" max="14353" width="7.28515625" style="157" customWidth="1"/>
    <col min="14354" max="14354" width="17.140625" style="157" customWidth="1"/>
    <col min="14355" max="14355" width="13.85546875" style="157" customWidth="1"/>
    <col min="14356" max="14592" width="11.42578125" style="157"/>
    <col min="14593" max="14593" width="5.7109375" style="157" customWidth="1"/>
    <col min="14594" max="14594" width="21.7109375" style="157" customWidth="1"/>
    <col min="14595" max="14595" width="15.7109375" style="157" customWidth="1"/>
    <col min="14596" max="14596" width="15.85546875" style="157" customWidth="1"/>
    <col min="14597" max="14597" width="15.7109375" style="157" customWidth="1"/>
    <col min="14598" max="14600" width="15.85546875" style="157" customWidth="1"/>
    <col min="14601" max="14601" width="12.7109375" style="157" customWidth="1"/>
    <col min="14602" max="14602" width="12.85546875" style="157" customWidth="1"/>
    <col min="14603" max="14603" width="12.7109375" style="157" customWidth="1"/>
    <col min="14604" max="14604" width="13.5703125" style="157" customWidth="1"/>
    <col min="14605" max="14606" width="11.42578125" style="157"/>
    <col min="14607" max="14607" width="10.7109375" style="157" customWidth="1"/>
    <col min="14608" max="14609" width="7.28515625" style="157" customWidth="1"/>
    <col min="14610" max="14610" width="17.140625" style="157" customWidth="1"/>
    <col min="14611" max="14611" width="13.85546875" style="157" customWidth="1"/>
    <col min="14612" max="14848" width="11.42578125" style="157"/>
    <col min="14849" max="14849" width="5.7109375" style="157" customWidth="1"/>
    <col min="14850" max="14850" width="21.7109375" style="157" customWidth="1"/>
    <col min="14851" max="14851" width="15.7109375" style="157" customWidth="1"/>
    <col min="14852" max="14852" width="15.85546875" style="157" customWidth="1"/>
    <col min="14853" max="14853" width="15.7109375" style="157" customWidth="1"/>
    <col min="14854" max="14856" width="15.85546875" style="157" customWidth="1"/>
    <col min="14857" max="14857" width="12.7109375" style="157" customWidth="1"/>
    <col min="14858" max="14858" width="12.85546875" style="157" customWidth="1"/>
    <col min="14859" max="14859" width="12.7109375" style="157" customWidth="1"/>
    <col min="14860" max="14860" width="13.5703125" style="157" customWidth="1"/>
    <col min="14861" max="14862" width="11.42578125" style="157"/>
    <col min="14863" max="14863" width="10.7109375" style="157" customWidth="1"/>
    <col min="14864" max="14865" width="7.28515625" style="157" customWidth="1"/>
    <col min="14866" max="14866" width="17.140625" style="157" customWidth="1"/>
    <col min="14867" max="14867" width="13.85546875" style="157" customWidth="1"/>
    <col min="14868" max="15104" width="11.42578125" style="157"/>
    <col min="15105" max="15105" width="5.7109375" style="157" customWidth="1"/>
    <col min="15106" max="15106" width="21.7109375" style="157" customWidth="1"/>
    <col min="15107" max="15107" width="15.7109375" style="157" customWidth="1"/>
    <col min="15108" max="15108" width="15.85546875" style="157" customWidth="1"/>
    <col min="15109" max="15109" width="15.7109375" style="157" customWidth="1"/>
    <col min="15110" max="15112" width="15.85546875" style="157" customWidth="1"/>
    <col min="15113" max="15113" width="12.7109375" style="157" customWidth="1"/>
    <col min="15114" max="15114" width="12.85546875" style="157" customWidth="1"/>
    <col min="15115" max="15115" width="12.7109375" style="157" customWidth="1"/>
    <col min="15116" max="15116" width="13.5703125" style="157" customWidth="1"/>
    <col min="15117" max="15118" width="11.42578125" style="157"/>
    <col min="15119" max="15119" width="10.7109375" style="157" customWidth="1"/>
    <col min="15120" max="15121" width="7.28515625" style="157" customWidth="1"/>
    <col min="15122" max="15122" width="17.140625" style="157" customWidth="1"/>
    <col min="15123" max="15123" width="13.85546875" style="157" customWidth="1"/>
    <col min="15124" max="15360" width="11.42578125" style="157"/>
    <col min="15361" max="15361" width="5.7109375" style="157" customWidth="1"/>
    <col min="15362" max="15362" width="21.7109375" style="157" customWidth="1"/>
    <col min="15363" max="15363" width="15.7109375" style="157" customWidth="1"/>
    <col min="15364" max="15364" width="15.85546875" style="157" customWidth="1"/>
    <col min="15365" max="15365" width="15.7109375" style="157" customWidth="1"/>
    <col min="15366" max="15368" width="15.85546875" style="157" customWidth="1"/>
    <col min="15369" max="15369" width="12.7109375" style="157" customWidth="1"/>
    <col min="15370" max="15370" width="12.85546875" style="157" customWidth="1"/>
    <col min="15371" max="15371" width="12.7109375" style="157" customWidth="1"/>
    <col min="15372" max="15372" width="13.5703125" style="157" customWidth="1"/>
    <col min="15373" max="15374" width="11.42578125" style="157"/>
    <col min="15375" max="15375" width="10.7109375" style="157" customWidth="1"/>
    <col min="15376" max="15377" width="7.28515625" style="157" customWidth="1"/>
    <col min="15378" max="15378" width="17.140625" style="157" customWidth="1"/>
    <col min="15379" max="15379" width="13.85546875" style="157" customWidth="1"/>
    <col min="15380" max="15616" width="11.42578125" style="157"/>
    <col min="15617" max="15617" width="5.7109375" style="157" customWidth="1"/>
    <col min="15618" max="15618" width="21.7109375" style="157" customWidth="1"/>
    <col min="15619" max="15619" width="15.7109375" style="157" customWidth="1"/>
    <col min="15620" max="15620" width="15.85546875" style="157" customWidth="1"/>
    <col min="15621" max="15621" width="15.7109375" style="157" customWidth="1"/>
    <col min="15622" max="15624" width="15.85546875" style="157" customWidth="1"/>
    <col min="15625" max="15625" width="12.7109375" style="157" customWidth="1"/>
    <col min="15626" max="15626" width="12.85546875" style="157" customWidth="1"/>
    <col min="15627" max="15627" width="12.7109375" style="157" customWidth="1"/>
    <col min="15628" max="15628" width="13.5703125" style="157" customWidth="1"/>
    <col min="15629" max="15630" width="11.42578125" style="157"/>
    <col min="15631" max="15631" width="10.7109375" style="157" customWidth="1"/>
    <col min="15632" max="15633" width="7.28515625" style="157" customWidth="1"/>
    <col min="15634" max="15634" width="17.140625" style="157" customWidth="1"/>
    <col min="15635" max="15635" width="13.85546875" style="157" customWidth="1"/>
    <col min="15636" max="15872" width="11.42578125" style="157"/>
    <col min="15873" max="15873" width="5.7109375" style="157" customWidth="1"/>
    <col min="15874" max="15874" width="21.7109375" style="157" customWidth="1"/>
    <col min="15875" max="15875" width="15.7109375" style="157" customWidth="1"/>
    <col min="15876" max="15876" width="15.85546875" style="157" customWidth="1"/>
    <col min="15877" max="15877" width="15.7109375" style="157" customWidth="1"/>
    <col min="15878" max="15880" width="15.85546875" style="157" customWidth="1"/>
    <col min="15881" max="15881" width="12.7109375" style="157" customWidth="1"/>
    <col min="15882" max="15882" width="12.85546875" style="157" customWidth="1"/>
    <col min="15883" max="15883" width="12.7109375" style="157" customWidth="1"/>
    <col min="15884" max="15884" width="13.5703125" style="157" customWidth="1"/>
    <col min="15885" max="15886" width="11.42578125" style="157"/>
    <col min="15887" max="15887" width="10.7109375" style="157" customWidth="1"/>
    <col min="15888" max="15889" width="7.28515625" style="157" customWidth="1"/>
    <col min="15890" max="15890" width="17.140625" style="157" customWidth="1"/>
    <col min="15891" max="15891" width="13.85546875" style="157" customWidth="1"/>
    <col min="15892" max="16128" width="11.42578125" style="157"/>
    <col min="16129" max="16129" width="5.7109375" style="157" customWidth="1"/>
    <col min="16130" max="16130" width="21.7109375" style="157" customWidth="1"/>
    <col min="16131" max="16131" width="15.7109375" style="157" customWidth="1"/>
    <col min="16132" max="16132" width="15.85546875" style="157" customWidth="1"/>
    <col min="16133" max="16133" width="15.7109375" style="157" customWidth="1"/>
    <col min="16134" max="16136" width="15.85546875" style="157" customWidth="1"/>
    <col min="16137" max="16137" width="12.7109375" style="157" customWidth="1"/>
    <col min="16138" max="16138" width="12.85546875" style="157" customWidth="1"/>
    <col min="16139" max="16139" width="12.7109375" style="157" customWidth="1"/>
    <col min="16140" max="16140" width="13.5703125" style="157" customWidth="1"/>
    <col min="16141" max="16142" width="11.42578125" style="157"/>
    <col min="16143" max="16143" width="10.7109375" style="157" customWidth="1"/>
    <col min="16144" max="16145" width="7.28515625" style="157" customWidth="1"/>
    <col min="16146" max="16146" width="17.140625" style="157" customWidth="1"/>
    <col min="16147" max="16147" width="13.85546875" style="157" customWidth="1"/>
    <col min="16148" max="16384" width="11.42578125" style="157"/>
  </cols>
  <sheetData>
    <row r="1" spans="2:24" ht="20.25" x14ac:dyDescent="0.3">
      <c r="B1" s="158"/>
    </row>
    <row r="3" spans="2:24" ht="15.75" x14ac:dyDescent="0.25">
      <c r="B3" s="350" t="s">
        <v>213</v>
      </c>
    </row>
    <row r="4" spans="2:24" x14ac:dyDescent="0.2">
      <c r="B4" s="349"/>
      <c r="R4" s="190" t="s">
        <v>214</v>
      </c>
    </row>
    <row r="5" spans="2:24" ht="13.5" thickBot="1" x14ac:dyDescent="0.25"/>
    <row r="6" spans="2:24" x14ac:dyDescent="0.2">
      <c r="B6" s="482" t="s">
        <v>132</v>
      </c>
      <c r="C6" s="483" t="s">
        <v>199</v>
      </c>
      <c r="D6" s="1374" t="s">
        <v>200</v>
      </c>
      <c r="E6" s="1375"/>
      <c r="F6" s="1375"/>
      <c r="G6" s="1375"/>
      <c r="H6" s="1376"/>
      <c r="I6" s="1377" t="s">
        <v>215</v>
      </c>
      <c r="J6" s="1377"/>
      <c r="K6" s="1377"/>
      <c r="L6" s="1377" t="s">
        <v>216</v>
      </c>
      <c r="M6" s="1377"/>
      <c r="N6" s="1377"/>
      <c r="O6" s="1378"/>
      <c r="Q6" s="190" t="s">
        <v>217</v>
      </c>
    </row>
    <row r="7" spans="2:24" ht="13.5" thickBot="1" x14ac:dyDescent="0.25">
      <c r="B7" s="484"/>
      <c r="C7" s="355"/>
      <c r="D7" s="485" t="s">
        <v>203</v>
      </c>
      <c r="E7" s="486" t="s">
        <v>204</v>
      </c>
      <c r="F7" s="485" t="s">
        <v>205</v>
      </c>
      <c r="G7" s="485" t="s">
        <v>184</v>
      </c>
      <c r="H7" s="485" t="s">
        <v>206</v>
      </c>
      <c r="I7" s="485" t="s">
        <v>203</v>
      </c>
      <c r="J7" s="485" t="s">
        <v>204</v>
      </c>
      <c r="K7" s="485" t="s">
        <v>205</v>
      </c>
      <c r="L7" s="485" t="s">
        <v>203</v>
      </c>
      <c r="M7" s="485" t="s">
        <v>204</v>
      </c>
      <c r="N7" s="485" t="s">
        <v>205</v>
      </c>
      <c r="O7" s="487" t="s">
        <v>206</v>
      </c>
      <c r="R7" s="488" t="s">
        <v>218</v>
      </c>
      <c r="S7" s="488" t="s">
        <v>219</v>
      </c>
      <c r="T7" s="488" t="s">
        <v>220</v>
      </c>
      <c r="U7" s="488" t="s">
        <v>221</v>
      </c>
      <c r="V7" s="163"/>
      <c r="W7" s="163"/>
      <c r="X7" s="163"/>
    </row>
    <row r="8" spans="2:24" ht="12.75" customHeight="1" x14ac:dyDescent="0.2">
      <c r="B8" s="489"/>
      <c r="C8" s="359"/>
      <c r="D8" s="362"/>
      <c r="E8" s="364"/>
      <c r="F8" s="362"/>
      <c r="G8" s="362"/>
      <c r="H8" s="365"/>
      <c r="I8" s="490"/>
      <c r="J8" s="364"/>
      <c r="K8" s="364"/>
      <c r="L8" s="359"/>
      <c r="M8" s="364"/>
      <c r="N8" s="362"/>
      <c r="O8" s="365"/>
      <c r="R8" s="163"/>
      <c r="S8" s="163"/>
      <c r="T8" s="163"/>
      <c r="U8" s="163"/>
      <c r="V8" s="163"/>
      <c r="W8" s="163"/>
      <c r="X8" s="163"/>
    </row>
    <row r="9" spans="2:24" ht="12.75" customHeight="1" x14ac:dyDescent="0.2">
      <c r="B9" s="330">
        <v>1995</v>
      </c>
      <c r="C9" s="650">
        <f t="shared" ref="C9:C14" si="0">+D9+I9+L9</f>
        <v>3195.3919999999998</v>
      </c>
      <c r="D9" s="651">
        <f t="shared" ref="D9:D14" si="1">SUM(E9:F9)</f>
        <v>2458.1259999999997</v>
      </c>
      <c r="E9" s="588">
        <v>1848.4849999999999</v>
      </c>
      <c r="F9" s="302">
        <v>609.64099999999996</v>
      </c>
      <c r="G9" s="302"/>
      <c r="H9" s="757"/>
      <c r="I9" s="1616">
        <f t="shared" ref="I9:I14" si="2">SUM(J9:K9)</f>
        <v>402.99</v>
      </c>
      <c r="J9" s="1617">
        <v>312.27</v>
      </c>
      <c r="K9" s="300">
        <v>90.72</v>
      </c>
      <c r="L9" s="657">
        <f t="shared" ref="L9:L14" si="3">SUM(M9:O9)</f>
        <v>334.27599999999995</v>
      </c>
      <c r="M9" s="588">
        <v>45.16</v>
      </c>
      <c r="N9" s="302">
        <v>289.11599999999999</v>
      </c>
      <c r="O9" s="1618"/>
      <c r="P9" s="491"/>
      <c r="Q9" s="492">
        <v>1995</v>
      </c>
      <c r="R9" s="493">
        <f t="shared" ref="R9:S14" si="4">+SUM(E9,J9)</f>
        <v>2160.7550000000001</v>
      </c>
      <c r="S9" s="493">
        <f t="shared" si="4"/>
        <v>700.36099999999999</v>
      </c>
      <c r="T9" s="493">
        <f>+SUM(G9)</f>
        <v>0</v>
      </c>
      <c r="U9" s="493">
        <f>+SUM(H9)</f>
        <v>0</v>
      </c>
      <c r="V9" s="347">
        <f>+SUM(R9:U9)</f>
        <v>2861.116</v>
      </c>
      <c r="W9" s="163"/>
      <c r="X9" s="163"/>
    </row>
    <row r="10" spans="2:24" ht="12.75" customHeight="1" x14ac:dyDescent="0.2">
      <c r="B10" s="304">
        <v>1996</v>
      </c>
      <c r="C10" s="368">
        <f t="shared" si="0"/>
        <v>2879.5010000000002</v>
      </c>
      <c r="D10" s="369">
        <f t="shared" si="1"/>
        <v>2212.6770000000001</v>
      </c>
      <c r="E10" s="286">
        <v>1588.172</v>
      </c>
      <c r="F10" s="290">
        <f>624.505</f>
        <v>624.505</v>
      </c>
      <c r="G10" s="290"/>
      <c r="H10" s="494"/>
      <c r="I10" s="495">
        <f t="shared" si="2"/>
        <v>405.86799999999994</v>
      </c>
      <c r="J10" s="370">
        <f>309.268</f>
        <v>309.26799999999997</v>
      </c>
      <c r="K10" s="284">
        <f>96.6</f>
        <v>96.6</v>
      </c>
      <c r="L10" s="371">
        <f t="shared" si="3"/>
        <v>260.95600000000002</v>
      </c>
      <c r="M10" s="286">
        <v>27.411000000000001</v>
      </c>
      <c r="N10" s="290">
        <v>233.29499999999999</v>
      </c>
      <c r="O10" s="496">
        <v>0.25</v>
      </c>
      <c r="P10" s="491"/>
      <c r="Q10" s="492">
        <v>1996</v>
      </c>
      <c r="R10" s="493">
        <f t="shared" si="4"/>
        <v>1897.44</v>
      </c>
      <c r="S10" s="493">
        <f t="shared" si="4"/>
        <v>721.10500000000002</v>
      </c>
      <c r="T10" s="493">
        <f t="shared" ref="T10:T30" si="5">+SUM(G10)</f>
        <v>0</v>
      </c>
      <c r="U10" s="493">
        <f t="shared" ref="U10:U30" si="6">+SUM(H10)</f>
        <v>0</v>
      </c>
      <c r="V10" s="347">
        <f t="shared" ref="V10:V30" si="7">+SUM(R10:U10)</f>
        <v>2618.5450000000001</v>
      </c>
      <c r="W10" s="497"/>
      <c r="X10" s="163"/>
    </row>
    <row r="11" spans="2:24" ht="12.75" customHeight="1" x14ac:dyDescent="0.2">
      <c r="B11" s="330">
        <v>1997</v>
      </c>
      <c r="C11" s="650">
        <f t="shared" si="0"/>
        <v>3826.8329999999996</v>
      </c>
      <c r="D11" s="651">
        <f t="shared" si="1"/>
        <v>2888.4399999999996</v>
      </c>
      <c r="E11" s="588">
        <v>1760.1</v>
      </c>
      <c r="F11" s="302">
        <v>1128.3399999999999</v>
      </c>
      <c r="G11" s="302"/>
      <c r="H11" s="757"/>
      <c r="I11" s="1616">
        <f t="shared" si="2"/>
        <v>629.43000000000006</v>
      </c>
      <c r="J11" s="1617">
        <v>306.42</v>
      </c>
      <c r="K11" s="300">
        <v>323.01</v>
      </c>
      <c r="L11" s="657">
        <f t="shared" si="3"/>
        <v>308.96299999999997</v>
      </c>
      <c r="M11" s="588">
        <v>53.651000000000003</v>
      </c>
      <c r="N11" s="302">
        <v>255.06199999999998</v>
      </c>
      <c r="O11" s="1618">
        <v>0.25</v>
      </c>
      <c r="P11" s="491"/>
      <c r="Q11" s="492">
        <v>1997</v>
      </c>
      <c r="R11" s="493">
        <f t="shared" si="4"/>
        <v>2066.52</v>
      </c>
      <c r="S11" s="493">
        <f t="shared" si="4"/>
        <v>1451.35</v>
      </c>
      <c r="T11" s="493">
        <f t="shared" si="5"/>
        <v>0</v>
      </c>
      <c r="U11" s="493">
        <f t="shared" si="6"/>
        <v>0</v>
      </c>
      <c r="V11" s="347">
        <f t="shared" si="7"/>
        <v>3517.87</v>
      </c>
      <c r="W11" s="497"/>
      <c r="X11" s="163"/>
    </row>
    <row r="12" spans="2:24" ht="12.75" customHeight="1" x14ac:dyDescent="0.2">
      <c r="B12" s="304">
        <v>1998</v>
      </c>
      <c r="C12" s="368">
        <f t="shared" si="0"/>
        <v>4020.8009999999995</v>
      </c>
      <c r="D12" s="369">
        <f t="shared" si="1"/>
        <v>3090.3449999999998</v>
      </c>
      <c r="E12" s="286">
        <v>1758.8119999999999</v>
      </c>
      <c r="F12" s="290">
        <v>1331.5329999999999</v>
      </c>
      <c r="G12" s="290"/>
      <c r="H12" s="494"/>
      <c r="I12" s="495">
        <f t="shared" si="2"/>
        <v>596.01</v>
      </c>
      <c r="J12" s="370">
        <v>199.51</v>
      </c>
      <c r="K12" s="284">
        <v>396.5</v>
      </c>
      <c r="L12" s="371">
        <f t="shared" si="3"/>
        <v>334.44599999999997</v>
      </c>
      <c r="M12" s="286">
        <v>64.58</v>
      </c>
      <c r="N12" s="290">
        <v>269.61599999999999</v>
      </c>
      <c r="O12" s="496">
        <v>0.25</v>
      </c>
      <c r="P12" s="491"/>
      <c r="Q12" s="492">
        <v>1998</v>
      </c>
      <c r="R12" s="493">
        <f t="shared" si="4"/>
        <v>1958.3219999999999</v>
      </c>
      <c r="S12" s="493">
        <f t="shared" si="4"/>
        <v>1728.0329999999999</v>
      </c>
      <c r="T12" s="493">
        <f t="shared" si="5"/>
        <v>0</v>
      </c>
      <c r="U12" s="493">
        <f t="shared" si="6"/>
        <v>0</v>
      </c>
      <c r="V12" s="347">
        <f t="shared" si="7"/>
        <v>3686.3549999999996</v>
      </c>
      <c r="W12" s="498"/>
      <c r="X12" s="163"/>
    </row>
    <row r="13" spans="2:24" ht="12.75" customHeight="1" x14ac:dyDescent="0.2">
      <c r="B13" s="330">
        <v>1999</v>
      </c>
      <c r="C13" s="650">
        <f t="shared" si="0"/>
        <v>4317.9290000000001</v>
      </c>
      <c r="D13" s="651">
        <f t="shared" si="1"/>
        <v>3317.0060000000003</v>
      </c>
      <c r="E13" s="588">
        <v>1923.5890000000002</v>
      </c>
      <c r="F13" s="302">
        <v>1393.4169999999999</v>
      </c>
      <c r="G13" s="302"/>
      <c r="H13" s="757"/>
      <c r="I13" s="1616">
        <f t="shared" si="2"/>
        <v>712.75800000000004</v>
      </c>
      <c r="J13" s="1617">
        <v>249.51</v>
      </c>
      <c r="K13" s="300">
        <v>463.24800000000005</v>
      </c>
      <c r="L13" s="657">
        <f t="shared" si="3"/>
        <v>288.16500000000002</v>
      </c>
      <c r="M13" s="588">
        <v>69.52600000000001</v>
      </c>
      <c r="N13" s="302">
        <v>217.93899999999999</v>
      </c>
      <c r="O13" s="1618">
        <v>0.7</v>
      </c>
      <c r="P13" s="491"/>
      <c r="Q13" s="492">
        <v>1999</v>
      </c>
      <c r="R13" s="493">
        <f t="shared" si="4"/>
        <v>2173.0990000000002</v>
      </c>
      <c r="S13" s="493">
        <f t="shared" si="4"/>
        <v>1856.665</v>
      </c>
      <c r="T13" s="493">
        <f t="shared" si="5"/>
        <v>0</v>
      </c>
      <c r="U13" s="493">
        <f t="shared" si="6"/>
        <v>0</v>
      </c>
      <c r="V13" s="347">
        <f t="shared" si="7"/>
        <v>4029.7640000000001</v>
      </c>
      <c r="W13" s="498"/>
      <c r="X13" s="163"/>
    </row>
    <row r="14" spans="2:24" ht="12.75" customHeight="1" x14ac:dyDescent="0.2">
      <c r="B14" s="304">
        <v>2000</v>
      </c>
      <c r="C14" s="368">
        <f t="shared" si="0"/>
        <v>4775.9350000000004</v>
      </c>
      <c r="D14" s="369">
        <f t="shared" si="1"/>
        <v>3595.0750000000007</v>
      </c>
      <c r="E14" s="286">
        <v>2189.9130000000005</v>
      </c>
      <c r="F14" s="290">
        <v>1405.162</v>
      </c>
      <c r="G14" s="290"/>
      <c r="H14" s="494"/>
      <c r="I14" s="495">
        <f t="shared" si="2"/>
        <v>906.31200000000001</v>
      </c>
      <c r="J14" s="370">
        <v>315.24099999999999</v>
      </c>
      <c r="K14" s="284">
        <v>591.07100000000003</v>
      </c>
      <c r="L14" s="371">
        <f t="shared" si="3"/>
        <v>274.54799999999994</v>
      </c>
      <c r="M14" s="286">
        <v>70.77</v>
      </c>
      <c r="N14" s="290">
        <v>203.07799999999997</v>
      </c>
      <c r="O14" s="496">
        <v>0.7</v>
      </c>
      <c r="P14" s="491"/>
      <c r="Q14" s="492">
        <v>2000</v>
      </c>
      <c r="R14" s="493">
        <f t="shared" si="4"/>
        <v>2505.1540000000005</v>
      </c>
      <c r="S14" s="493">
        <f t="shared" si="4"/>
        <v>1996.2330000000002</v>
      </c>
      <c r="T14" s="493">
        <f t="shared" si="5"/>
        <v>0</v>
      </c>
      <c r="U14" s="493">
        <f t="shared" si="6"/>
        <v>0</v>
      </c>
      <c r="V14" s="347">
        <f t="shared" si="7"/>
        <v>4501.3870000000006</v>
      </c>
      <c r="W14" s="498"/>
      <c r="X14" s="163"/>
    </row>
    <row r="15" spans="2:24" x14ac:dyDescent="0.2">
      <c r="B15" s="304"/>
      <c r="C15" s="373"/>
      <c r="D15" s="430"/>
      <c r="E15" s="375"/>
      <c r="F15" s="377"/>
      <c r="G15" s="377"/>
      <c r="H15" s="378"/>
      <c r="I15" s="374"/>
      <c r="J15" s="375"/>
      <c r="K15" s="375"/>
      <c r="L15" s="376"/>
      <c r="M15" s="375"/>
      <c r="N15" s="377"/>
      <c r="O15" s="378"/>
      <c r="R15" s="493"/>
      <c r="S15" s="493"/>
      <c r="T15" s="493">
        <f t="shared" si="5"/>
        <v>0</v>
      </c>
      <c r="U15" s="493">
        <f t="shared" si="6"/>
        <v>0</v>
      </c>
      <c r="V15" s="347">
        <f t="shared" si="7"/>
        <v>0</v>
      </c>
      <c r="W15" s="498"/>
      <c r="X15" s="163"/>
    </row>
    <row r="16" spans="2:24" x14ac:dyDescent="0.2">
      <c r="B16" s="304"/>
      <c r="C16" s="373"/>
      <c r="D16" s="1359" t="s">
        <v>207</v>
      </c>
      <c r="E16" s="1360"/>
      <c r="F16" s="1360"/>
      <c r="G16" s="1360"/>
      <c r="H16" s="1369"/>
      <c r="I16" s="374"/>
      <c r="J16" s="375"/>
      <c r="K16" s="375"/>
      <c r="L16" s="376"/>
      <c r="M16" s="375"/>
      <c r="N16" s="377"/>
      <c r="O16" s="378"/>
      <c r="R16" s="493"/>
      <c r="S16" s="493"/>
      <c r="T16" s="493">
        <f t="shared" si="5"/>
        <v>0</v>
      </c>
      <c r="U16" s="493">
        <f t="shared" si="6"/>
        <v>0</v>
      </c>
      <c r="V16" s="347">
        <f t="shared" si="7"/>
        <v>0</v>
      </c>
      <c r="W16" s="498"/>
      <c r="X16" s="163"/>
    </row>
    <row r="17" spans="2:24" x14ac:dyDescent="0.2">
      <c r="B17" s="304">
        <v>2001</v>
      </c>
      <c r="C17" s="368">
        <f t="shared" ref="C17:C29" si="8">+D17+L17</f>
        <v>4642.0639999999994</v>
      </c>
      <c r="D17" s="369">
        <f t="shared" ref="D17:D23" si="9">SUM(E17:F17)</f>
        <v>4418.8459999999995</v>
      </c>
      <c r="E17" s="379">
        <v>2610.5159999999996</v>
      </c>
      <c r="F17" s="382">
        <v>1808.33</v>
      </c>
      <c r="G17" s="382"/>
      <c r="H17" s="372"/>
      <c r="I17" s="495"/>
      <c r="J17" s="379"/>
      <c r="K17" s="379"/>
      <c r="L17" s="371">
        <f t="shared" ref="L17:L31" si="10">SUM(M17:O17)</f>
        <v>223.21799999999993</v>
      </c>
      <c r="M17" s="379">
        <v>64.318999999999988</v>
      </c>
      <c r="N17" s="382">
        <v>158.19899999999996</v>
      </c>
      <c r="O17" s="496">
        <v>0.7</v>
      </c>
      <c r="P17" s="201"/>
      <c r="Q17" s="492">
        <v>2001</v>
      </c>
      <c r="R17" s="493">
        <f t="shared" ref="R17:S30" si="11">+SUM(E17,J17)</f>
        <v>2610.5159999999996</v>
      </c>
      <c r="S17" s="493">
        <f t="shared" si="11"/>
        <v>1808.33</v>
      </c>
      <c r="T17" s="493">
        <f t="shared" si="5"/>
        <v>0</v>
      </c>
      <c r="U17" s="493">
        <f t="shared" si="6"/>
        <v>0</v>
      </c>
      <c r="V17" s="347">
        <f t="shared" si="7"/>
        <v>4418.8459999999995</v>
      </c>
      <c r="W17" s="498"/>
      <c r="X17" s="163"/>
    </row>
    <row r="18" spans="2:24" x14ac:dyDescent="0.2">
      <c r="B18" s="330">
        <v>2002</v>
      </c>
      <c r="C18" s="650">
        <f t="shared" si="8"/>
        <v>4657.8269999999993</v>
      </c>
      <c r="D18" s="651">
        <f t="shared" si="9"/>
        <v>4491.7919999999995</v>
      </c>
      <c r="E18" s="652">
        <v>2642.558</v>
      </c>
      <c r="F18" s="653">
        <v>1849.2339999999999</v>
      </c>
      <c r="G18" s="653"/>
      <c r="H18" s="654"/>
      <c r="I18" s="1616"/>
      <c r="J18" s="652"/>
      <c r="K18" s="652"/>
      <c r="L18" s="657">
        <f t="shared" si="10"/>
        <v>166.035</v>
      </c>
      <c r="M18" s="652">
        <v>60.305</v>
      </c>
      <c r="N18" s="653">
        <v>105.03</v>
      </c>
      <c r="O18" s="1618">
        <v>0.7</v>
      </c>
      <c r="P18" s="201"/>
      <c r="Q18" s="492">
        <v>2002</v>
      </c>
      <c r="R18" s="493">
        <f t="shared" si="11"/>
        <v>2642.558</v>
      </c>
      <c r="S18" s="493">
        <f t="shared" si="11"/>
        <v>1849.2339999999999</v>
      </c>
      <c r="T18" s="493">
        <f t="shared" si="5"/>
        <v>0</v>
      </c>
      <c r="U18" s="493">
        <f t="shared" si="6"/>
        <v>0</v>
      </c>
      <c r="V18" s="347">
        <f t="shared" si="7"/>
        <v>4491.7919999999995</v>
      </c>
      <c r="W18" s="498"/>
      <c r="X18" s="163"/>
    </row>
    <row r="19" spans="2:24" x14ac:dyDescent="0.2">
      <c r="B19" s="304">
        <v>2003</v>
      </c>
      <c r="C19" s="368">
        <f t="shared" si="8"/>
        <v>4686.3940000000011</v>
      </c>
      <c r="D19" s="369">
        <f t="shared" si="9"/>
        <v>4517.7180000000008</v>
      </c>
      <c r="E19" s="379">
        <v>2659.2490000000003</v>
      </c>
      <c r="F19" s="382">
        <v>1858.4690000000001</v>
      </c>
      <c r="G19" s="382"/>
      <c r="H19" s="372"/>
      <c r="I19" s="495"/>
      <c r="J19" s="379"/>
      <c r="K19" s="379"/>
      <c r="L19" s="371">
        <f t="shared" si="10"/>
        <v>168.67599999999996</v>
      </c>
      <c r="M19" s="379">
        <v>60.98</v>
      </c>
      <c r="N19" s="382">
        <v>106.99599999999997</v>
      </c>
      <c r="O19" s="496">
        <v>0.7</v>
      </c>
      <c r="Q19" s="492">
        <v>2003</v>
      </c>
      <c r="R19" s="493">
        <f t="shared" si="11"/>
        <v>2659.2490000000003</v>
      </c>
      <c r="S19" s="493">
        <f t="shared" si="11"/>
        <v>1858.4690000000001</v>
      </c>
      <c r="T19" s="493">
        <f t="shared" si="5"/>
        <v>0</v>
      </c>
      <c r="U19" s="493">
        <f t="shared" si="6"/>
        <v>0</v>
      </c>
      <c r="V19" s="347">
        <f t="shared" si="7"/>
        <v>4517.7180000000008</v>
      </c>
      <c r="W19" s="498"/>
      <c r="X19" s="163"/>
    </row>
    <row r="20" spans="2:24" x14ac:dyDescent="0.2">
      <c r="B20" s="330">
        <v>2004</v>
      </c>
      <c r="C20" s="650">
        <f t="shared" si="8"/>
        <v>4657.3150700000006</v>
      </c>
      <c r="D20" s="651">
        <f t="shared" si="9"/>
        <v>4493.808070000001</v>
      </c>
      <c r="E20" s="652">
        <v>2683.1130700000008</v>
      </c>
      <c r="F20" s="653">
        <v>1810.6949999999999</v>
      </c>
      <c r="G20" s="653"/>
      <c r="H20" s="654"/>
      <c r="I20" s="1616"/>
      <c r="J20" s="652"/>
      <c r="K20" s="652"/>
      <c r="L20" s="657">
        <f t="shared" si="10"/>
        <v>163.50700000000006</v>
      </c>
      <c r="M20" s="652">
        <v>64.159000000000006</v>
      </c>
      <c r="N20" s="653">
        <v>98.648000000000053</v>
      </c>
      <c r="O20" s="1618">
        <v>0.7</v>
      </c>
      <c r="P20" s="201"/>
      <c r="Q20" s="492">
        <v>2004</v>
      </c>
      <c r="R20" s="493">
        <f t="shared" si="11"/>
        <v>2683.1130700000008</v>
      </c>
      <c r="S20" s="493">
        <f t="shared" si="11"/>
        <v>1810.6949999999999</v>
      </c>
      <c r="T20" s="493">
        <f t="shared" si="5"/>
        <v>0</v>
      </c>
      <c r="U20" s="493">
        <f t="shared" si="6"/>
        <v>0</v>
      </c>
      <c r="V20" s="347">
        <f t="shared" si="7"/>
        <v>4493.808070000001</v>
      </c>
      <c r="W20" s="498"/>
    </row>
    <row r="21" spans="2:24" x14ac:dyDescent="0.2">
      <c r="B21" s="304">
        <v>2005</v>
      </c>
      <c r="C21" s="368">
        <f t="shared" si="8"/>
        <v>4798.6629999999996</v>
      </c>
      <c r="D21" s="369">
        <f t="shared" si="9"/>
        <v>4619.7579999999998</v>
      </c>
      <c r="E21" s="379">
        <v>2849.114</v>
      </c>
      <c r="F21" s="382">
        <v>1770.6439999999998</v>
      </c>
      <c r="G21" s="382"/>
      <c r="H21" s="372"/>
      <c r="I21" s="495"/>
      <c r="J21" s="379"/>
      <c r="K21" s="379"/>
      <c r="L21" s="371">
        <f t="shared" si="10"/>
        <v>178.90499999999992</v>
      </c>
      <c r="M21" s="379">
        <v>69.658999999999963</v>
      </c>
      <c r="N21" s="382">
        <v>108.54599999999998</v>
      </c>
      <c r="O21" s="496">
        <v>0.7</v>
      </c>
      <c r="P21" s="201"/>
      <c r="Q21" s="492">
        <v>2005</v>
      </c>
      <c r="R21" s="493">
        <f t="shared" si="11"/>
        <v>2849.114</v>
      </c>
      <c r="S21" s="493">
        <f t="shared" si="11"/>
        <v>1770.6439999999998</v>
      </c>
      <c r="T21" s="493">
        <f t="shared" si="5"/>
        <v>0</v>
      </c>
      <c r="U21" s="493">
        <f t="shared" si="6"/>
        <v>0</v>
      </c>
      <c r="V21" s="347">
        <f t="shared" si="7"/>
        <v>4619.7579999999998</v>
      </c>
      <c r="W21" s="498"/>
    </row>
    <row r="22" spans="2:24" x14ac:dyDescent="0.2">
      <c r="B22" s="330">
        <v>2006</v>
      </c>
      <c r="C22" s="650">
        <f>+D22+L22</f>
        <v>5064.3620000000001</v>
      </c>
      <c r="D22" s="651">
        <f>SUM(E22:F22)</f>
        <v>4891.5619999999999</v>
      </c>
      <c r="E22" s="652">
        <v>2859.1</v>
      </c>
      <c r="F22" s="653">
        <v>2032.4620000000002</v>
      </c>
      <c r="G22" s="653"/>
      <c r="H22" s="654"/>
      <c r="I22" s="1616"/>
      <c r="J22" s="652"/>
      <c r="K22" s="652"/>
      <c r="L22" s="657">
        <f>SUM(M22:O22)</f>
        <v>172.8</v>
      </c>
      <c r="M22" s="652">
        <v>67.518000000000001</v>
      </c>
      <c r="N22" s="653">
        <v>104.58200000000002</v>
      </c>
      <c r="O22" s="1618">
        <v>0.7</v>
      </c>
      <c r="P22" s="201"/>
      <c r="Q22" s="492">
        <v>2006</v>
      </c>
      <c r="R22" s="493">
        <f t="shared" si="11"/>
        <v>2859.1</v>
      </c>
      <c r="S22" s="493">
        <f t="shared" si="11"/>
        <v>2032.4620000000002</v>
      </c>
      <c r="T22" s="493">
        <f t="shared" si="5"/>
        <v>0</v>
      </c>
      <c r="U22" s="493">
        <f t="shared" si="6"/>
        <v>0</v>
      </c>
      <c r="V22" s="347">
        <f t="shared" si="7"/>
        <v>4891.5619999999999</v>
      </c>
      <c r="W22" s="498"/>
    </row>
    <row r="23" spans="2:24" x14ac:dyDescent="0.2">
      <c r="B23" s="304">
        <v>2007</v>
      </c>
      <c r="C23" s="368">
        <f t="shared" si="8"/>
        <v>5532.8549999999987</v>
      </c>
      <c r="D23" s="369">
        <f t="shared" si="9"/>
        <v>5363.3939999999984</v>
      </c>
      <c r="E23" s="379">
        <v>2874.7049999999981</v>
      </c>
      <c r="F23" s="382">
        <v>2488.6890000000008</v>
      </c>
      <c r="G23" s="382"/>
      <c r="H23" s="372"/>
      <c r="I23" s="495"/>
      <c r="J23" s="379"/>
      <c r="K23" s="379"/>
      <c r="L23" s="371">
        <f t="shared" si="10"/>
        <v>169.46100000000004</v>
      </c>
      <c r="M23" s="379">
        <v>64.882000000000005</v>
      </c>
      <c r="N23" s="382">
        <v>103.87900000000005</v>
      </c>
      <c r="O23" s="496">
        <v>0.7</v>
      </c>
      <c r="P23" s="201"/>
      <c r="Q23" s="492">
        <v>2007</v>
      </c>
      <c r="R23" s="493">
        <f t="shared" si="11"/>
        <v>2874.7049999999981</v>
      </c>
      <c r="S23" s="493">
        <f t="shared" si="11"/>
        <v>2488.6890000000008</v>
      </c>
      <c r="T23" s="493">
        <f t="shared" si="5"/>
        <v>0</v>
      </c>
      <c r="U23" s="493">
        <f t="shared" si="6"/>
        <v>0</v>
      </c>
      <c r="V23" s="347">
        <f t="shared" si="7"/>
        <v>5363.3939999999984</v>
      </c>
      <c r="W23" s="498"/>
    </row>
    <row r="24" spans="2:24" x14ac:dyDescent="0.2">
      <c r="B24" s="330">
        <v>2008</v>
      </c>
      <c r="C24" s="650">
        <f t="shared" si="8"/>
        <v>5444.2160000000003</v>
      </c>
      <c r="D24" s="651">
        <f>SUM(E24:F24)</f>
        <v>5248.7000000000007</v>
      </c>
      <c r="E24" s="652">
        <v>2889.0490000000004</v>
      </c>
      <c r="F24" s="653">
        <v>2359.6509999999998</v>
      </c>
      <c r="G24" s="653"/>
      <c r="H24" s="654"/>
      <c r="I24" s="1616"/>
      <c r="J24" s="652"/>
      <c r="K24" s="652"/>
      <c r="L24" s="657">
        <f t="shared" si="10"/>
        <v>195.51599999999991</v>
      </c>
      <c r="M24" s="652">
        <v>64.071999999999989</v>
      </c>
      <c r="N24" s="653">
        <v>130.74399999999991</v>
      </c>
      <c r="O24" s="1618">
        <v>0.7</v>
      </c>
      <c r="P24" s="201"/>
      <c r="Q24" s="492">
        <v>2008</v>
      </c>
      <c r="R24" s="493">
        <f t="shared" si="11"/>
        <v>2889.0490000000004</v>
      </c>
      <c r="S24" s="493">
        <f t="shared" si="11"/>
        <v>2359.6509999999998</v>
      </c>
      <c r="T24" s="493">
        <f t="shared" si="5"/>
        <v>0</v>
      </c>
      <c r="U24" s="493">
        <f t="shared" si="6"/>
        <v>0</v>
      </c>
      <c r="V24" s="347">
        <f t="shared" si="7"/>
        <v>5248.7000000000007</v>
      </c>
      <c r="W24" s="498"/>
    </row>
    <row r="25" spans="2:24" x14ac:dyDescent="0.2">
      <c r="B25" s="304">
        <v>2009</v>
      </c>
      <c r="C25" s="368">
        <f t="shared" si="8"/>
        <v>6246.4090000000006</v>
      </c>
      <c r="D25" s="369">
        <f>SUM(E25:F25)</f>
        <v>6064.4620000000004</v>
      </c>
      <c r="E25" s="379">
        <v>2982.3650000000002</v>
      </c>
      <c r="F25" s="382">
        <v>3082.0970000000002</v>
      </c>
      <c r="G25" s="382"/>
      <c r="H25" s="372"/>
      <c r="I25" s="495"/>
      <c r="J25" s="379"/>
      <c r="K25" s="379"/>
      <c r="L25" s="371">
        <f t="shared" si="10"/>
        <v>181.947</v>
      </c>
      <c r="M25" s="379">
        <v>54.796999999999997</v>
      </c>
      <c r="N25" s="382">
        <v>126.45</v>
      </c>
      <c r="O25" s="496">
        <v>0.7</v>
      </c>
      <c r="P25" s="201"/>
      <c r="Q25" s="492">
        <v>2009</v>
      </c>
      <c r="R25" s="493">
        <f t="shared" si="11"/>
        <v>2982.3650000000002</v>
      </c>
      <c r="S25" s="493">
        <f t="shared" si="11"/>
        <v>3082.0970000000002</v>
      </c>
      <c r="T25" s="493">
        <f t="shared" si="5"/>
        <v>0</v>
      </c>
      <c r="U25" s="493">
        <f t="shared" si="6"/>
        <v>0</v>
      </c>
      <c r="V25" s="347">
        <f t="shared" si="7"/>
        <v>6064.4620000000004</v>
      </c>
      <c r="W25" s="498"/>
    </row>
    <row r="26" spans="2:24" x14ac:dyDescent="0.2">
      <c r="B26" s="330">
        <v>2010</v>
      </c>
      <c r="C26" s="650">
        <f t="shared" si="8"/>
        <v>6875.0380000000014</v>
      </c>
      <c r="D26" s="651">
        <f>SUM(E26:F26)</f>
        <v>6727.0620000000017</v>
      </c>
      <c r="E26" s="652">
        <v>3188.2890000000007</v>
      </c>
      <c r="F26" s="653">
        <v>3538.7730000000006</v>
      </c>
      <c r="G26" s="653"/>
      <c r="H26" s="654"/>
      <c r="I26" s="1616"/>
      <c r="J26" s="652"/>
      <c r="K26" s="652"/>
      <c r="L26" s="657">
        <f t="shared" si="10"/>
        <v>147.976</v>
      </c>
      <c r="M26" s="652">
        <v>49.071999999999989</v>
      </c>
      <c r="N26" s="653">
        <v>98.204000000000008</v>
      </c>
      <c r="O26" s="1618">
        <v>0.7</v>
      </c>
      <c r="P26" s="201"/>
      <c r="Q26" s="492">
        <v>2010</v>
      </c>
      <c r="R26" s="493">
        <f t="shared" si="11"/>
        <v>3188.2890000000007</v>
      </c>
      <c r="S26" s="493">
        <f t="shared" si="11"/>
        <v>3538.7730000000006</v>
      </c>
      <c r="T26" s="493">
        <f t="shared" si="5"/>
        <v>0</v>
      </c>
      <c r="U26" s="493">
        <f t="shared" si="6"/>
        <v>0</v>
      </c>
      <c r="V26" s="347">
        <f t="shared" si="7"/>
        <v>6727.0620000000017</v>
      </c>
      <c r="W26" s="498"/>
    </row>
    <row r="27" spans="2:24" x14ac:dyDescent="0.2">
      <c r="B27" s="293">
        <v>2011</v>
      </c>
      <c r="C27" s="368">
        <f t="shared" si="8"/>
        <v>6867.8209999999999</v>
      </c>
      <c r="D27" s="369">
        <f>SUM(E27:F27)</f>
        <v>6729.8410000000003</v>
      </c>
      <c r="E27" s="379">
        <v>3204.1890000000003</v>
      </c>
      <c r="F27" s="382">
        <v>3525.6520000000005</v>
      </c>
      <c r="G27" s="382"/>
      <c r="H27" s="372"/>
      <c r="I27" s="495"/>
      <c r="J27" s="379"/>
      <c r="K27" s="379"/>
      <c r="L27" s="371">
        <f t="shared" si="10"/>
        <v>137.97999999999999</v>
      </c>
      <c r="M27" s="379">
        <v>42.436</v>
      </c>
      <c r="N27" s="382">
        <v>94.843999999999994</v>
      </c>
      <c r="O27" s="496">
        <v>0.7</v>
      </c>
      <c r="P27" s="201"/>
      <c r="Q27" s="492">
        <v>2011</v>
      </c>
      <c r="R27" s="493">
        <f t="shared" si="11"/>
        <v>3204.1890000000003</v>
      </c>
      <c r="S27" s="493">
        <f t="shared" si="11"/>
        <v>3525.6520000000005</v>
      </c>
      <c r="T27" s="493">
        <f t="shared" si="5"/>
        <v>0</v>
      </c>
      <c r="U27" s="493">
        <f t="shared" si="6"/>
        <v>0</v>
      </c>
      <c r="V27" s="347">
        <f t="shared" si="7"/>
        <v>6729.8410000000003</v>
      </c>
      <c r="W27" s="498"/>
    </row>
    <row r="28" spans="2:24" x14ac:dyDescent="0.2">
      <c r="B28" s="330">
        <v>2012</v>
      </c>
      <c r="C28" s="650">
        <f t="shared" si="8"/>
        <v>7754.9049999999997</v>
      </c>
      <c r="D28" s="651">
        <f>SUM(E28:H28)</f>
        <v>7617.5529999999999</v>
      </c>
      <c r="E28" s="652">
        <v>3228.1389999999997</v>
      </c>
      <c r="F28" s="653">
        <v>4309.4139999999998</v>
      </c>
      <c r="G28" s="653">
        <v>80</v>
      </c>
      <c r="H28" s="654"/>
      <c r="I28" s="1616"/>
      <c r="J28" s="652"/>
      <c r="K28" s="652"/>
      <c r="L28" s="657">
        <f t="shared" si="10"/>
        <v>137.352</v>
      </c>
      <c r="M28" s="652">
        <v>42.457999999999998</v>
      </c>
      <c r="N28" s="653">
        <v>94.194000000000017</v>
      </c>
      <c r="O28" s="1618">
        <v>0.7</v>
      </c>
      <c r="P28" s="201"/>
      <c r="Q28" s="492">
        <v>2012</v>
      </c>
      <c r="R28" s="493">
        <f t="shared" si="11"/>
        <v>3228.1389999999997</v>
      </c>
      <c r="S28" s="493">
        <f t="shared" si="11"/>
        <v>4309.4139999999998</v>
      </c>
      <c r="T28" s="493">
        <f t="shared" si="5"/>
        <v>80</v>
      </c>
      <c r="U28" s="493">
        <f t="shared" si="6"/>
        <v>0</v>
      </c>
      <c r="V28" s="347">
        <f t="shared" si="7"/>
        <v>7617.5529999999999</v>
      </c>
      <c r="W28" s="498"/>
    </row>
    <row r="29" spans="2:24" x14ac:dyDescent="0.2">
      <c r="B29" s="327">
        <v>2013</v>
      </c>
      <c r="C29" s="385">
        <f t="shared" si="8"/>
        <v>8680.4209999999985</v>
      </c>
      <c r="D29" s="386">
        <f>SUM(E29:H29)</f>
        <v>8521.0119999999988</v>
      </c>
      <c r="E29" s="387">
        <v>3295.1579999999994</v>
      </c>
      <c r="F29" s="388">
        <v>5145.8539999999994</v>
      </c>
      <c r="G29" s="388">
        <v>80</v>
      </c>
      <c r="H29" s="391"/>
      <c r="I29" s="499"/>
      <c r="J29" s="387"/>
      <c r="K29" s="387"/>
      <c r="L29" s="390">
        <f t="shared" si="10"/>
        <v>159.40900000000005</v>
      </c>
      <c r="M29" s="387">
        <v>41.878</v>
      </c>
      <c r="N29" s="388">
        <v>116.83100000000005</v>
      </c>
      <c r="O29" s="500">
        <v>0.7</v>
      </c>
      <c r="P29" s="201"/>
      <c r="Q29" s="492">
        <v>2013</v>
      </c>
      <c r="R29" s="493">
        <f t="shared" si="11"/>
        <v>3295.1579999999994</v>
      </c>
      <c r="S29" s="493">
        <f t="shared" si="11"/>
        <v>5145.8539999999994</v>
      </c>
      <c r="T29" s="493">
        <f t="shared" si="5"/>
        <v>80</v>
      </c>
      <c r="U29" s="493">
        <f t="shared" si="6"/>
        <v>0</v>
      </c>
      <c r="V29" s="347">
        <f t="shared" si="7"/>
        <v>8521.0119999999988</v>
      </c>
      <c r="W29" s="498"/>
    </row>
    <row r="30" spans="2:24" x14ac:dyDescent="0.2">
      <c r="B30" s="330">
        <v>2014</v>
      </c>
      <c r="C30" s="650">
        <f>+D30+L30</f>
        <v>9082.8000000000011</v>
      </c>
      <c r="D30" s="651">
        <f>SUM(E30:H30)</f>
        <v>8908.4320000000007</v>
      </c>
      <c r="E30" s="652">
        <v>3396.0650000000005</v>
      </c>
      <c r="F30" s="653">
        <v>5274.3670000000011</v>
      </c>
      <c r="G30" s="653">
        <v>96</v>
      </c>
      <c r="H30" s="654">
        <v>142</v>
      </c>
      <c r="I30" s="1616"/>
      <c r="J30" s="652"/>
      <c r="K30" s="652"/>
      <c r="L30" s="657">
        <f t="shared" si="10"/>
        <v>174.36800000000005</v>
      </c>
      <c r="M30" s="652">
        <v>39.876000000000012</v>
      </c>
      <c r="N30" s="653">
        <v>133.79200000000006</v>
      </c>
      <c r="O30" s="1618">
        <v>0.7</v>
      </c>
      <c r="P30" s="201"/>
      <c r="Q30" s="492">
        <v>2014</v>
      </c>
      <c r="R30" s="493">
        <f t="shared" si="11"/>
        <v>3396.0650000000005</v>
      </c>
      <c r="S30" s="493">
        <f t="shared" si="11"/>
        <v>5274.3670000000011</v>
      </c>
      <c r="T30" s="493">
        <f t="shared" si="5"/>
        <v>96</v>
      </c>
      <c r="U30" s="493">
        <f t="shared" si="6"/>
        <v>142</v>
      </c>
      <c r="V30" s="347">
        <f t="shared" si="7"/>
        <v>8908.4320000000007</v>
      </c>
      <c r="W30" s="498"/>
    </row>
    <row r="31" spans="2:24" x14ac:dyDescent="0.2">
      <c r="B31" s="327" t="s">
        <v>136</v>
      </c>
      <c r="C31" s="385">
        <f>+D31+L31</f>
        <v>10088.199999999997</v>
      </c>
      <c r="D31" s="386">
        <f>SUM(E31:H31)</f>
        <v>9913.2319999999963</v>
      </c>
      <c r="E31" s="387">
        <v>3907.0649999999996</v>
      </c>
      <c r="F31" s="388">
        <v>5678.1669999999976</v>
      </c>
      <c r="G31" s="388">
        <v>96</v>
      </c>
      <c r="H31" s="391">
        <v>232</v>
      </c>
      <c r="I31" s="499"/>
      <c r="J31" s="387"/>
      <c r="K31" s="387"/>
      <c r="L31" s="390">
        <f t="shared" si="10"/>
        <v>174.96799999999996</v>
      </c>
      <c r="M31" s="387">
        <v>39.875999999999991</v>
      </c>
      <c r="N31" s="388">
        <v>134.39199999999997</v>
      </c>
      <c r="O31" s="500">
        <v>0.7</v>
      </c>
      <c r="P31" s="201"/>
      <c r="Q31" s="492"/>
      <c r="R31" s="493"/>
      <c r="S31" s="493"/>
      <c r="T31" s="493"/>
      <c r="U31" s="493"/>
      <c r="V31" s="347"/>
      <c r="W31" s="498"/>
    </row>
    <row r="32" spans="2:24" ht="13.5" thickBot="1" x14ac:dyDescent="0.25">
      <c r="B32" s="330"/>
      <c r="C32" s="650"/>
      <c r="D32" s="651"/>
      <c r="E32" s="652"/>
      <c r="F32" s="653"/>
      <c r="G32" s="653"/>
      <c r="H32" s="654"/>
      <c r="I32" s="1616"/>
      <c r="J32" s="652"/>
      <c r="K32" s="652"/>
      <c r="L32" s="657"/>
      <c r="M32" s="652"/>
      <c r="N32" s="653"/>
      <c r="O32" s="1618"/>
      <c r="P32" s="201"/>
      <c r="Q32" s="201"/>
      <c r="R32" s="497"/>
      <c r="S32" s="497"/>
      <c r="T32" s="498"/>
      <c r="U32" s="498"/>
      <c r="V32" s="501"/>
      <c r="W32" s="498"/>
    </row>
    <row r="33" spans="2:21" ht="21" customHeight="1" x14ac:dyDescent="0.2">
      <c r="B33" s="395" t="s">
        <v>137</v>
      </c>
      <c r="C33" s="396">
        <f t="shared" ref="C33:H33" si="12">(C31/C30)-1</f>
        <v>0.11069273792222623</v>
      </c>
      <c r="D33" s="397">
        <f t="shared" ref="D33:F33" si="13">(D31/D30)-1</f>
        <v>0.11279201547477657</v>
      </c>
      <c r="E33" s="403">
        <f t="shared" si="13"/>
        <v>0.15046826253325518</v>
      </c>
      <c r="F33" s="403">
        <f t="shared" si="13"/>
        <v>7.6558950107187496E-2</v>
      </c>
      <c r="G33" s="403">
        <f t="shared" si="12"/>
        <v>0</v>
      </c>
      <c r="H33" s="399">
        <f t="shared" si="12"/>
        <v>0.63380281690140849</v>
      </c>
      <c r="I33" s="502"/>
      <c r="J33" s="503"/>
      <c r="K33" s="504"/>
      <c r="L33" s="505">
        <f t="shared" ref="L33:N33" si="14">(L31/L30)-1</f>
        <v>3.4409983483203455E-3</v>
      </c>
      <c r="M33" s="506">
        <f t="shared" si="14"/>
        <v>0</v>
      </c>
      <c r="N33" s="507">
        <f t="shared" si="14"/>
        <v>4.4845730686431384E-3</v>
      </c>
      <c r="O33" s="508"/>
    </row>
    <row r="34" spans="2:21" ht="21" customHeight="1" x14ac:dyDescent="0.2">
      <c r="B34" s="696" t="s">
        <v>138</v>
      </c>
      <c r="C34" s="620">
        <f>((C31/C26)^(1/5))-1</f>
        <v>7.9711472809880002E-2</v>
      </c>
      <c r="D34" s="746">
        <f>((D31/D26)^(1/5))-1</f>
        <v>8.06323585453943E-2</v>
      </c>
      <c r="E34" s="747">
        <f>((E31/E26)^(1/5))-1</f>
        <v>4.149836169676524E-2</v>
      </c>
      <c r="F34" s="747">
        <f>((F31/F26)^(1/5))-1</f>
        <v>9.9185754473551047E-2</v>
      </c>
      <c r="G34" s="1607" t="s">
        <v>109</v>
      </c>
      <c r="H34" s="1608" t="s">
        <v>109</v>
      </c>
      <c r="I34" s="337"/>
      <c r="J34" s="337"/>
      <c r="K34" s="509"/>
      <c r="L34" s="1620">
        <f>((L31/L26)^(1/5))-1</f>
        <v>3.4078405231836362E-2</v>
      </c>
      <c r="M34" s="747">
        <f>((M31/M26)^(1/5))-1</f>
        <v>-4.0653344733655894E-2</v>
      </c>
      <c r="N34" s="1613">
        <f>((N31/N26)^(1/5))-1</f>
        <v>6.4752939922247954E-2</v>
      </c>
      <c r="O34" s="405"/>
      <c r="Q34" s="190" t="s">
        <v>222</v>
      </c>
    </row>
    <row r="35" spans="2:21" ht="21" customHeight="1" x14ac:dyDescent="0.2">
      <c r="B35" s="408" t="s">
        <v>144</v>
      </c>
      <c r="C35" s="409">
        <f>(C31/C21)-1</f>
        <v>1.1022939097827869</v>
      </c>
      <c r="D35" s="510">
        <f>(D31/D21)-1</f>
        <v>1.1458336129295077</v>
      </c>
      <c r="E35" s="414">
        <f>(E31/E21)-1</f>
        <v>0.37132631407518257</v>
      </c>
      <c r="F35" s="414">
        <f>(F31/F21)-1</f>
        <v>2.206837173367429</v>
      </c>
      <c r="G35" s="511" t="s">
        <v>109</v>
      </c>
      <c r="H35" s="512" t="s">
        <v>109</v>
      </c>
      <c r="I35" s="337"/>
      <c r="J35" s="513"/>
      <c r="K35" s="509"/>
      <c r="L35" s="514">
        <f>(L31/L21)-1</f>
        <v>-2.200609261898745E-2</v>
      </c>
      <c r="M35" s="414">
        <f>(M31/M21)-1</f>
        <v>-0.42755422845576296</v>
      </c>
      <c r="N35" s="414">
        <f>(N31/N21)-1</f>
        <v>0.2381110312678496</v>
      </c>
      <c r="O35" s="405"/>
    </row>
    <row r="36" spans="2:21" ht="21" customHeight="1" thickBot="1" x14ac:dyDescent="0.25">
      <c r="B36" s="710" t="s">
        <v>140</v>
      </c>
      <c r="C36" s="750">
        <f>((C31/C21)^(1/10))-1</f>
        <v>7.7133029003281006E-2</v>
      </c>
      <c r="D36" s="751">
        <f>((D31/D21)^(1/10))-1</f>
        <v>7.9343310925197308E-2</v>
      </c>
      <c r="E36" s="752">
        <f>((E31/E21)^(1/10))-1</f>
        <v>3.2081708056409752E-2</v>
      </c>
      <c r="F36" s="752">
        <f>((F31/F21)^(1/10))-1</f>
        <v>0.123589548847721</v>
      </c>
      <c r="G36" s="1609" t="s">
        <v>109</v>
      </c>
      <c r="H36" s="1610" t="s">
        <v>109</v>
      </c>
      <c r="I36" s="513"/>
      <c r="J36" s="513"/>
      <c r="K36" s="509"/>
      <c r="L36" s="1621">
        <f>((L31/L21)^(1/10))-1</f>
        <v>-2.2227099775259385E-3</v>
      </c>
      <c r="M36" s="752">
        <f>((M31/M21)^(1/10))-1</f>
        <v>-5.4256347431241192E-2</v>
      </c>
      <c r="N36" s="1615">
        <f>((N31/N21)^(1/10))-1</f>
        <v>2.1588415007146811E-2</v>
      </c>
      <c r="O36" s="405"/>
      <c r="Q36" s="492">
        <v>1995</v>
      </c>
      <c r="R36" s="201">
        <f t="shared" ref="R36:S41" si="15">+R9+E53</f>
        <v>2357.0650000000001</v>
      </c>
      <c r="S36" s="201">
        <f t="shared" si="15"/>
        <v>884.12099999999998</v>
      </c>
      <c r="T36" s="201">
        <f t="shared" ref="T36:U51" si="16">+T9</f>
        <v>0</v>
      </c>
      <c r="U36" s="201">
        <f t="shared" si="16"/>
        <v>0</v>
      </c>
    </row>
    <row r="37" spans="2:21" x14ac:dyDescent="0.2">
      <c r="B37" s="319"/>
      <c r="C37" s="416"/>
      <c r="D37" s="417"/>
      <c r="H37" s="162"/>
      <c r="I37" s="515"/>
      <c r="J37" s="513"/>
      <c r="K37" s="516"/>
      <c r="L37" s="416"/>
      <c r="O37" s="162"/>
      <c r="Q37" s="492">
        <v>1996</v>
      </c>
      <c r="R37" s="201">
        <f t="shared" si="15"/>
        <v>2090.576</v>
      </c>
      <c r="S37" s="201">
        <f t="shared" si="15"/>
        <v>847.88700000000006</v>
      </c>
      <c r="T37" s="201">
        <f t="shared" si="16"/>
        <v>0</v>
      </c>
      <c r="U37" s="201">
        <f t="shared" si="16"/>
        <v>0</v>
      </c>
    </row>
    <row r="38" spans="2:21" x14ac:dyDescent="0.2">
      <c r="B38" s="464" t="s">
        <v>189</v>
      </c>
      <c r="J38" s="439"/>
      <c r="K38" s="517"/>
      <c r="Q38" s="492">
        <v>1997</v>
      </c>
      <c r="R38" s="201">
        <f t="shared" si="15"/>
        <v>2079.4259999999999</v>
      </c>
      <c r="S38" s="201">
        <f t="shared" si="15"/>
        <v>1561.0219999999999</v>
      </c>
      <c r="T38" s="201">
        <f t="shared" si="16"/>
        <v>0</v>
      </c>
      <c r="U38" s="201">
        <f t="shared" si="16"/>
        <v>0</v>
      </c>
    </row>
    <row r="39" spans="2:21" x14ac:dyDescent="0.2">
      <c r="B39" s="349"/>
      <c r="J39" s="202"/>
      <c r="Q39" s="492">
        <v>1998</v>
      </c>
      <c r="R39" s="201">
        <f t="shared" si="15"/>
        <v>1971.2279999999998</v>
      </c>
      <c r="S39" s="201">
        <f t="shared" si="15"/>
        <v>1815.2809999999999</v>
      </c>
      <c r="T39" s="201">
        <f t="shared" si="16"/>
        <v>0</v>
      </c>
      <c r="U39" s="201">
        <f t="shared" si="16"/>
        <v>0</v>
      </c>
    </row>
    <row r="40" spans="2:21" x14ac:dyDescent="0.2">
      <c r="B40" s="258"/>
      <c r="E40" s="202"/>
      <c r="F40" s="202"/>
      <c r="G40" s="202"/>
      <c r="H40" s="202"/>
      <c r="J40" s="202"/>
      <c r="N40" s="163"/>
      <c r="Q40" s="492">
        <v>1999</v>
      </c>
      <c r="R40" s="201">
        <f t="shared" si="15"/>
        <v>2186.0050000000001</v>
      </c>
      <c r="S40" s="201">
        <f t="shared" si="15"/>
        <v>1902.1569999999999</v>
      </c>
      <c r="T40" s="201">
        <f t="shared" si="16"/>
        <v>0</v>
      </c>
      <c r="U40" s="201">
        <f t="shared" si="16"/>
        <v>0</v>
      </c>
    </row>
    <row r="41" spans="2:21" x14ac:dyDescent="0.2">
      <c r="B41" s="258"/>
      <c r="N41" s="518"/>
      <c r="Q41" s="492">
        <v>2000</v>
      </c>
      <c r="R41" s="201">
        <f t="shared" si="15"/>
        <v>2518.0600000000004</v>
      </c>
      <c r="S41" s="201">
        <f t="shared" si="15"/>
        <v>2023.7600000000002</v>
      </c>
      <c r="T41" s="201">
        <f t="shared" si="16"/>
        <v>0</v>
      </c>
      <c r="U41" s="201">
        <f t="shared" si="16"/>
        <v>0</v>
      </c>
    </row>
    <row r="42" spans="2:21" x14ac:dyDescent="0.2">
      <c r="B42" s="258"/>
      <c r="N42" s="163"/>
      <c r="R42" s="201"/>
      <c r="S42" s="201"/>
      <c r="T42" s="201">
        <f t="shared" si="16"/>
        <v>0</v>
      </c>
      <c r="U42" s="201">
        <f t="shared" si="16"/>
        <v>0</v>
      </c>
    </row>
    <row r="43" spans="2:21" x14ac:dyDescent="0.2">
      <c r="B43" s="258"/>
      <c r="R43" s="201"/>
      <c r="S43" s="201"/>
      <c r="T43" s="201">
        <f t="shared" si="16"/>
        <v>0</v>
      </c>
      <c r="U43" s="201">
        <f t="shared" si="16"/>
        <v>0</v>
      </c>
    </row>
    <row r="44" spans="2:21" x14ac:dyDescent="0.2">
      <c r="B44" s="258"/>
      <c r="Q44" s="492">
        <v>2001</v>
      </c>
      <c r="R44" s="201">
        <f t="shared" ref="R44:S57" si="17">+R17+E61</f>
        <v>2623.4219999999996</v>
      </c>
      <c r="S44" s="201">
        <f t="shared" si="17"/>
        <v>1896.5029999999999</v>
      </c>
      <c r="T44" s="201">
        <f t="shared" si="16"/>
        <v>0</v>
      </c>
      <c r="U44" s="201">
        <f t="shared" si="16"/>
        <v>0</v>
      </c>
    </row>
    <row r="45" spans="2:21" x14ac:dyDescent="0.2">
      <c r="Q45" s="492">
        <v>2002</v>
      </c>
      <c r="R45" s="201">
        <f t="shared" si="17"/>
        <v>2655.4639999999999</v>
      </c>
      <c r="S45" s="201">
        <f t="shared" si="17"/>
        <v>1917.029</v>
      </c>
      <c r="T45" s="201">
        <f t="shared" si="16"/>
        <v>0</v>
      </c>
      <c r="U45" s="201">
        <f t="shared" si="16"/>
        <v>0</v>
      </c>
    </row>
    <row r="46" spans="2:21" x14ac:dyDescent="0.2">
      <c r="Q46" s="492">
        <v>2003</v>
      </c>
      <c r="R46" s="201">
        <f t="shared" si="17"/>
        <v>2672.1550000000002</v>
      </c>
      <c r="S46" s="201">
        <f t="shared" si="17"/>
        <v>1925.7750000000001</v>
      </c>
      <c r="T46" s="201">
        <f t="shared" si="16"/>
        <v>0</v>
      </c>
      <c r="U46" s="201">
        <f t="shared" si="16"/>
        <v>0</v>
      </c>
    </row>
    <row r="47" spans="2:21" ht="15.75" x14ac:dyDescent="0.25">
      <c r="B47" s="350" t="s">
        <v>223</v>
      </c>
      <c r="Q47" s="492">
        <v>2004</v>
      </c>
      <c r="R47" s="201">
        <f t="shared" si="17"/>
        <v>2695.6130700000008</v>
      </c>
      <c r="S47" s="201">
        <f t="shared" si="17"/>
        <v>1912.0929999999998</v>
      </c>
      <c r="T47" s="201">
        <f t="shared" si="16"/>
        <v>0</v>
      </c>
      <c r="U47" s="201">
        <f t="shared" si="16"/>
        <v>0</v>
      </c>
    </row>
    <row r="48" spans="2:21" x14ac:dyDescent="0.2">
      <c r="B48" s="349"/>
      <c r="Q48" s="492">
        <v>2005</v>
      </c>
      <c r="R48" s="201">
        <f t="shared" si="17"/>
        <v>2861.614</v>
      </c>
      <c r="S48" s="201">
        <f t="shared" si="17"/>
        <v>1885.1019999999999</v>
      </c>
      <c r="T48" s="201">
        <f t="shared" si="16"/>
        <v>0</v>
      </c>
      <c r="U48" s="201">
        <f t="shared" si="16"/>
        <v>0</v>
      </c>
    </row>
    <row r="49" spans="2:21" ht="13.5" thickBot="1" x14ac:dyDescent="0.25">
      <c r="Q49" s="492">
        <v>2006</v>
      </c>
      <c r="R49" s="201">
        <f t="shared" si="17"/>
        <v>2871.6</v>
      </c>
      <c r="S49" s="201">
        <f t="shared" si="17"/>
        <v>2128.9540000000002</v>
      </c>
      <c r="T49" s="201">
        <f t="shared" si="16"/>
        <v>0</v>
      </c>
      <c r="U49" s="201">
        <f t="shared" si="16"/>
        <v>0</v>
      </c>
    </row>
    <row r="50" spans="2:21" x14ac:dyDescent="0.2">
      <c r="B50" s="519" t="s">
        <v>132</v>
      </c>
      <c r="C50" s="520" t="s">
        <v>199</v>
      </c>
      <c r="D50" s="1374" t="s">
        <v>200</v>
      </c>
      <c r="E50" s="1375"/>
      <c r="F50" s="1376"/>
      <c r="G50" s="1374" t="s">
        <v>215</v>
      </c>
      <c r="H50" s="1375"/>
      <c r="I50" s="1376"/>
      <c r="J50" s="1374" t="s">
        <v>216</v>
      </c>
      <c r="K50" s="1375"/>
      <c r="L50" s="1375"/>
      <c r="M50" s="1379"/>
      <c r="O50" s="521"/>
      <c r="Q50" s="492">
        <v>2007</v>
      </c>
      <c r="R50" s="201">
        <f t="shared" si="17"/>
        <v>2887.2049999999981</v>
      </c>
      <c r="S50" s="201">
        <f t="shared" si="17"/>
        <v>2586.7150000000006</v>
      </c>
      <c r="T50" s="201">
        <f t="shared" si="16"/>
        <v>0</v>
      </c>
      <c r="U50" s="201">
        <f t="shared" si="16"/>
        <v>0</v>
      </c>
    </row>
    <row r="51" spans="2:21" ht="13.5" thickBot="1" x14ac:dyDescent="0.25">
      <c r="B51" s="353"/>
      <c r="C51" s="357"/>
      <c r="D51" s="485" t="s">
        <v>203</v>
      </c>
      <c r="E51" s="486" t="s">
        <v>204</v>
      </c>
      <c r="F51" s="485" t="s">
        <v>205</v>
      </c>
      <c r="G51" s="485" t="s">
        <v>203</v>
      </c>
      <c r="H51" s="485" t="s">
        <v>204</v>
      </c>
      <c r="I51" s="485" t="s">
        <v>205</v>
      </c>
      <c r="J51" s="485" t="s">
        <v>203</v>
      </c>
      <c r="K51" s="485" t="s">
        <v>204</v>
      </c>
      <c r="L51" s="485" t="s">
        <v>205</v>
      </c>
      <c r="M51" s="487" t="s">
        <v>206</v>
      </c>
      <c r="Q51" s="492">
        <v>2008</v>
      </c>
      <c r="R51" s="201">
        <f t="shared" si="17"/>
        <v>2901.5490000000004</v>
      </c>
      <c r="S51" s="201">
        <f t="shared" si="17"/>
        <v>2454.8609999999999</v>
      </c>
      <c r="T51" s="201">
        <f t="shared" si="16"/>
        <v>0</v>
      </c>
      <c r="U51" s="201">
        <f t="shared" si="16"/>
        <v>0</v>
      </c>
    </row>
    <row r="52" spans="2:21" x14ac:dyDescent="0.2">
      <c r="B52" s="358"/>
      <c r="C52" s="359"/>
      <c r="D52" s="362"/>
      <c r="E52" s="364"/>
      <c r="F52" s="424"/>
      <c r="G52" s="490"/>
      <c r="H52" s="364"/>
      <c r="I52" s="364"/>
      <c r="J52" s="359"/>
      <c r="K52" s="364"/>
      <c r="L52" s="362"/>
      <c r="M52" s="365"/>
      <c r="Q52" s="492">
        <v>2009</v>
      </c>
      <c r="R52" s="201">
        <f t="shared" si="17"/>
        <v>2994.8650000000002</v>
      </c>
      <c r="S52" s="201">
        <f t="shared" si="17"/>
        <v>3193.8180000000002</v>
      </c>
      <c r="T52" s="201">
        <f t="shared" ref="T52:U57" si="18">+T25</f>
        <v>0</v>
      </c>
      <c r="U52" s="201">
        <f t="shared" si="18"/>
        <v>0</v>
      </c>
    </row>
    <row r="53" spans="2:21" x14ac:dyDescent="0.2">
      <c r="B53" s="548">
        <v>1995</v>
      </c>
      <c r="C53" s="650">
        <f t="shared" ref="C53:C58" si="19">+D53+G53+J53</f>
        <v>880.01600000000008</v>
      </c>
      <c r="D53" s="651">
        <f t="shared" ref="D53:D58" si="20">SUM(E53:F53)</f>
        <v>380.07</v>
      </c>
      <c r="E53" s="588">
        <v>196.31</v>
      </c>
      <c r="F53" s="1611">
        <v>183.76</v>
      </c>
      <c r="G53" s="1616">
        <f t="shared" ref="G53:G58" si="21">SUM(H53:I53)</f>
        <v>230.02</v>
      </c>
      <c r="H53" s="1617">
        <v>0</v>
      </c>
      <c r="I53" s="300">
        <v>230.02</v>
      </c>
      <c r="J53" s="657">
        <f t="shared" ref="J53:J58" si="22">SUM(K53:M53)</f>
        <v>269.92599999999999</v>
      </c>
      <c r="K53" s="588">
        <v>72.66</v>
      </c>
      <c r="L53" s="302">
        <v>197.26599999999999</v>
      </c>
      <c r="M53" s="1618"/>
      <c r="Q53" s="492">
        <v>2010</v>
      </c>
      <c r="R53" s="201">
        <f t="shared" si="17"/>
        <v>3200.7890000000007</v>
      </c>
      <c r="S53" s="201">
        <f t="shared" si="17"/>
        <v>3686.8470000000007</v>
      </c>
      <c r="T53" s="201">
        <f t="shared" si="18"/>
        <v>0</v>
      </c>
      <c r="U53" s="201">
        <f t="shared" si="18"/>
        <v>0</v>
      </c>
    </row>
    <row r="54" spans="2:21" x14ac:dyDescent="0.2">
      <c r="B54" s="367">
        <v>1996</v>
      </c>
      <c r="C54" s="368">
        <f t="shared" si="19"/>
        <v>1123.7</v>
      </c>
      <c r="D54" s="369">
        <f t="shared" si="20"/>
        <v>319.91800000000001</v>
      </c>
      <c r="E54" s="286">
        <v>193.136</v>
      </c>
      <c r="F54" s="428">
        <v>126.78200000000001</v>
      </c>
      <c r="G54" s="495">
        <f t="shared" si="21"/>
        <v>560.92399999999998</v>
      </c>
      <c r="H54" s="370">
        <v>20.43</v>
      </c>
      <c r="I54" s="284">
        <v>540.49400000000003</v>
      </c>
      <c r="J54" s="371">
        <f t="shared" si="22"/>
        <v>242.858</v>
      </c>
      <c r="K54" s="286">
        <v>63.46</v>
      </c>
      <c r="L54" s="290">
        <v>179.398</v>
      </c>
      <c r="M54" s="496"/>
      <c r="Q54" s="492">
        <v>2011</v>
      </c>
      <c r="R54" s="201">
        <f t="shared" si="17"/>
        <v>3216.6890000000003</v>
      </c>
      <c r="S54" s="201">
        <f t="shared" si="17"/>
        <v>3671.7730000000006</v>
      </c>
      <c r="T54" s="201">
        <f t="shared" si="18"/>
        <v>0</v>
      </c>
      <c r="U54" s="201">
        <f t="shared" si="18"/>
        <v>0</v>
      </c>
    </row>
    <row r="55" spans="2:21" x14ac:dyDescent="0.2">
      <c r="B55" s="548">
        <v>1997</v>
      </c>
      <c r="C55" s="650">
        <f t="shared" si="19"/>
        <v>754.18599999999992</v>
      </c>
      <c r="D55" s="651">
        <f t="shared" si="20"/>
        <v>122.578</v>
      </c>
      <c r="E55" s="588">
        <v>12.906000000000001</v>
      </c>
      <c r="F55" s="1611">
        <v>109.672</v>
      </c>
      <c r="G55" s="1616">
        <f t="shared" si="21"/>
        <v>64.55</v>
      </c>
      <c r="H55" s="1617">
        <v>0</v>
      </c>
      <c r="I55" s="300">
        <v>64.55</v>
      </c>
      <c r="J55" s="657">
        <f t="shared" si="22"/>
        <v>567.05799999999999</v>
      </c>
      <c r="K55" s="588">
        <v>77.826999999999998</v>
      </c>
      <c r="L55" s="302">
        <v>489.23099999999999</v>
      </c>
      <c r="M55" s="1618"/>
      <c r="Q55" s="492">
        <v>2012</v>
      </c>
      <c r="R55" s="201">
        <f t="shared" si="17"/>
        <v>3241.0389999999998</v>
      </c>
      <c r="S55" s="201">
        <f t="shared" si="17"/>
        <v>4456.51</v>
      </c>
      <c r="T55" s="201">
        <f t="shared" si="18"/>
        <v>80</v>
      </c>
      <c r="U55" s="201">
        <f t="shared" si="18"/>
        <v>0</v>
      </c>
    </row>
    <row r="56" spans="2:21" x14ac:dyDescent="0.2">
      <c r="B56" s="367">
        <v>1998</v>
      </c>
      <c r="C56" s="368">
        <f t="shared" si="19"/>
        <v>760.82999999999993</v>
      </c>
      <c r="D56" s="369">
        <f t="shared" si="20"/>
        <v>100.154</v>
      </c>
      <c r="E56" s="286">
        <v>12.906000000000001</v>
      </c>
      <c r="F56" s="428">
        <v>87.24799999999999</v>
      </c>
      <c r="G56" s="495">
        <f t="shared" si="21"/>
        <v>46.33</v>
      </c>
      <c r="H56" s="370">
        <v>0</v>
      </c>
      <c r="I56" s="284">
        <v>46.33</v>
      </c>
      <c r="J56" s="371">
        <f t="shared" si="22"/>
        <v>614.346</v>
      </c>
      <c r="K56" s="286">
        <v>81.061000000000007</v>
      </c>
      <c r="L56" s="290">
        <v>533.28499999999997</v>
      </c>
      <c r="M56" s="496"/>
      <c r="Q56" s="492">
        <v>2013</v>
      </c>
      <c r="R56" s="201">
        <f t="shared" si="17"/>
        <v>3307.0579999999995</v>
      </c>
      <c r="S56" s="201">
        <f t="shared" si="17"/>
        <v>5290.6319999999996</v>
      </c>
      <c r="T56" s="201">
        <f t="shared" si="18"/>
        <v>80</v>
      </c>
      <c r="U56" s="201">
        <f t="shared" si="18"/>
        <v>0</v>
      </c>
    </row>
    <row r="57" spans="2:21" x14ac:dyDescent="0.2">
      <c r="B57" s="548">
        <v>1999</v>
      </c>
      <c r="C57" s="650">
        <f t="shared" si="19"/>
        <v>798.22700000000009</v>
      </c>
      <c r="D57" s="651">
        <f t="shared" si="20"/>
        <v>58.398000000000003</v>
      </c>
      <c r="E57" s="588">
        <v>12.906000000000001</v>
      </c>
      <c r="F57" s="1611">
        <v>45.492000000000004</v>
      </c>
      <c r="G57" s="1616">
        <f t="shared" si="21"/>
        <v>42.965999999999994</v>
      </c>
      <c r="H57" s="1617">
        <v>0</v>
      </c>
      <c r="I57" s="300">
        <v>42.965999999999994</v>
      </c>
      <c r="J57" s="657">
        <f t="shared" si="22"/>
        <v>696.86300000000006</v>
      </c>
      <c r="K57" s="588">
        <v>62.576999999999991</v>
      </c>
      <c r="L57" s="302">
        <v>634.28600000000006</v>
      </c>
      <c r="M57" s="1618"/>
      <c r="Q57" s="492">
        <v>2014</v>
      </c>
      <c r="R57" s="201">
        <f t="shared" si="17"/>
        <v>3408.9650000000006</v>
      </c>
      <c r="S57" s="201">
        <f t="shared" si="17"/>
        <v>5402.728000000001</v>
      </c>
      <c r="T57" s="201">
        <f t="shared" si="18"/>
        <v>96</v>
      </c>
      <c r="U57" s="201">
        <f t="shared" si="18"/>
        <v>142</v>
      </c>
    </row>
    <row r="58" spans="2:21" x14ac:dyDescent="0.2">
      <c r="B58" s="367">
        <v>2000</v>
      </c>
      <c r="C58" s="368">
        <f t="shared" si="19"/>
        <v>778.91100000000017</v>
      </c>
      <c r="D58" s="369">
        <f t="shared" si="20"/>
        <v>40.433</v>
      </c>
      <c r="E58" s="286">
        <v>12.906000000000001</v>
      </c>
      <c r="F58" s="428">
        <v>27.526999999999997</v>
      </c>
      <c r="G58" s="495">
        <f t="shared" si="21"/>
        <v>49.445999999999998</v>
      </c>
      <c r="H58" s="370">
        <v>0</v>
      </c>
      <c r="I58" s="284">
        <v>49.445999999999998</v>
      </c>
      <c r="J58" s="371">
        <f t="shared" si="22"/>
        <v>689.03200000000015</v>
      </c>
      <c r="K58" s="286">
        <v>62.064999999999998</v>
      </c>
      <c r="L58" s="290">
        <v>626.9670000000001</v>
      </c>
      <c r="M58" s="496"/>
      <c r="R58" s="201"/>
    </row>
    <row r="59" spans="2:21" ht="23.25" x14ac:dyDescent="0.35">
      <c r="B59" s="1429"/>
      <c r="C59" s="373"/>
      <c r="D59" s="430"/>
      <c r="E59" s="375"/>
      <c r="F59" s="432"/>
      <c r="G59" s="374"/>
      <c r="H59" s="375"/>
      <c r="I59" s="375"/>
      <c r="J59" s="376"/>
      <c r="K59" s="375"/>
      <c r="L59" s="377"/>
      <c r="M59" s="378"/>
      <c r="R59" s="201"/>
    </row>
    <row r="60" spans="2:21" x14ac:dyDescent="0.2">
      <c r="B60" s="367"/>
      <c r="C60" s="373"/>
      <c r="D60" s="1359" t="s">
        <v>207</v>
      </c>
      <c r="E60" s="1360"/>
      <c r="F60" s="1373"/>
      <c r="G60" s="374"/>
      <c r="H60" s="375"/>
      <c r="I60" s="375"/>
      <c r="J60" s="376"/>
      <c r="K60" s="375"/>
      <c r="L60" s="377"/>
      <c r="M60" s="522"/>
      <c r="R60" s="201"/>
    </row>
    <row r="61" spans="2:21" x14ac:dyDescent="0.2">
      <c r="B61" s="367">
        <v>2001</v>
      </c>
      <c r="C61" s="368">
        <f t="shared" ref="C61:C74" si="23">+D61+J61</f>
        <v>745.11300000000006</v>
      </c>
      <c r="D61" s="523">
        <f t="shared" ref="D61:D73" si="24">SUM(E61:F61)</f>
        <v>101.07900000000001</v>
      </c>
      <c r="E61" s="382">
        <v>12.906000000000001</v>
      </c>
      <c r="F61" s="435">
        <v>88.173000000000002</v>
      </c>
      <c r="G61" s="374"/>
      <c r="H61" s="375"/>
      <c r="I61" s="375"/>
      <c r="J61" s="371">
        <f t="shared" ref="J61:J75" si="25">SUM(K61:M61)</f>
        <v>644.03400000000011</v>
      </c>
      <c r="K61" s="379">
        <v>56.761999999999993</v>
      </c>
      <c r="L61" s="382">
        <v>587.27200000000016</v>
      </c>
      <c r="M61" s="496"/>
      <c r="P61" s="201"/>
      <c r="Q61" s="201"/>
      <c r="R61" s="201"/>
    </row>
    <row r="62" spans="2:21" x14ac:dyDescent="0.2">
      <c r="B62" s="548">
        <v>2002</v>
      </c>
      <c r="C62" s="650">
        <f t="shared" si="23"/>
        <v>737.84200000000067</v>
      </c>
      <c r="D62" s="1612">
        <f t="shared" si="24"/>
        <v>80.701000000000008</v>
      </c>
      <c r="E62" s="653">
        <v>12.906000000000001</v>
      </c>
      <c r="F62" s="730">
        <v>67.795000000000002</v>
      </c>
      <c r="G62" s="1619"/>
      <c r="H62" s="662"/>
      <c r="I62" s="662"/>
      <c r="J62" s="657">
        <f t="shared" si="25"/>
        <v>657.14100000000064</v>
      </c>
      <c r="K62" s="652">
        <v>59.512999999999991</v>
      </c>
      <c r="L62" s="653">
        <v>597.62800000000061</v>
      </c>
      <c r="M62" s="1618"/>
      <c r="P62" s="201"/>
      <c r="Q62" s="201"/>
    </row>
    <row r="63" spans="2:21" x14ac:dyDescent="0.2">
      <c r="B63" s="367">
        <v>2003</v>
      </c>
      <c r="C63" s="368">
        <f t="shared" si="23"/>
        <v>735.41300000000035</v>
      </c>
      <c r="D63" s="523">
        <f t="shared" si="24"/>
        <v>80.212000000000018</v>
      </c>
      <c r="E63" s="382">
        <v>12.906000000000001</v>
      </c>
      <c r="F63" s="435">
        <v>67.306000000000012</v>
      </c>
      <c r="G63" s="374"/>
      <c r="H63" s="375"/>
      <c r="I63" s="375"/>
      <c r="J63" s="371">
        <f t="shared" si="25"/>
        <v>655.20100000000036</v>
      </c>
      <c r="K63" s="379">
        <v>57.137999999999984</v>
      </c>
      <c r="L63" s="382">
        <v>598.06300000000033</v>
      </c>
      <c r="M63" s="496"/>
      <c r="P63" s="201"/>
      <c r="Q63" s="201"/>
    </row>
    <row r="64" spans="2:21" x14ac:dyDescent="0.2">
      <c r="B64" s="548">
        <v>2004</v>
      </c>
      <c r="C64" s="650">
        <f t="shared" si="23"/>
        <v>760.64400000000035</v>
      </c>
      <c r="D64" s="1612">
        <f t="shared" si="24"/>
        <v>113.89800000000001</v>
      </c>
      <c r="E64" s="653">
        <v>12.5</v>
      </c>
      <c r="F64" s="730">
        <v>101.39800000000001</v>
      </c>
      <c r="G64" s="1619"/>
      <c r="H64" s="662"/>
      <c r="I64" s="662"/>
      <c r="J64" s="657">
        <f t="shared" si="25"/>
        <v>646.74600000000032</v>
      </c>
      <c r="K64" s="652">
        <v>55.231999999999999</v>
      </c>
      <c r="L64" s="653">
        <v>591.51400000000035</v>
      </c>
      <c r="M64" s="1618"/>
      <c r="P64" s="201"/>
      <c r="Q64" s="201"/>
    </row>
    <row r="65" spans="2:17" x14ac:dyDescent="0.2">
      <c r="B65" s="367">
        <v>2005</v>
      </c>
      <c r="C65" s="368">
        <f t="shared" si="23"/>
        <v>812.26200000000028</v>
      </c>
      <c r="D65" s="523">
        <f t="shared" si="24"/>
        <v>126.95800000000001</v>
      </c>
      <c r="E65" s="382">
        <v>12.5</v>
      </c>
      <c r="F65" s="435">
        <v>114.45800000000001</v>
      </c>
      <c r="G65" s="374"/>
      <c r="H65" s="375"/>
      <c r="I65" s="375"/>
      <c r="J65" s="371">
        <f t="shared" si="25"/>
        <v>685.30400000000031</v>
      </c>
      <c r="K65" s="379">
        <v>57.93</v>
      </c>
      <c r="L65" s="382">
        <v>627.37400000000036</v>
      </c>
      <c r="M65" s="496"/>
      <c r="P65" s="201"/>
      <c r="Q65" s="201"/>
    </row>
    <row r="66" spans="2:17" x14ac:dyDescent="0.2">
      <c r="B66" s="548">
        <v>2006</v>
      </c>
      <c r="C66" s="650">
        <f t="shared" si="23"/>
        <v>809.03800000000001</v>
      </c>
      <c r="D66" s="1612">
        <f>SUM(E66:F66)</f>
        <v>108.992</v>
      </c>
      <c r="E66" s="653">
        <v>12.5</v>
      </c>
      <c r="F66" s="730">
        <v>96.492000000000004</v>
      </c>
      <c r="G66" s="1619"/>
      <c r="H66" s="662"/>
      <c r="I66" s="662"/>
      <c r="J66" s="657">
        <f>SUM(K66:M66)</f>
        <v>700.04600000000005</v>
      </c>
      <c r="K66" s="652">
        <v>56.856000000000002</v>
      </c>
      <c r="L66" s="653">
        <v>643.19000000000005</v>
      </c>
      <c r="M66" s="1618"/>
      <c r="P66" s="201"/>
      <c r="Q66" s="201"/>
    </row>
    <row r="67" spans="2:17" x14ac:dyDescent="0.2">
      <c r="B67" s="367">
        <v>2007</v>
      </c>
      <c r="C67" s="368">
        <f t="shared" si="23"/>
        <v>819.15900000000011</v>
      </c>
      <c r="D67" s="523">
        <f t="shared" si="24"/>
        <v>110.52600000000004</v>
      </c>
      <c r="E67" s="382">
        <v>12.5</v>
      </c>
      <c r="F67" s="435">
        <v>98.026000000000039</v>
      </c>
      <c r="G67" s="374"/>
      <c r="H67" s="375"/>
      <c r="I67" s="375"/>
      <c r="J67" s="371">
        <f t="shared" si="25"/>
        <v>708.63300000000004</v>
      </c>
      <c r="K67" s="379">
        <v>61.210999999999984</v>
      </c>
      <c r="L67" s="382">
        <v>647.42200000000003</v>
      </c>
      <c r="M67" s="496"/>
      <c r="P67" s="201"/>
      <c r="Q67" s="201"/>
    </row>
    <row r="68" spans="2:17" x14ac:dyDescent="0.2">
      <c r="B68" s="548">
        <v>2008</v>
      </c>
      <c r="C68" s="650">
        <f t="shared" si="23"/>
        <v>904.72799999999995</v>
      </c>
      <c r="D68" s="1612">
        <f t="shared" si="24"/>
        <v>107.71000000000001</v>
      </c>
      <c r="E68" s="653">
        <v>12.5</v>
      </c>
      <c r="F68" s="730">
        <v>95.210000000000008</v>
      </c>
      <c r="G68" s="1619"/>
      <c r="H68" s="662"/>
      <c r="I68" s="662"/>
      <c r="J68" s="657">
        <f t="shared" si="25"/>
        <v>797.01799999999992</v>
      </c>
      <c r="K68" s="652">
        <v>62.280999999999985</v>
      </c>
      <c r="L68" s="653">
        <v>734.73699999999997</v>
      </c>
      <c r="M68" s="1618"/>
      <c r="P68" s="201"/>
      <c r="Q68" s="201"/>
    </row>
    <row r="69" spans="2:17" x14ac:dyDescent="0.2">
      <c r="B69" s="367">
        <v>2009</v>
      </c>
      <c r="C69" s="368">
        <f t="shared" si="23"/>
        <v>1009.9380000000001</v>
      </c>
      <c r="D69" s="523">
        <f t="shared" si="24"/>
        <v>124.221</v>
      </c>
      <c r="E69" s="382">
        <v>12.5</v>
      </c>
      <c r="F69" s="435">
        <v>111.721</v>
      </c>
      <c r="G69" s="374"/>
      <c r="H69" s="375"/>
      <c r="I69" s="375"/>
      <c r="J69" s="371">
        <f t="shared" si="25"/>
        <v>885.7170000000001</v>
      </c>
      <c r="K69" s="379">
        <v>66.105999999999995</v>
      </c>
      <c r="L69" s="382">
        <v>819.6110000000001</v>
      </c>
      <c r="M69" s="496"/>
      <c r="P69" s="201"/>
      <c r="Q69" s="201"/>
    </row>
    <row r="70" spans="2:17" x14ac:dyDescent="0.2">
      <c r="B70" s="548">
        <v>2010</v>
      </c>
      <c r="C70" s="650">
        <f t="shared" si="23"/>
        <v>1125.3490000000004</v>
      </c>
      <c r="D70" s="1612">
        <f t="shared" si="24"/>
        <v>160.57400000000001</v>
      </c>
      <c r="E70" s="653">
        <v>12.5</v>
      </c>
      <c r="F70" s="730">
        <v>148.07400000000001</v>
      </c>
      <c r="G70" s="1619"/>
      <c r="H70" s="662"/>
      <c r="I70" s="662"/>
      <c r="J70" s="657">
        <f t="shared" si="25"/>
        <v>964.77500000000032</v>
      </c>
      <c r="K70" s="652">
        <v>67.584000000000003</v>
      </c>
      <c r="L70" s="653">
        <v>897.19100000000026</v>
      </c>
      <c r="M70" s="1618"/>
      <c r="P70" s="201"/>
      <c r="Q70" s="201"/>
    </row>
    <row r="71" spans="2:17" x14ac:dyDescent="0.2">
      <c r="B71" s="367">
        <v>2011</v>
      </c>
      <c r="C71" s="368">
        <f t="shared" si="23"/>
        <v>1177.712</v>
      </c>
      <c r="D71" s="523">
        <f t="shared" si="24"/>
        <v>158.62100000000001</v>
      </c>
      <c r="E71" s="382">
        <v>12.5</v>
      </c>
      <c r="F71" s="435">
        <v>146.12100000000001</v>
      </c>
      <c r="G71" s="374"/>
      <c r="H71" s="375"/>
      <c r="I71" s="375"/>
      <c r="J71" s="371">
        <f t="shared" si="25"/>
        <v>1019.0909999999999</v>
      </c>
      <c r="K71" s="379">
        <v>69.498999999999995</v>
      </c>
      <c r="L71" s="382">
        <v>949.59199999999987</v>
      </c>
      <c r="M71" s="496"/>
      <c r="P71" s="201"/>
      <c r="Q71" s="201"/>
    </row>
    <row r="72" spans="2:17" x14ac:dyDescent="0.2">
      <c r="B72" s="548">
        <v>2012</v>
      </c>
      <c r="C72" s="650">
        <f t="shared" si="23"/>
        <v>1184.3520000000001</v>
      </c>
      <c r="D72" s="1612">
        <f t="shared" si="24"/>
        <v>159.99600000000001</v>
      </c>
      <c r="E72" s="653">
        <v>12.899999999999999</v>
      </c>
      <c r="F72" s="730">
        <v>147.096</v>
      </c>
      <c r="G72" s="1619"/>
      <c r="H72" s="662"/>
      <c r="I72" s="662"/>
      <c r="J72" s="657">
        <f t="shared" si="25"/>
        <v>1024.356</v>
      </c>
      <c r="K72" s="652">
        <v>76.639000000000024</v>
      </c>
      <c r="L72" s="653">
        <v>947.71699999999998</v>
      </c>
      <c r="M72" s="1618"/>
      <c r="P72" s="201"/>
      <c r="Q72" s="201"/>
    </row>
    <row r="73" spans="2:17" x14ac:dyDescent="0.2">
      <c r="B73" s="367">
        <v>2013</v>
      </c>
      <c r="C73" s="368">
        <f t="shared" si="23"/>
        <v>1204.8510000000001</v>
      </c>
      <c r="D73" s="523">
        <f t="shared" si="24"/>
        <v>156.67800000000003</v>
      </c>
      <c r="E73" s="382">
        <v>11.9</v>
      </c>
      <c r="F73" s="435">
        <v>144.77800000000002</v>
      </c>
      <c r="G73" s="374"/>
      <c r="H73" s="375"/>
      <c r="I73" s="375"/>
      <c r="J73" s="371">
        <f t="shared" si="25"/>
        <v>1048.173</v>
      </c>
      <c r="K73" s="379">
        <v>65.471999999999994</v>
      </c>
      <c r="L73" s="382">
        <v>982.70100000000002</v>
      </c>
      <c r="M73" s="496"/>
      <c r="P73" s="201"/>
      <c r="Q73" s="201"/>
    </row>
    <row r="74" spans="2:17" x14ac:dyDescent="0.2">
      <c r="B74" s="548">
        <v>2014</v>
      </c>
      <c r="C74" s="650">
        <f t="shared" si="23"/>
        <v>1186.5420000000001</v>
      </c>
      <c r="D74" s="1612">
        <f>SUM(E74:F74)</f>
        <v>141.26100000000002</v>
      </c>
      <c r="E74" s="653">
        <v>12.899999999999999</v>
      </c>
      <c r="F74" s="730">
        <v>128.36100000000002</v>
      </c>
      <c r="G74" s="1619"/>
      <c r="H74" s="662"/>
      <c r="I74" s="662"/>
      <c r="J74" s="657">
        <f t="shared" si="25"/>
        <v>1045.2810000000002</v>
      </c>
      <c r="K74" s="652">
        <v>78.446999999999989</v>
      </c>
      <c r="L74" s="653">
        <v>966.83400000000017</v>
      </c>
      <c r="M74" s="1618"/>
      <c r="P74" s="201"/>
      <c r="Q74" s="201"/>
    </row>
    <row r="75" spans="2:17" x14ac:dyDescent="0.2">
      <c r="B75" s="367" t="s">
        <v>136</v>
      </c>
      <c r="C75" s="368">
        <f>+D75+J75</f>
        <v>1207.6370000000002</v>
      </c>
      <c r="D75" s="523">
        <f>SUM(E75:F75)</f>
        <v>156.06100000000001</v>
      </c>
      <c r="E75" s="382">
        <v>12.899999999999999</v>
      </c>
      <c r="F75" s="435">
        <v>143.161</v>
      </c>
      <c r="G75" s="374"/>
      <c r="H75" s="375"/>
      <c r="I75" s="375"/>
      <c r="J75" s="371">
        <f t="shared" si="25"/>
        <v>1051.5760000000002</v>
      </c>
      <c r="K75" s="379">
        <v>78.446999999999989</v>
      </c>
      <c r="L75" s="382">
        <v>973.12900000000025</v>
      </c>
      <c r="M75" s="496"/>
      <c r="P75" s="201"/>
      <c r="Q75" s="201"/>
    </row>
    <row r="76" spans="2:17" ht="13.5" thickBot="1" x14ac:dyDescent="0.25">
      <c r="B76" s="548"/>
      <c r="C76" s="650"/>
      <c r="D76" s="1612"/>
      <c r="E76" s="653"/>
      <c r="F76" s="730"/>
      <c r="G76" s="1619"/>
      <c r="H76" s="662"/>
      <c r="I76" s="662"/>
      <c r="J76" s="657"/>
      <c r="K76" s="652"/>
      <c r="L76" s="653"/>
      <c r="M76" s="1618"/>
    </row>
    <row r="77" spans="2:17" ht="21" customHeight="1" x14ac:dyDescent="0.2">
      <c r="B77" s="395" t="s">
        <v>137</v>
      </c>
      <c r="C77" s="396">
        <f>(C75/C74)-1</f>
        <v>1.7778553140133324E-2</v>
      </c>
      <c r="D77" s="397">
        <f>(D75/D74)-1</f>
        <v>0.10477060193542442</v>
      </c>
      <c r="E77" s="403">
        <f>(E75/E74)-1</f>
        <v>0</v>
      </c>
      <c r="F77" s="524">
        <f>(F75/F74)-1</f>
        <v>0.11529981848069104</v>
      </c>
      <c r="G77" s="525"/>
      <c r="H77" s="526"/>
      <c r="I77" s="527"/>
      <c r="J77" s="505">
        <f>(J75/J74)-1</f>
        <v>6.0223040502984659E-3</v>
      </c>
      <c r="K77" s="506">
        <f>(K75/K74)-1</f>
        <v>0</v>
      </c>
      <c r="L77" s="507">
        <f>(L75/L74)-1</f>
        <v>6.510941899023015E-3</v>
      </c>
      <c r="M77" s="528"/>
    </row>
    <row r="78" spans="2:17" ht="21" customHeight="1" x14ac:dyDescent="0.2">
      <c r="B78" s="696" t="s">
        <v>138</v>
      </c>
      <c r="C78" s="620">
        <f>((C75/C70)^(1/5))-1</f>
        <v>1.4214549006630994E-2</v>
      </c>
      <c r="D78" s="746">
        <f>((D75/D70)^(1/5))-1</f>
        <v>-5.6853646045493811E-3</v>
      </c>
      <c r="E78" s="747">
        <f>((E75/E70)^(1/5))-1</f>
        <v>6.319618467323318E-3</v>
      </c>
      <c r="F78" s="1613">
        <f>((F75/F70)^(1/5))-1</f>
        <v>-6.7257358583797666E-3</v>
      </c>
      <c r="G78" s="358"/>
      <c r="H78" s="363"/>
      <c r="I78" s="529"/>
      <c r="J78" s="1620">
        <f>((J75/J70)^(1/5))-1</f>
        <v>1.7379365234430066E-2</v>
      </c>
      <c r="K78" s="747">
        <f>((K75/K70)^(1/5))-1</f>
        <v>3.0259171883149083E-2</v>
      </c>
      <c r="L78" s="1613">
        <f>((L75/L70)^(1/5))-1</f>
        <v>1.6382318725588041E-2</v>
      </c>
      <c r="M78" s="530"/>
    </row>
    <row r="79" spans="2:17" ht="21" customHeight="1" x14ac:dyDescent="0.2">
      <c r="B79" s="408" t="s">
        <v>144</v>
      </c>
      <c r="C79" s="409">
        <f>(C75/C65)-1</f>
        <v>0.48675796725687004</v>
      </c>
      <c r="D79" s="510">
        <f>(D75/D65)-1</f>
        <v>0.22923328974936585</v>
      </c>
      <c r="E79" s="414">
        <f>(E75/E65)-1</f>
        <v>3.1999999999999806E-2</v>
      </c>
      <c r="F79" s="411">
        <f>(F75/F65)-1</f>
        <v>0.25077320938684911</v>
      </c>
      <c r="G79" s="358"/>
      <c r="H79" s="531"/>
      <c r="I79" s="529"/>
      <c r="J79" s="514">
        <f>(J75/J65)-1</f>
        <v>0.53446645576269769</v>
      </c>
      <c r="K79" s="414">
        <f>(K75/K65)-1</f>
        <v>0.35416882444329345</v>
      </c>
      <c r="L79" s="414">
        <f>(L75/L65)-1</f>
        <v>0.55111464612814642</v>
      </c>
      <c r="M79" s="530"/>
    </row>
    <row r="80" spans="2:17" ht="20.25" customHeight="1" thickBot="1" x14ac:dyDescent="0.25">
      <c r="B80" s="710" t="s">
        <v>140</v>
      </c>
      <c r="C80" s="750">
        <f>((C75/C65)^(1/10))-1</f>
        <v>4.045673898158797E-2</v>
      </c>
      <c r="D80" s="751">
        <f>((D75/D65)^(1/10))-1</f>
        <v>2.0853521668890318E-2</v>
      </c>
      <c r="E80" s="1614">
        <f>((E75/E65)^(1/10))-1</f>
        <v>3.1548327488251093E-3</v>
      </c>
      <c r="F80" s="1615">
        <f>((F75/F65)^(1/10))-1</f>
        <v>2.2628417523602895E-2</v>
      </c>
      <c r="G80" s="530"/>
      <c r="H80" s="531"/>
      <c r="I80" s="529"/>
      <c r="J80" s="1621">
        <f>((J75/J65)^(1/10))-1</f>
        <v>4.3748200886082778E-2</v>
      </c>
      <c r="K80" s="752">
        <f>((K75/K65)^(1/10))-1</f>
        <v>3.0783080016686171E-2</v>
      </c>
      <c r="L80" s="1615">
        <f>((L75/L65)^(1/10))-1</f>
        <v>4.4875124198658689E-2</v>
      </c>
      <c r="M80" s="530"/>
    </row>
    <row r="81" spans="2:12" x14ac:dyDescent="0.2">
      <c r="B81" s="319"/>
      <c r="C81" s="416"/>
      <c r="D81" s="417"/>
      <c r="I81" s="418"/>
      <c r="J81" s="532"/>
      <c r="K81" s="419"/>
      <c r="L81" s="416"/>
    </row>
    <row r="82" spans="2:12" x14ac:dyDescent="0.2">
      <c r="B82" s="464" t="s">
        <v>189</v>
      </c>
      <c r="J82" s="532"/>
    </row>
    <row r="83" spans="2:12" x14ac:dyDescent="0.2">
      <c r="B83" s="349"/>
    </row>
    <row r="84" spans="2:12" x14ac:dyDescent="0.2">
      <c r="E84" s="202"/>
      <c r="F84" s="202"/>
      <c r="G84" s="202"/>
      <c r="H84" s="202"/>
    </row>
    <row r="85" spans="2:12" x14ac:dyDescent="0.2">
      <c r="D85" s="202"/>
      <c r="E85" s="202"/>
      <c r="F85" s="202"/>
      <c r="G85" s="202"/>
      <c r="H85" s="202"/>
    </row>
    <row r="86" spans="2:12" x14ac:dyDescent="0.2">
      <c r="D86" s="202"/>
      <c r="E86" s="202"/>
      <c r="F86" s="202"/>
      <c r="G86" s="202"/>
      <c r="H86" s="202"/>
    </row>
  </sheetData>
  <autoFilter ref="B1:B86"/>
  <mergeCells count="8">
    <mergeCell ref="D60:F60"/>
    <mergeCell ref="D6:H6"/>
    <mergeCell ref="I6:K6"/>
    <mergeCell ref="L6:O6"/>
    <mergeCell ref="D16:H16"/>
    <mergeCell ref="D50:F50"/>
    <mergeCell ref="G50:I50"/>
    <mergeCell ref="J50:M50"/>
  </mergeCells>
  <pageMargins left="0.47" right="0.75" top="0.89" bottom="1" header="0" footer="0"/>
  <pageSetup paperSize="9" scale="4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9"/>
  <sheetViews>
    <sheetView view="pageBreakPreview" topLeftCell="A55" zoomScaleNormal="120" zoomScaleSheetLayoutView="50" workbookViewId="0">
      <selection activeCell="M53" sqref="M53"/>
    </sheetView>
  </sheetViews>
  <sheetFormatPr baseColWidth="10" defaultRowHeight="12.75" x14ac:dyDescent="0.2"/>
  <cols>
    <col min="1" max="1" width="2.7109375" style="157" customWidth="1"/>
    <col min="2" max="2" width="20.7109375" style="157" customWidth="1"/>
    <col min="3" max="3" width="21.7109375" style="157" customWidth="1"/>
    <col min="4" max="4" width="15.42578125" style="157" customWidth="1"/>
    <col min="5" max="5" width="17.28515625" style="157" customWidth="1"/>
    <col min="6" max="8" width="11.42578125" style="157"/>
    <col min="9" max="9" width="15.28515625" style="157" customWidth="1"/>
    <col min="10" max="256" width="11.42578125" style="157"/>
    <col min="257" max="257" width="2.7109375" style="157" customWidth="1"/>
    <col min="258" max="258" width="20.7109375" style="157" customWidth="1"/>
    <col min="259" max="259" width="21.7109375" style="157" customWidth="1"/>
    <col min="260" max="260" width="15.42578125" style="157" customWidth="1"/>
    <col min="261" max="261" width="17.28515625" style="157" customWidth="1"/>
    <col min="262" max="264" width="11.42578125" style="157"/>
    <col min="265" max="265" width="15.28515625" style="157" customWidth="1"/>
    <col min="266" max="512" width="11.42578125" style="157"/>
    <col min="513" max="513" width="2.7109375" style="157" customWidth="1"/>
    <col min="514" max="514" width="20.7109375" style="157" customWidth="1"/>
    <col min="515" max="515" width="21.7109375" style="157" customWidth="1"/>
    <col min="516" max="516" width="15.42578125" style="157" customWidth="1"/>
    <col min="517" max="517" width="17.28515625" style="157" customWidth="1"/>
    <col min="518" max="520" width="11.42578125" style="157"/>
    <col min="521" max="521" width="15.28515625" style="157" customWidth="1"/>
    <col min="522" max="768" width="11.42578125" style="157"/>
    <col min="769" max="769" width="2.7109375" style="157" customWidth="1"/>
    <col min="770" max="770" width="20.7109375" style="157" customWidth="1"/>
    <col min="771" max="771" width="21.7109375" style="157" customWidth="1"/>
    <col min="772" max="772" width="15.42578125" style="157" customWidth="1"/>
    <col min="773" max="773" width="17.28515625" style="157" customWidth="1"/>
    <col min="774" max="776" width="11.42578125" style="157"/>
    <col min="777" max="777" width="15.28515625" style="157" customWidth="1"/>
    <col min="778" max="1024" width="11.42578125" style="157"/>
    <col min="1025" max="1025" width="2.7109375" style="157" customWidth="1"/>
    <col min="1026" max="1026" width="20.7109375" style="157" customWidth="1"/>
    <col min="1027" max="1027" width="21.7109375" style="157" customWidth="1"/>
    <col min="1028" max="1028" width="15.42578125" style="157" customWidth="1"/>
    <col min="1029" max="1029" width="17.28515625" style="157" customWidth="1"/>
    <col min="1030" max="1032" width="11.42578125" style="157"/>
    <col min="1033" max="1033" width="15.28515625" style="157" customWidth="1"/>
    <col min="1034" max="1280" width="11.42578125" style="157"/>
    <col min="1281" max="1281" width="2.7109375" style="157" customWidth="1"/>
    <col min="1282" max="1282" width="20.7109375" style="157" customWidth="1"/>
    <col min="1283" max="1283" width="21.7109375" style="157" customWidth="1"/>
    <col min="1284" max="1284" width="15.42578125" style="157" customWidth="1"/>
    <col min="1285" max="1285" width="17.28515625" style="157" customWidth="1"/>
    <col min="1286" max="1288" width="11.42578125" style="157"/>
    <col min="1289" max="1289" width="15.28515625" style="157" customWidth="1"/>
    <col min="1290" max="1536" width="11.42578125" style="157"/>
    <col min="1537" max="1537" width="2.7109375" style="157" customWidth="1"/>
    <col min="1538" max="1538" width="20.7109375" style="157" customWidth="1"/>
    <col min="1539" max="1539" width="21.7109375" style="157" customWidth="1"/>
    <col min="1540" max="1540" width="15.42578125" style="157" customWidth="1"/>
    <col min="1541" max="1541" width="17.28515625" style="157" customWidth="1"/>
    <col min="1542" max="1544" width="11.42578125" style="157"/>
    <col min="1545" max="1545" width="15.28515625" style="157" customWidth="1"/>
    <col min="1546" max="1792" width="11.42578125" style="157"/>
    <col min="1793" max="1793" width="2.7109375" style="157" customWidth="1"/>
    <col min="1794" max="1794" width="20.7109375" style="157" customWidth="1"/>
    <col min="1795" max="1795" width="21.7109375" style="157" customWidth="1"/>
    <col min="1796" max="1796" width="15.42578125" style="157" customWidth="1"/>
    <col min="1797" max="1797" width="17.28515625" style="157" customWidth="1"/>
    <col min="1798" max="1800" width="11.42578125" style="157"/>
    <col min="1801" max="1801" width="15.28515625" style="157" customWidth="1"/>
    <col min="1802" max="2048" width="11.42578125" style="157"/>
    <col min="2049" max="2049" width="2.7109375" style="157" customWidth="1"/>
    <col min="2050" max="2050" width="20.7109375" style="157" customWidth="1"/>
    <col min="2051" max="2051" width="21.7109375" style="157" customWidth="1"/>
    <col min="2052" max="2052" width="15.42578125" style="157" customWidth="1"/>
    <col min="2053" max="2053" width="17.28515625" style="157" customWidth="1"/>
    <col min="2054" max="2056" width="11.42578125" style="157"/>
    <col min="2057" max="2057" width="15.28515625" style="157" customWidth="1"/>
    <col min="2058" max="2304" width="11.42578125" style="157"/>
    <col min="2305" max="2305" width="2.7109375" style="157" customWidth="1"/>
    <col min="2306" max="2306" width="20.7109375" style="157" customWidth="1"/>
    <col min="2307" max="2307" width="21.7109375" style="157" customWidth="1"/>
    <col min="2308" max="2308" width="15.42578125" style="157" customWidth="1"/>
    <col min="2309" max="2309" width="17.28515625" style="157" customWidth="1"/>
    <col min="2310" max="2312" width="11.42578125" style="157"/>
    <col min="2313" max="2313" width="15.28515625" style="157" customWidth="1"/>
    <col min="2314" max="2560" width="11.42578125" style="157"/>
    <col min="2561" max="2561" width="2.7109375" style="157" customWidth="1"/>
    <col min="2562" max="2562" width="20.7109375" style="157" customWidth="1"/>
    <col min="2563" max="2563" width="21.7109375" style="157" customWidth="1"/>
    <col min="2564" max="2564" width="15.42578125" style="157" customWidth="1"/>
    <col min="2565" max="2565" width="17.28515625" style="157" customWidth="1"/>
    <col min="2566" max="2568" width="11.42578125" style="157"/>
    <col min="2569" max="2569" width="15.28515625" style="157" customWidth="1"/>
    <col min="2570" max="2816" width="11.42578125" style="157"/>
    <col min="2817" max="2817" width="2.7109375" style="157" customWidth="1"/>
    <col min="2818" max="2818" width="20.7109375" style="157" customWidth="1"/>
    <col min="2819" max="2819" width="21.7109375" style="157" customWidth="1"/>
    <col min="2820" max="2820" width="15.42578125" style="157" customWidth="1"/>
    <col min="2821" max="2821" width="17.28515625" style="157" customWidth="1"/>
    <col min="2822" max="2824" width="11.42578125" style="157"/>
    <col min="2825" max="2825" width="15.28515625" style="157" customWidth="1"/>
    <col min="2826" max="3072" width="11.42578125" style="157"/>
    <col min="3073" max="3073" width="2.7109375" style="157" customWidth="1"/>
    <col min="3074" max="3074" width="20.7109375" style="157" customWidth="1"/>
    <col min="3075" max="3075" width="21.7109375" style="157" customWidth="1"/>
    <col min="3076" max="3076" width="15.42578125" style="157" customWidth="1"/>
    <col min="3077" max="3077" width="17.28515625" style="157" customWidth="1"/>
    <col min="3078" max="3080" width="11.42578125" style="157"/>
    <col min="3081" max="3081" width="15.28515625" style="157" customWidth="1"/>
    <col min="3082" max="3328" width="11.42578125" style="157"/>
    <col min="3329" max="3329" width="2.7109375" style="157" customWidth="1"/>
    <col min="3330" max="3330" width="20.7109375" style="157" customWidth="1"/>
    <col min="3331" max="3331" width="21.7109375" style="157" customWidth="1"/>
    <col min="3332" max="3332" width="15.42578125" style="157" customWidth="1"/>
    <col min="3333" max="3333" width="17.28515625" style="157" customWidth="1"/>
    <col min="3334" max="3336" width="11.42578125" style="157"/>
    <col min="3337" max="3337" width="15.28515625" style="157" customWidth="1"/>
    <col min="3338" max="3584" width="11.42578125" style="157"/>
    <col min="3585" max="3585" width="2.7109375" style="157" customWidth="1"/>
    <col min="3586" max="3586" width="20.7109375" style="157" customWidth="1"/>
    <col min="3587" max="3587" width="21.7109375" style="157" customWidth="1"/>
    <col min="3588" max="3588" width="15.42578125" style="157" customWidth="1"/>
    <col min="3589" max="3589" width="17.28515625" style="157" customWidth="1"/>
    <col min="3590" max="3592" width="11.42578125" style="157"/>
    <col min="3593" max="3593" width="15.28515625" style="157" customWidth="1"/>
    <col min="3594" max="3840" width="11.42578125" style="157"/>
    <col min="3841" max="3841" width="2.7109375" style="157" customWidth="1"/>
    <col min="3842" max="3842" width="20.7109375" style="157" customWidth="1"/>
    <col min="3843" max="3843" width="21.7109375" style="157" customWidth="1"/>
    <col min="3844" max="3844" width="15.42578125" style="157" customWidth="1"/>
    <col min="3845" max="3845" width="17.28515625" style="157" customWidth="1"/>
    <col min="3846" max="3848" width="11.42578125" style="157"/>
    <col min="3849" max="3849" width="15.28515625" style="157" customWidth="1"/>
    <col min="3850" max="4096" width="11.42578125" style="157"/>
    <col min="4097" max="4097" width="2.7109375" style="157" customWidth="1"/>
    <col min="4098" max="4098" width="20.7109375" style="157" customWidth="1"/>
    <col min="4099" max="4099" width="21.7109375" style="157" customWidth="1"/>
    <col min="4100" max="4100" width="15.42578125" style="157" customWidth="1"/>
    <col min="4101" max="4101" width="17.28515625" style="157" customWidth="1"/>
    <col min="4102" max="4104" width="11.42578125" style="157"/>
    <col min="4105" max="4105" width="15.28515625" style="157" customWidth="1"/>
    <col min="4106" max="4352" width="11.42578125" style="157"/>
    <col min="4353" max="4353" width="2.7109375" style="157" customWidth="1"/>
    <col min="4354" max="4354" width="20.7109375" style="157" customWidth="1"/>
    <col min="4355" max="4355" width="21.7109375" style="157" customWidth="1"/>
    <col min="4356" max="4356" width="15.42578125" style="157" customWidth="1"/>
    <col min="4357" max="4357" width="17.28515625" style="157" customWidth="1"/>
    <col min="4358" max="4360" width="11.42578125" style="157"/>
    <col min="4361" max="4361" width="15.28515625" style="157" customWidth="1"/>
    <col min="4362" max="4608" width="11.42578125" style="157"/>
    <col min="4609" max="4609" width="2.7109375" style="157" customWidth="1"/>
    <col min="4610" max="4610" width="20.7109375" style="157" customWidth="1"/>
    <col min="4611" max="4611" width="21.7109375" style="157" customWidth="1"/>
    <col min="4612" max="4612" width="15.42578125" style="157" customWidth="1"/>
    <col min="4613" max="4613" width="17.28515625" style="157" customWidth="1"/>
    <col min="4614" max="4616" width="11.42578125" style="157"/>
    <col min="4617" max="4617" width="15.28515625" style="157" customWidth="1"/>
    <col min="4618" max="4864" width="11.42578125" style="157"/>
    <col min="4865" max="4865" width="2.7109375" style="157" customWidth="1"/>
    <col min="4866" max="4866" width="20.7109375" style="157" customWidth="1"/>
    <col min="4867" max="4867" width="21.7109375" style="157" customWidth="1"/>
    <col min="4868" max="4868" width="15.42578125" style="157" customWidth="1"/>
    <col min="4869" max="4869" width="17.28515625" style="157" customWidth="1"/>
    <col min="4870" max="4872" width="11.42578125" style="157"/>
    <col min="4873" max="4873" width="15.28515625" style="157" customWidth="1"/>
    <col min="4874" max="5120" width="11.42578125" style="157"/>
    <col min="5121" max="5121" width="2.7109375" style="157" customWidth="1"/>
    <col min="5122" max="5122" width="20.7109375" style="157" customWidth="1"/>
    <col min="5123" max="5123" width="21.7109375" style="157" customWidth="1"/>
    <col min="5124" max="5124" width="15.42578125" style="157" customWidth="1"/>
    <col min="5125" max="5125" width="17.28515625" style="157" customWidth="1"/>
    <col min="5126" max="5128" width="11.42578125" style="157"/>
    <col min="5129" max="5129" width="15.28515625" style="157" customWidth="1"/>
    <col min="5130" max="5376" width="11.42578125" style="157"/>
    <col min="5377" max="5377" width="2.7109375" style="157" customWidth="1"/>
    <col min="5378" max="5378" width="20.7109375" style="157" customWidth="1"/>
    <col min="5379" max="5379" width="21.7109375" style="157" customWidth="1"/>
    <col min="5380" max="5380" width="15.42578125" style="157" customWidth="1"/>
    <col min="5381" max="5381" width="17.28515625" style="157" customWidth="1"/>
    <col min="5382" max="5384" width="11.42578125" style="157"/>
    <col min="5385" max="5385" width="15.28515625" style="157" customWidth="1"/>
    <col min="5386" max="5632" width="11.42578125" style="157"/>
    <col min="5633" max="5633" width="2.7109375" style="157" customWidth="1"/>
    <col min="5634" max="5634" width="20.7109375" style="157" customWidth="1"/>
    <col min="5635" max="5635" width="21.7109375" style="157" customWidth="1"/>
    <col min="5636" max="5636" width="15.42578125" style="157" customWidth="1"/>
    <col min="5637" max="5637" width="17.28515625" style="157" customWidth="1"/>
    <col min="5638" max="5640" width="11.42578125" style="157"/>
    <col min="5641" max="5641" width="15.28515625" style="157" customWidth="1"/>
    <col min="5642" max="5888" width="11.42578125" style="157"/>
    <col min="5889" max="5889" width="2.7109375" style="157" customWidth="1"/>
    <col min="5890" max="5890" width="20.7109375" style="157" customWidth="1"/>
    <col min="5891" max="5891" width="21.7109375" style="157" customWidth="1"/>
    <col min="5892" max="5892" width="15.42578125" style="157" customWidth="1"/>
    <col min="5893" max="5893" width="17.28515625" style="157" customWidth="1"/>
    <col min="5894" max="5896" width="11.42578125" style="157"/>
    <col min="5897" max="5897" width="15.28515625" style="157" customWidth="1"/>
    <col min="5898" max="6144" width="11.42578125" style="157"/>
    <col min="6145" max="6145" width="2.7109375" style="157" customWidth="1"/>
    <col min="6146" max="6146" width="20.7109375" style="157" customWidth="1"/>
    <col min="6147" max="6147" width="21.7109375" style="157" customWidth="1"/>
    <col min="6148" max="6148" width="15.42578125" style="157" customWidth="1"/>
    <col min="6149" max="6149" width="17.28515625" style="157" customWidth="1"/>
    <col min="6150" max="6152" width="11.42578125" style="157"/>
    <col min="6153" max="6153" width="15.28515625" style="157" customWidth="1"/>
    <col min="6154" max="6400" width="11.42578125" style="157"/>
    <col min="6401" max="6401" width="2.7109375" style="157" customWidth="1"/>
    <col min="6402" max="6402" width="20.7109375" style="157" customWidth="1"/>
    <col min="6403" max="6403" width="21.7109375" style="157" customWidth="1"/>
    <col min="6404" max="6404" width="15.42578125" style="157" customWidth="1"/>
    <col min="6405" max="6405" width="17.28515625" style="157" customWidth="1"/>
    <col min="6406" max="6408" width="11.42578125" style="157"/>
    <col min="6409" max="6409" width="15.28515625" style="157" customWidth="1"/>
    <col min="6410" max="6656" width="11.42578125" style="157"/>
    <col min="6657" max="6657" width="2.7109375" style="157" customWidth="1"/>
    <col min="6658" max="6658" width="20.7109375" style="157" customWidth="1"/>
    <col min="6659" max="6659" width="21.7109375" style="157" customWidth="1"/>
    <col min="6660" max="6660" width="15.42578125" style="157" customWidth="1"/>
    <col min="6661" max="6661" width="17.28515625" style="157" customWidth="1"/>
    <col min="6662" max="6664" width="11.42578125" style="157"/>
    <col min="6665" max="6665" width="15.28515625" style="157" customWidth="1"/>
    <col min="6666" max="6912" width="11.42578125" style="157"/>
    <col min="6913" max="6913" width="2.7109375" style="157" customWidth="1"/>
    <col min="6914" max="6914" width="20.7109375" style="157" customWidth="1"/>
    <col min="6915" max="6915" width="21.7109375" style="157" customWidth="1"/>
    <col min="6916" max="6916" width="15.42578125" style="157" customWidth="1"/>
    <col min="6917" max="6917" width="17.28515625" style="157" customWidth="1"/>
    <col min="6918" max="6920" width="11.42578125" style="157"/>
    <col min="6921" max="6921" width="15.28515625" style="157" customWidth="1"/>
    <col min="6922" max="7168" width="11.42578125" style="157"/>
    <col min="7169" max="7169" width="2.7109375" style="157" customWidth="1"/>
    <col min="7170" max="7170" width="20.7109375" style="157" customWidth="1"/>
    <col min="7171" max="7171" width="21.7109375" style="157" customWidth="1"/>
    <col min="7172" max="7172" width="15.42578125" style="157" customWidth="1"/>
    <col min="7173" max="7173" width="17.28515625" style="157" customWidth="1"/>
    <col min="7174" max="7176" width="11.42578125" style="157"/>
    <col min="7177" max="7177" width="15.28515625" style="157" customWidth="1"/>
    <col min="7178" max="7424" width="11.42578125" style="157"/>
    <col min="7425" max="7425" width="2.7109375" style="157" customWidth="1"/>
    <col min="7426" max="7426" width="20.7109375" style="157" customWidth="1"/>
    <col min="7427" max="7427" width="21.7109375" style="157" customWidth="1"/>
    <col min="7428" max="7428" width="15.42578125" style="157" customWidth="1"/>
    <col min="7429" max="7429" width="17.28515625" style="157" customWidth="1"/>
    <col min="7430" max="7432" width="11.42578125" style="157"/>
    <col min="7433" max="7433" width="15.28515625" style="157" customWidth="1"/>
    <col min="7434" max="7680" width="11.42578125" style="157"/>
    <col min="7681" max="7681" width="2.7109375" style="157" customWidth="1"/>
    <col min="7682" max="7682" width="20.7109375" style="157" customWidth="1"/>
    <col min="7683" max="7683" width="21.7109375" style="157" customWidth="1"/>
    <col min="7684" max="7684" width="15.42578125" style="157" customWidth="1"/>
    <col min="7685" max="7685" width="17.28515625" style="157" customWidth="1"/>
    <col min="7686" max="7688" width="11.42578125" style="157"/>
    <col min="7689" max="7689" width="15.28515625" style="157" customWidth="1"/>
    <col min="7690" max="7936" width="11.42578125" style="157"/>
    <col min="7937" max="7937" width="2.7109375" style="157" customWidth="1"/>
    <col min="7938" max="7938" width="20.7109375" style="157" customWidth="1"/>
    <col min="7939" max="7939" width="21.7109375" style="157" customWidth="1"/>
    <col min="7940" max="7940" width="15.42578125" style="157" customWidth="1"/>
    <col min="7941" max="7941" width="17.28515625" style="157" customWidth="1"/>
    <col min="7942" max="7944" width="11.42578125" style="157"/>
    <col min="7945" max="7945" width="15.28515625" style="157" customWidth="1"/>
    <col min="7946" max="8192" width="11.42578125" style="157"/>
    <col min="8193" max="8193" width="2.7109375" style="157" customWidth="1"/>
    <col min="8194" max="8194" width="20.7109375" style="157" customWidth="1"/>
    <col min="8195" max="8195" width="21.7109375" style="157" customWidth="1"/>
    <col min="8196" max="8196" width="15.42578125" style="157" customWidth="1"/>
    <col min="8197" max="8197" width="17.28515625" style="157" customWidth="1"/>
    <col min="8198" max="8200" width="11.42578125" style="157"/>
    <col min="8201" max="8201" width="15.28515625" style="157" customWidth="1"/>
    <col min="8202" max="8448" width="11.42578125" style="157"/>
    <col min="8449" max="8449" width="2.7109375" style="157" customWidth="1"/>
    <col min="8450" max="8450" width="20.7109375" style="157" customWidth="1"/>
    <col min="8451" max="8451" width="21.7109375" style="157" customWidth="1"/>
    <col min="8452" max="8452" width="15.42578125" style="157" customWidth="1"/>
    <col min="8453" max="8453" width="17.28515625" style="157" customWidth="1"/>
    <col min="8454" max="8456" width="11.42578125" style="157"/>
    <col min="8457" max="8457" width="15.28515625" style="157" customWidth="1"/>
    <col min="8458" max="8704" width="11.42578125" style="157"/>
    <col min="8705" max="8705" width="2.7109375" style="157" customWidth="1"/>
    <col min="8706" max="8706" width="20.7109375" style="157" customWidth="1"/>
    <col min="8707" max="8707" width="21.7109375" style="157" customWidth="1"/>
    <col min="8708" max="8708" width="15.42578125" style="157" customWidth="1"/>
    <col min="8709" max="8709" width="17.28515625" style="157" customWidth="1"/>
    <col min="8710" max="8712" width="11.42578125" style="157"/>
    <col min="8713" max="8713" width="15.28515625" style="157" customWidth="1"/>
    <col min="8714" max="8960" width="11.42578125" style="157"/>
    <col min="8961" max="8961" width="2.7109375" style="157" customWidth="1"/>
    <col min="8962" max="8962" width="20.7109375" style="157" customWidth="1"/>
    <col min="8963" max="8963" width="21.7109375" style="157" customWidth="1"/>
    <col min="8964" max="8964" width="15.42578125" style="157" customWidth="1"/>
    <col min="8965" max="8965" width="17.28515625" style="157" customWidth="1"/>
    <col min="8966" max="8968" width="11.42578125" style="157"/>
    <col min="8969" max="8969" width="15.28515625" style="157" customWidth="1"/>
    <col min="8970" max="9216" width="11.42578125" style="157"/>
    <col min="9217" max="9217" width="2.7109375" style="157" customWidth="1"/>
    <col min="9218" max="9218" width="20.7109375" style="157" customWidth="1"/>
    <col min="9219" max="9219" width="21.7109375" style="157" customWidth="1"/>
    <col min="9220" max="9220" width="15.42578125" style="157" customWidth="1"/>
    <col min="9221" max="9221" width="17.28515625" style="157" customWidth="1"/>
    <col min="9222" max="9224" width="11.42578125" style="157"/>
    <col min="9225" max="9225" width="15.28515625" style="157" customWidth="1"/>
    <col min="9226" max="9472" width="11.42578125" style="157"/>
    <col min="9473" max="9473" width="2.7109375" style="157" customWidth="1"/>
    <col min="9474" max="9474" width="20.7109375" style="157" customWidth="1"/>
    <col min="9475" max="9475" width="21.7109375" style="157" customWidth="1"/>
    <col min="9476" max="9476" width="15.42578125" style="157" customWidth="1"/>
    <col min="9477" max="9477" width="17.28515625" style="157" customWidth="1"/>
    <col min="9478" max="9480" width="11.42578125" style="157"/>
    <col min="9481" max="9481" width="15.28515625" style="157" customWidth="1"/>
    <col min="9482" max="9728" width="11.42578125" style="157"/>
    <col min="9729" max="9729" width="2.7109375" style="157" customWidth="1"/>
    <col min="9730" max="9730" width="20.7109375" style="157" customWidth="1"/>
    <col min="9731" max="9731" width="21.7109375" style="157" customWidth="1"/>
    <col min="9732" max="9732" width="15.42578125" style="157" customWidth="1"/>
    <col min="9733" max="9733" width="17.28515625" style="157" customWidth="1"/>
    <col min="9734" max="9736" width="11.42578125" style="157"/>
    <col min="9737" max="9737" width="15.28515625" style="157" customWidth="1"/>
    <col min="9738" max="9984" width="11.42578125" style="157"/>
    <col min="9985" max="9985" width="2.7109375" style="157" customWidth="1"/>
    <col min="9986" max="9986" width="20.7109375" style="157" customWidth="1"/>
    <col min="9987" max="9987" width="21.7109375" style="157" customWidth="1"/>
    <col min="9988" max="9988" width="15.42578125" style="157" customWidth="1"/>
    <col min="9989" max="9989" width="17.28515625" style="157" customWidth="1"/>
    <col min="9990" max="9992" width="11.42578125" style="157"/>
    <col min="9993" max="9993" width="15.28515625" style="157" customWidth="1"/>
    <col min="9994" max="10240" width="11.42578125" style="157"/>
    <col min="10241" max="10241" width="2.7109375" style="157" customWidth="1"/>
    <col min="10242" max="10242" width="20.7109375" style="157" customWidth="1"/>
    <col min="10243" max="10243" width="21.7109375" style="157" customWidth="1"/>
    <col min="10244" max="10244" width="15.42578125" style="157" customWidth="1"/>
    <col min="10245" max="10245" width="17.28515625" style="157" customWidth="1"/>
    <col min="10246" max="10248" width="11.42578125" style="157"/>
    <col min="10249" max="10249" width="15.28515625" style="157" customWidth="1"/>
    <col min="10250" max="10496" width="11.42578125" style="157"/>
    <col min="10497" max="10497" width="2.7109375" style="157" customWidth="1"/>
    <col min="10498" max="10498" width="20.7109375" style="157" customWidth="1"/>
    <col min="10499" max="10499" width="21.7109375" style="157" customWidth="1"/>
    <col min="10500" max="10500" width="15.42578125" style="157" customWidth="1"/>
    <col min="10501" max="10501" width="17.28515625" style="157" customWidth="1"/>
    <col min="10502" max="10504" width="11.42578125" style="157"/>
    <col min="10505" max="10505" width="15.28515625" style="157" customWidth="1"/>
    <col min="10506" max="10752" width="11.42578125" style="157"/>
    <col min="10753" max="10753" width="2.7109375" style="157" customWidth="1"/>
    <col min="10754" max="10754" width="20.7109375" style="157" customWidth="1"/>
    <col min="10755" max="10755" width="21.7109375" style="157" customWidth="1"/>
    <col min="10756" max="10756" width="15.42578125" style="157" customWidth="1"/>
    <col min="10757" max="10757" width="17.28515625" style="157" customWidth="1"/>
    <col min="10758" max="10760" width="11.42578125" style="157"/>
    <col min="10761" max="10761" width="15.28515625" style="157" customWidth="1"/>
    <col min="10762" max="11008" width="11.42578125" style="157"/>
    <col min="11009" max="11009" width="2.7109375" style="157" customWidth="1"/>
    <col min="11010" max="11010" width="20.7109375" style="157" customWidth="1"/>
    <col min="11011" max="11011" width="21.7109375" style="157" customWidth="1"/>
    <col min="11012" max="11012" width="15.42578125" style="157" customWidth="1"/>
    <col min="11013" max="11013" width="17.28515625" style="157" customWidth="1"/>
    <col min="11014" max="11016" width="11.42578125" style="157"/>
    <col min="11017" max="11017" width="15.28515625" style="157" customWidth="1"/>
    <col min="11018" max="11264" width="11.42578125" style="157"/>
    <col min="11265" max="11265" width="2.7109375" style="157" customWidth="1"/>
    <col min="11266" max="11266" width="20.7109375" style="157" customWidth="1"/>
    <col min="11267" max="11267" width="21.7109375" style="157" customWidth="1"/>
    <col min="11268" max="11268" width="15.42578125" style="157" customWidth="1"/>
    <col min="11269" max="11269" width="17.28515625" style="157" customWidth="1"/>
    <col min="11270" max="11272" width="11.42578125" style="157"/>
    <col min="11273" max="11273" width="15.28515625" style="157" customWidth="1"/>
    <col min="11274" max="11520" width="11.42578125" style="157"/>
    <col min="11521" max="11521" width="2.7109375" style="157" customWidth="1"/>
    <col min="11522" max="11522" width="20.7109375" style="157" customWidth="1"/>
    <col min="11523" max="11523" width="21.7109375" style="157" customWidth="1"/>
    <col min="11524" max="11524" width="15.42578125" style="157" customWidth="1"/>
    <col min="11525" max="11525" width="17.28515625" style="157" customWidth="1"/>
    <col min="11526" max="11528" width="11.42578125" style="157"/>
    <col min="11529" max="11529" width="15.28515625" style="157" customWidth="1"/>
    <col min="11530" max="11776" width="11.42578125" style="157"/>
    <col min="11777" max="11777" width="2.7109375" style="157" customWidth="1"/>
    <col min="11778" max="11778" width="20.7109375" style="157" customWidth="1"/>
    <col min="11779" max="11779" width="21.7109375" style="157" customWidth="1"/>
    <col min="11780" max="11780" width="15.42578125" style="157" customWidth="1"/>
    <col min="11781" max="11781" width="17.28515625" style="157" customWidth="1"/>
    <col min="11782" max="11784" width="11.42578125" style="157"/>
    <col min="11785" max="11785" width="15.28515625" style="157" customWidth="1"/>
    <col min="11786" max="12032" width="11.42578125" style="157"/>
    <col min="12033" max="12033" width="2.7109375" style="157" customWidth="1"/>
    <col min="12034" max="12034" width="20.7109375" style="157" customWidth="1"/>
    <col min="12035" max="12035" width="21.7109375" style="157" customWidth="1"/>
    <col min="12036" max="12036" width="15.42578125" style="157" customWidth="1"/>
    <col min="12037" max="12037" width="17.28515625" style="157" customWidth="1"/>
    <col min="12038" max="12040" width="11.42578125" style="157"/>
    <col min="12041" max="12041" width="15.28515625" style="157" customWidth="1"/>
    <col min="12042" max="12288" width="11.42578125" style="157"/>
    <col min="12289" max="12289" width="2.7109375" style="157" customWidth="1"/>
    <col min="12290" max="12290" width="20.7109375" style="157" customWidth="1"/>
    <col min="12291" max="12291" width="21.7109375" style="157" customWidth="1"/>
    <col min="12292" max="12292" width="15.42578125" style="157" customWidth="1"/>
    <col min="12293" max="12293" width="17.28515625" style="157" customWidth="1"/>
    <col min="12294" max="12296" width="11.42578125" style="157"/>
    <col min="12297" max="12297" width="15.28515625" style="157" customWidth="1"/>
    <col min="12298" max="12544" width="11.42578125" style="157"/>
    <col min="12545" max="12545" width="2.7109375" style="157" customWidth="1"/>
    <col min="12546" max="12546" width="20.7109375" style="157" customWidth="1"/>
    <col min="12547" max="12547" width="21.7109375" style="157" customWidth="1"/>
    <col min="12548" max="12548" width="15.42578125" style="157" customWidth="1"/>
    <col min="12549" max="12549" width="17.28515625" style="157" customWidth="1"/>
    <col min="12550" max="12552" width="11.42578125" style="157"/>
    <col min="12553" max="12553" width="15.28515625" style="157" customWidth="1"/>
    <col min="12554" max="12800" width="11.42578125" style="157"/>
    <col min="12801" max="12801" width="2.7109375" style="157" customWidth="1"/>
    <col min="12802" max="12802" width="20.7109375" style="157" customWidth="1"/>
    <col min="12803" max="12803" width="21.7109375" style="157" customWidth="1"/>
    <col min="12804" max="12804" width="15.42578125" style="157" customWidth="1"/>
    <col min="12805" max="12805" width="17.28515625" style="157" customWidth="1"/>
    <col min="12806" max="12808" width="11.42578125" style="157"/>
    <col min="12809" max="12809" width="15.28515625" style="157" customWidth="1"/>
    <col min="12810" max="13056" width="11.42578125" style="157"/>
    <col min="13057" max="13057" width="2.7109375" style="157" customWidth="1"/>
    <col min="13058" max="13058" width="20.7109375" style="157" customWidth="1"/>
    <col min="13059" max="13059" width="21.7109375" style="157" customWidth="1"/>
    <col min="13060" max="13060" width="15.42578125" style="157" customWidth="1"/>
    <col min="13061" max="13061" width="17.28515625" style="157" customWidth="1"/>
    <col min="13062" max="13064" width="11.42578125" style="157"/>
    <col min="13065" max="13065" width="15.28515625" style="157" customWidth="1"/>
    <col min="13066" max="13312" width="11.42578125" style="157"/>
    <col min="13313" max="13313" width="2.7109375" style="157" customWidth="1"/>
    <col min="13314" max="13314" width="20.7109375" style="157" customWidth="1"/>
    <col min="13315" max="13315" width="21.7109375" style="157" customWidth="1"/>
    <col min="13316" max="13316" width="15.42578125" style="157" customWidth="1"/>
    <col min="13317" max="13317" width="17.28515625" style="157" customWidth="1"/>
    <col min="13318" max="13320" width="11.42578125" style="157"/>
    <col min="13321" max="13321" width="15.28515625" style="157" customWidth="1"/>
    <col min="13322" max="13568" width="11.42578125" style="157"/>
    <col min="13569" max="13569" width="2.7109375" style="157" customWidth="1"/>
    <col min="13570" max="13570" width="20.7109375" style="157" customWidth="1"/>
    <col min="13571" max="13571" width="21.7109375" style="157" customWidth="1"/>
    <col min="13572" max="13572" width="15.42578125" style="157" customWidth="1"/>
    <col min="13573" max="13573" width="17.28515625" style="157" customWidth="1"/>
    <col min="13574" max="13576" width="11.42578125" style="157"/>
    <col min="13577" max="13577" width="15.28515625" style="157" customWidth="1"/>
    <col min="13578" max="13824" width="11.42578125" style="157"/>
    <col min="13825" max="13825" width="2.7109375" style="157" customWidth="1"/>
    <col min="13826" max="13826" width="20.7109375" style="157" customWidth="1"/>
    <col min="13827" max="13827" width="21.7109375" style="157" customWidth="1"/>
    <col min="13828" max="13828" width="15.42578125" style="157" customWidth="1"/>
    <col min="13829" max="13829" width="17.28515625" style="157" customWidth="1"/>
    <col min="13830" max="13832" width="11.42578125" style="157"/>
    <col min="13833" max="13833" width="15.28515625" style="157" customWidth="1"/>
    <col min="13834" max="14080" width="11.42578125" style="157"/>
    <col min="14081" max="14081" width="2.7109375" style="157" customWidth="1"/>
    <col min="14082" max="14082" width="20.7109375" style="157" customWidth="1"/>
    <col min="14083" max="14083" width="21.7109375" style="157" customWidth="1"/>
    <col min="14084" max="14084" width="15.42578125" style="157" customWidth="1"/>
    <col min="14085" max="14085" width="17.28515625" style="157" customWidth="1"/>
    <col min="14086" max="14088" width="11.42578125" style="157"/>
    <col min="14089" max="14089" width="15.28515625" style="157" customWidth="1"/>
    <col min="14090" max="14336" width="11.42578125" style="157"/>
    <col min="14337" max="14337" width="2.7109375" style="157" customWidth="1"/>
    <col min="14338" max="14338" width="20.7109375" style="157" customWidth="1"/>
    <col min="14339" max="14339" width="21.7109375" style="157" customWidth="1"/>
    <col min="14340" max="14340" width="15.42578125" style="157" customWidth="1"/>
    <col min="14341" max="14341" width="17.28515625" style="157" customWidth="1"/>
    <col min="14342" max="14344" width="11.42578125" style="157"/>
    <col min="14345" max="14345" width="15.28515625" style="157" customWidth="1"/>
    <col min="14346" max="14592" width="11.42578125" style="157"/>
    <col min="14593" max="14593" width="2.7109375" style="157" customWidth="1"/>
    <col min="14594" max="14594" width="20.7109375" style="157" customWidth="1"/>
    <col min="14595" max="14595" width="21.7109375" style="157" customWidth="1"/>
    <col min="14596" max="14596" width="15.42578125" style="157" customWidth="1"/>
    <col min="14597" max="14597" width="17.28515625" style="157" customWidth="1"/>
    <col min="14598" max="14600" width="11.42578125" style="157"/>
    <col min="14601" max="14601" width="15.28515625" style="157" customWidth="1"/>
    <col min="14602" max="14848" width="11.42578125" style="157"/>
    <col min="14849" max="14849" width="2.7109375" style="157" customWidth="1"/>
    <col min="14850" max="14850" width="20.7109375" style="157" customWidth="1"/>
    <col min="14851" max="14851" width="21.7109375" style="157" customWidth="1"/>
    <col min="14852" max="14852" width="15.42578125" style="157" customWidth="1"/>
    <col min="14853" max="14853" width="17.28515625" style="157" customWidth="1"/>
    <col min="14854" max="14856" width="11.42578125" style="157"/>
    <col min="14857" max="14857" width="15.28515625" style="157" customWidth="1"/>
    <col min="14858" max="15104" width="11.42578125" style="157"/>
    <col min="15105" max="15105" width="2.7109375" style="157" customWidth="1"/>
    <col min="15106" max="15106" width="20.7109375" style="157" customWidth="1"/>
    <col min="15107" max="15107" width="21.7109375" style="157" customWidth="1"/>
    <col min="15108" max="15108" width="15.42578125" style="157" customWidth="1"/>
    <col min="15109" max="15109" width="17.28515625" style="157" customWidth="1"/>
    <col min="15110" max="15112" width="11.42578125" style="157"/>
    <col min="15113" max="15113" width="15.28515625" style="157" customWidth="1"/>
    <col min="15114" max="15360" width="11.42578125" style="157"/>
    <col min="15361" max="15361" width="2.7109375" style="157" customWidth="1"/>
    <col min="15362" max="15362" width="20.7109375" style="157" customWidth="1"/>
    <col min="15363" max="15363" width="21.7109375" style="157" customWidth="1"/>
    <col min="15364" max="15364" width="15.42578125" style="157" customWidth="1"/>
    <col min="15365" max="15365" width="17.28515625" style="157" customWidth="1"/>
    <col min="15366" max="15368" width="11.42578125" style="157"/>
    <col min="15369" max="15369" width="15.28515625" style="157" customWidth="1"/>
    <col min="15370" max="15616" width="11.42578125" style="157"/>
    <col min="15617" max="15617" width="2.7109375" style="157" customWidth="1"/>
    <col min="15618" max="15618" width="20.7109375" style="157" customWidth="1"/>
    <col min="15619" max="15619" width="21.7109375" style="157" customWidth="1"/>
    <col min="15620" max="15620" width="15.42578125" style="157" customWidth="1"/>
    <col min="15621" max="15621" width="17.28515625" style="157" customWidth="1"/>
    <col min="15622" max="15624" width="11.42578125" style="157"/>
    <col min="15625" max="15625" width="15.28515625" style="157" customWidth="1"/>
    <col min="15626" max="15872" width="11.42578125" style="157"/>
    <col min="15873" max="15873" width="2.7109375" style="157" customWidth="1"/>
    <col min="15874" max="15874" width="20.7109375" style="157" customWidth="1"/>
    <col min="15875" max="15875" width="21.7109375" style="157" customWidth="1"/>
    <col min="15876" max="15876" width="15.42578125" style="157" customWidth="1"/>
    <col min="15877" max="15877" width="17.28515625" style="157" customWidth="1"/>
    <col min="15878" max="15880" width="11.42578125" style="157"/>
    <col min="15881" max="15881" width="15.28515625" style="157" customWidth="1"/>
    <col min="15882" max="16128" width="11.42578125" style="157"/>
    <col min="16129" max="16129" width="2.7109375" style="157" customWidth="1"/>
    <col min="16130" max="16130" width="20.7109375" style="157" customWidth="1"/>
    <col min="16131" max="16131" width="21.7109375" style="157" customWidth="1"/>
    <col min="16132" max="16132" width="15.42578125" style="157" customWidth="1"/>
    <col min="16133" max="16133" width="17.28515625" style="157" customWidth="1"/>
    <col min="16134" max="16136" width="11.42578125" style="157"/>
    <col min="16137" max="16137" width="15.28515625" style="157" customWidth="1"/>
    <col min="16138" max="16384" width="11.42578125" style="157"/>
  </cols>
  <sheetData>
    <row r="2" spans="1:26" ht="16.5" x14ac:dyDescent="0.25">
      <c r="A2" s="533" t="s">
        <v>224</v>
      </c>
    </row>
    <row r="4" spans="1:26" ht="13.5" thickBot="1" x14ac:dyDescent="0.25"/>
    <row r="5" spans="1:26" x14ac:dyDescent="0.2">
      <c r="B5" s="1340" t="s">
        <v>132</v>
      </c>
      <c r="C5" s="1622" t="s">
        <v>225</v>
      </c>
      <c r="D5" s="534"/>
      <c r="E5" s="535"/>
      <c r="F5" s="536"/>
    </row>
    <row r="6" spans="1:26" x14ac:dyDescent="0.2">
      <c r="B6" s="1623"/>
      <c r="C6" s="1624" t="s">
        <v>226</v>
      </c>
      <c r="D6" s="534"/>
      <c r="E6" s="535"/>
      <c r="F6" s="536"/>
    </row>
    <row r="7" spans="1:26" x14ac:dyDescent="0.2">
      <c r="B7" s="537"/>
      <c r="C7" s="538"/>
      <c r="D7" s="534"/>
      <c r="E7" s="535"/>
      <c r="F7" s="536"/>
    </row>
    <row r="8" spans="1:26" ht="15" x14ac:dyDescent="0.25">
      <c r="B8" s="539">
        <v>1995</v>
      </c>
      <c r="C8" s="540">
        <v>2052.1</v>
      </c>
      <c r="D8" s="541"/>
      <c r="E8" s="337"/>
      <c r="F8" s="162"/>
      <c r="O8" s="542"/>
      <c r="P8" s="542"/>
      <c r="Q8" s="542"/>
      <c r="R8" s="542"/>
      <c r="S8" s="542"/>
      <c r="T8" s="542"/>
      <c r="V8" s="543"/>
      <c r="W8" s="543"/>
      <c r="X8" s="543"/>
      <c r="Y8" s="543"/>
      <c r="Z8" s="543"/>
    </row>
    <row r="9" spans="1:26" ht="15" x14ac:dyDescent="0.25">
      <c r="B9" s="544">
        <v>1996</v>
      </c>
      <c r="C9" s="545">
        <v>2024.93</v>
      </c>
      <c r="D9" s="541"/>
      <c r="E9" s="337"/>
      <c r="F9" s="162"/>
      <c r="O9" s="542"/>
      <c r="P9" s="542"/>
      <c r="Q9" s="542"/>
      <c r="R9" s="542"/>
      <c r="S9" s="542"/>
      <c r="T9" s="542"/>
      <c r="U9" s="546"/>
      <c r="V9" s="543"/>
      <c r="W9" s="543"/>
      <c r="X9" s="543"/>
      <c r="Y9" s="543"/>
      <c r="Z9" s="543"/>
    </row>
    <row r="10" spans="1:26" ht="15" x14ac:dyDescent="0.25">
      <c r="B10" s="539">
        <v>1997</v>
      </c>
      <c r="C10" s="540">
        <v>2400.9</v>
      </c>
      <c r="D10" s="541"/>
      <c r="E10" s="337"/>
      <c r="F10" s="547"/>
      <c r="O10" s="542"/>
      <c r="P10" s="542"/>
      <c r="Q10" s="542"/>
      <c r="R10" s="542"/>
      <c r="S10" s="542"/>
      <c r="T10" s="542"/>
      <c r="V10" s="543"/>
      <c r="W10" s="543"/>
      <c r="X10" s="543"/>
      <c r="Y10" s="543"/>
      <c r="Z10" s="543"/>
    </row>
    <row r="11" spans="1:26" ht="15" x14ac:dyDescent="0.25">
      <c r="B11" s="544">
        <v>1998</v>
      </c>
      <c r="C11" s="545">
        <v>2520.6</v>
      </c>
      <c r="D11" s="541"/>
      <c r="E11" s="337"/>
      <c r="F11" s="162"/>
      <c r="O11" s="542"/>
      <c r="P11" s="542"/>
      <c r="Q11" s="542"/>
      <c r="R11" s="542"/>
      <c r="S11" s="542"/>
      <c r="T11" s="542"/>
      <c r="V11" s="543"/>
      <c r="W11" s="543"/>
      <c r="X11" s="543"/>
      <c r="Y11" s="543"/>
      <c r="Z11" s="543"/>
    </row>
    <row r="12" spans="1:26" ht="15" x14ac:dyDescent="0.25">
      <c r="B12" s="539">
        <v>1999</v>
      </c>
      <c r="C12" s="540">
        <v>2580.3000000000002</v>
      </c>
      <c r="D12" s="541"/>
      <c r="E12" s="337"/>
      <c r="F12" s="162"/>
      <c r="O12" s="542"/>
      <c r="P12" s="542"/>
      <c r="Q12" s="542"/>
      <c r="R12" s="542"/>
      <c r="S12" s="542"/>
      <c r="T12" s="542"/>
      <c r="V12" s="543"/>
      <c r="W12" s="543"/>
      <c r="X12" s="543"/>
      <c r="Y12" s="543"/>
      <c r="Z12" s="543"/>
    </row>
    <row r="13" spans="1:26" ht="15" x14ac:dyDescent="0.25">
      <c r="B13" s="544">
        <v>2000</v>
      </c>
      <c r="C13" s="545">
        <v>2620.6999999999998</v>
      </c>
      <c r="D13" s="541"/>
      <c r="E13" s="337"/>
      <c r="F13" s="162"/>
      <c r="O13" s="542"/>
      <c r="P13" s="542"/>
      <c r="Q13" s="542"/>
      <c r="R13" s="542"/>
      <c r="S13" s="542"/>
      <c r="T13" s="542"/>
      <c r="V13" s="543"/>
      <c r="W13" s="543"/>
      <c r="X13" s="543"/>
      <c r="Y13" s="543"/>
      <c r="Z13" s="543"/>
    </row>
    <row r="14" spans="1:26" ht="15" x14ac:dyDescent="0.25">
      <c r="B14" s="548">
        <v>2001</v>
      </c>
      <c r="C14" s="540">
        <v>2792.22</v>
      </c>
      <c r="D14" s="541"/>
      <c r="E14" s="337"/>
      <c r="F14" s="162"/>
      <c r="O14" s="542"/>
      <c r="P14" s="542"/>
      <c r="Q14" s="542"/>
      <c r="R14" s="542"/>
      <c r="S14" s="542"/>
      <c r="T14" s="542"/>
      <c r="V14" s="543"/>
      <c r="W14" s="543"/>
      <c r="X14" s="543"/>
      <c r="Y14" s="543"/>
      <c r="Z14" s="543"/>
    </row>
    <row r="15" spans="1:26" ht="15" x14ac:dyDescent="0.25">
      <c r="B15" s="544">
        <v>2002</v>
      </c>
      <c r="C15" s="545">
        <v>2908.2</v>
      </c>
      <c r="D15" s="541"/>
      <c r="E15" s="337"/>
      <c r="F15" s="162"/>
      <c r="O15" s="542"/>
      <c r="P15" s="542"/>
      <c r="Q15" s="542"/>
      <c r="R15" s="542"/>
      <c r="S15" s="542"/>
      <c r="T15" s="542"/>
      <c r="U15" s="549"/>
      <c r="V15" s="543"/>
      <c r="W15" s="543"/>
      <c r="X15" s="543"/>
      <c r="Y15" s="543"/>
      <c r="Z15" s="543"/>
    </row>
    <row r="16" spans="1:26" ht="15" x14ac:dyDescent="0.25">
      <c r="B16" s="539">
        <v>2003</v>
      </c>
      <c r="C16" s="540">
        <v>2964.7548999999999</v>
      </c>
      <c r="D16" s="541"/>
      <c r="E16" s="337"/>
      <c r="F16" s="162"/>
      <c r="O16" s="542"/>
      <c r="P16" s="542"/>
      <c r="Q16" s="542"/>
      <c r="R16" s="542"/>
      <c r="S16" s="542"/>
      <c r="T16" s="542"/>
      <c r="V16" s="543"/>
      <c r="W16" s="543"/>
      <c r="X16" s="543"/>
      <c r="Y16" s="543"/>
      <c r="Z16" s="543"/>
    </row>
    <row r="17" spans="2:26" ht="15" x14ac:dyDescent="0.25">
      <c r="B17" s="544">
        <v>2004</v>
      </c>
      <c r="C17" s="545">
        <v>3130.8466199999993</v>
      </c>
      <c r="D17" s="541"/>
      <c r="E17" s="337"/>
      <c r="F17" s="162"/>
      <c r="O17" s="542"/>
      <c r="P17" s="542"/>
      <c r="Q17" s="542"/>
      <c r="R17" s="542"/>
      <c r="S17" s="542"/>
      <c r="T17" s="542"/>
      <c r="V17" s="543"/>
      <c r="W17" s="543"/>
      <c r="X17" s="543"/>
      <c r="Y17" s="543"/>
      <c r="Z17" s="543"/>
    </row>
    <row r="18" spans="2:26" ht="15" x14ac:dyDescent="0.25">
      <c r="B18" s="539">
        <v>2005</v>
      </c>
      <c r="C18" s="540">
        <v>3305.0140500000002</v>
      </c>
      <c r="D18" s="541"/>
      <c r="E18" s="337"/>
      <c r="F18" s="162"/>
      <c r="O18" s="542"/>
      <c r="P18" s="542"/>
      <c r="Q18" s="542"/>
      <c r="R18" s="542"/>
      <c r="S18" s="542"/>
      <c r="T18" s="550"/>
      <c r="V18" s="551"/>
      <c r="W18" s="551"/>
      <c r="X18" s="551"/>
      <c r="Y18" s="551"/>
      <c r="Z18" s="552"/>
    </row>
    <row r="19" spans="2:26" ht="15" x14ac:dyDescent="0.25">
      <c r="B19" s="544">
        <v>2006</v>
      </c>
      <c r="C19" s="545">
        <v>3580</v>
      </c>
      <c r="D19" s="541"/>
      <c r="E19" s="337"/>
      <c r="F19" s="162"/>
      <c r="O19" s="553"/>
      <c r="P19" s="553"/>
      <c r="Q19" s="553"/>
      <c r="R19" s="553"/>
      <c r="S19" s="553"/>
      <c r="T19" s="550"/>
      <c r="V19" s="551"/>
      <c r="W19" s="551"/>
      <c r="X19" s="551"/>
      <c r="Y19" s="551"/>
      <c r="Z19" s="552"/>
    </row>
    <row r="20" spans="2:26" x14ac:dyDescent="0.2">
      <c r="B20" s="539">
        <v>2007</v>
      </c>
      <c r="C20" s="540">
        <v>3965.6038100000005</v>
      </c>
      <c r="D20" s="541"/>
      <c r="E20" s="337"/>
      <c r="F20" s="162"/>
    </row>
    <row r="21" spans="2:26" x14ac:dyDescent="0.2">
      <c r="B21" s="544">
        <v>2008</v>
      </c>
      <c r="C21" s="545">
        <v>4198.6589700000004</v>
      </c>
      <c r="D21" s="541"/>
      <c r="E21" s="337"/>
      <c r="F21" s="162"/>
    </row>
    <row r="22" spans="2:26" x14ac:dyDescent="0.2">
      <c r="B22" s="554">
        <v>2009</v>
      </c>
      <c r="C22" s="540">
        <v>4322.3748300000007</v>
      </c>
      <c r="D22" s="541"/>
      <c r="E22" s="337"/>
      <c r="F22" s="162"/>
    </row>
    <row r="23" spans="2:26" x14ac:dyDescent="0.2">
      <c r="B23" s="384">
        <v>2010</v>
      </c>
      <c r="C23" s="545">
        <v>4578.9431199999999</v>
      </c>
      <c r="D23" s="541"/>
      <c r="E23" s="337"/>
      <c r="F23" s="162"/>
    </row>
    <row r="24" spans="2:26" x14ac:dyDescent="0.2">
      <c r="B24" s="548">
        <v>2011</v>
      </c>
      <c r="C24" s="540">
        <v>4961.1929899999996</v>
      </c>
      <c r="D24" s="541"/>
      <c r="E24" s="337"/>
      <c r="F24" s="162"/>
    </row>
    <row r="25" spans="2:26" x14ac:dyDescent="0.2">
      <c r="B25" s="367">
        <v>2012</v>
      </c>
      <c r="C25" s="555">
        <v>5290.8930899999987</v>
      </c>
      <c r="D25" s="541"/>
      <c r="E25" s="337"/>
      <c r="F25" s="162"/>
    </row>
    <row r="26" spans="2:26" x14ac:dyDescent="0.2">
      <c r="B26" s="548">
        <v>2013</v>
      </c>
      <c r="C26" s="540">
        <v>5575.2435699999996</v>
      </c>
      <c r="D26" s="541"/>
      <c r="E26" s="337"/>
      <c r="F26" s="162"/>
    </row>
    <row r="27" spans="2:26" x14ac:dyDescent="0.2">
      <c r="B27" s="367">
        <v>2014</v>
      </c>
      <c r="C27" s="555">
        <v>5737.2723200000019</v>
      </c>
      <c r="D27" s="541"/>
      <c r="E27" s="337"/>
      <c r="F27" s="162"/>
    </row>
    <row r="28" spans="2:26" x14ac:dyDescent="0.2">
      <c r="B28" s="548" t="s">
        <v>136</v>
      </c>
      <c r="C28" s="540">
        <v>6274.5590500000017</v>
      </c>
      <c r="D28" s="541"/>
      <c r="E28" s="337"/>
      <c r="F28" s="162"/>
    </row>
    <row r="29" spans="2:26" ht="13.5" thickBot="1" x14ac:dyDescent="0.25">
      <c r="B29" s="367"/>
      <c r="C29" s="555"/>
      <c r="D29" s="541"/>
      <c r="E29" s="337"/>
      <c r="F29" s="162"/>
    </row>
    <row r="30" spans="2:26" x14ac:dyDescent="0.2">
      <c r="B30" s="556" t="s">
        <v>137</v>
      </c>
      <c r="C30" s="557">
        <f>(C28/C27)-1</f>
        <v>9.3648462201633809E-2</v>
      </c>
      <c r="D30" s="558"/>
      <c r="E30" s="559"/>
      <c r="F30" s="559"/>
      <c r="G30" s="559"/>
    </row>
    <row r="31" spans="2:26" x14ac:dyDescent="0.2">
      <c r="B31" s="560" t="s">
        <v>138</v>
      </c>
      <c r="C31" s="561">
        <f>((C28/C23)^(1/5))-1</f>
        <v>6.5034294436918216E-2</v>
      </c>
      <c r="D31" s="562"/>
      <c r="E31" s="559"/>
      <c r="F31" s="559"/>
      <c r="G31" s="559"/>
    </row>
    <row r="32" spans="2:26" x14ac:dyDescent="0.2">
      <c r="B32" s="563" t="s">
        <v>144</v>
      </c>
      <c r="C32" s="564">
        <f>(C28/C18)-1</f>
        <v>0.89849693679819653</v>
      </c>
      <c r="D32" s="562"/>
      <c r="E32" s="565"/>
      <c r="F32" s="565"/>
      <c r="G32" s="565"/>
    </row>
    <row r="33" spans="2:8" ht="13.5" thickBot="1" x14ac:dyDescent="0.25">
      <c r="B33" s="566" t="s">
        <v>140</v>
      </c>
      <c r="C33" s="567">
        <f>((C28/C18)^(1/10))-1</f>
        <v>6.6205675732269986E-2</v>
      </c>
    </row>
    <row r="35" spans="2:8" x14ac:dyDescent="0.2">
      <c r="B35" s="345" t="s">
        <v>227</v>
      </c>
    </row>
    <row r="36" spans="2:8" x14ac:dyDescent="0.2">
      <c r="B36" s="1625" t="s">
        <v>322</v>
      </c>
      <c r="C36" s="1625"/>
      <c r="D36" s="1625"/>
      <c r="E36" s="1625"/>
      <c r="F36" s="1625"/>
      <c r="G36" s="1625"/>
      <c r="H36" s="1625"/>
    </row>
    <row r="37" spans="2:8" x14ac:dyDescent="0.2">
      <c r="B37" s="1625"/>
      <c r="C37" s="1625"/>
      <c r="D37" s="1625"/>
      <c r="E37" s="1625"/>
      <c r="F37" s="1625"/>
      <c r="G37" s="1625"/>
      <c r="H37" s="1625"/>
    </row>
    <row r="38" spans="2:8" ht="15" x14ac:dyDescent="0.25">
      <c r="C38" s="262"/>
      <c r="D38" s="549"/>
    </row>
    <row r="59" spans="2:2" ht="249.75" x14ac:dyDescent="0.3">
      <c r="B59" s="1424" t="s">
        <v>316</v>
      </c>
    </row>
  </sheetData>
  <mergeCells count="1">
    <mergeCell ref="B36:H37"/>
  </mergeCells>
  <pageMargins left="0.35433070866141736" right="0.35433070866141736" top="0.6692913385826772" bottom="0.98425196850393704" header="7.874015748031496E-2" footer="0"/>
  <pageSetup paperSize="9" scale="7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99"/>
  <sheetViews>
    <sheetView view="pageBreakPreview" topLeftCell="A67" zoomScaleNormal="85" zoomScaleSheetLayoutView="100" workbookViewId="0">
      <selection activeCell="Q27" sqref="Q27"/>
    </sheetView>
  </sheetViews>
  <sheetFormatPr baseColWidth="10" defaultRowHeight="12.75" x14ac:dyDescent="0.2"/>
  <cols>
    <col min="1" max="1" width="4.42578125" style="157" customWidth="1"/>
    <col min="2" max="2" width="22.140625" style="157" customWidth="1"/>
    <col min="3" max="3" width="10.5703125" style="157" customWidth="1"/>
    <col min="4" max="4" width="9.7109375" style="157" customWidth="1"/>
    <col min="5" max="6" width="9.5703125" style="157" customWidth="1"/>
    <col min="7" max="7" width="8.7109375" style="157" customWidth="1"/>
    <col min="8" max="8" width="9.28515625" style="157" customWidth="1"/>
    <col min="9" max="9" width="10.85546875" style="157" customWidth="1"/>
    <col min="10" max="11" width="9.28515625" style="157" customWidth="1"/>
    <col min="12" max="12" width="6.42578125" style="157" customWidth="1"/>
    <col min="13" max="13" width="8.140625" style="157" customWidth="1"/>
    <col min="14" max="14" width="9.5703125" style="157" customWidth="1"/>
    <col min="15" max="15" width="8.85546875" style="157" customWidth="1"/>
    <col min="16" max="17" width="11.42578125" style="157"/>
    <col min="18" max="18" width="13.7109375" style="157" bestFit="1" customWidth="1"/>
    <col min="19" max="19" width="14.28515625" style="157" bestFit="1" customWidth="1"/>
    <col min="20" max="20" width="13.7109375" style="157" bestFit="1" customWidth="1"/>
    <col min="21" max="22" width="11.5703125" style="157" customWidth="1"/>
    <col min="23" max="27" width="11.42578125" style="337"/>
    <col min="28" max="256" width="11.42578125" style="157"/>
    <col min="257" max="257" width="4.42578125" style="157" customWidth="1"/>
    <col min="258" max="258" width="22.140625" style="157" customWidth="1"/>
    <col min="259" max="259" width="10.5703125" style="157" customWidth="1"/>
    <col min="260" max="260" width="9.7109375" style="157" customWidth="1"/>
    <col min="261" max="262" width="9.5703125" style="157" customWidth="1"/>
    <col min="263" max="263" width="8.7109375" style="157" customWidth="1"/>
    <col min="264" max="264" width="9.28515625" style="157" customWidth="1"/>
    <col min="265" max="265" width="10.85546875" style="157" customWidth="1"/>
    <col min="266" max="267" width="9.28515625" style="157" customWidth="1"/>
    <col min="268" max="268" width="6.42578125" style="157" customWidth="1"/>
    <col min="269" max="269" width="8.140625" style="157" customWidth="1"/>
    <col min="270" max="270" width="9.5703125" style="157" customWidth="1"/>
    <col min="271" max="271" width="8.85546875" style="157" customWidth="1"/>
    <col min="272" max="273" width="11.42578125" style="157"/>
    <col min="274" max="274" width="13.7109375" style="157" bestFit="1" customWidth="1"/>
    <col min="275" max="275" width="14.28515625" style="157" bestFit="1" customWidth="1"/>
    <col min="276" max="276" width="13.7109375" style="157" bestFit="1" customWidth="1"/>
    <col min="277" max="278" width="11.5703125" style="157" customWidth="1"/>
    <col min="279" max="512" width="11.42578125" style="157"/>
    <col min="513" max="513" width="4.42578125" style="157" customWidth="1"/>
    <col min="514" max="514" width="22.140625" style="157" customWidth="1"/>
    <col min="515" max="515" width="10.5703125" style="157" customWidth="1"/>
    <col min="516" max="516" width="9.7109375" style="157" customWidth="1"/>
    <col min="517" max="518" width="9.5703125" style="157" customWidth="1"/>
    <col min="519" max="519" width="8.7109375" style="157" customWidth="1"/>
    <col min="520" max="520" width="9.28515625" style="157" customWidth="1"/>
    <col min="521" max="521" width="10.85546875" style="157" customWidth="1"/>
    <col min="522" max="523" width="9.28515625" style="157" customWidth="1"/>
    <col min="524" max="524" width="6.42578125" style="157" customWidth="1"/>
    <col min="525" max="525" width="8.140625" style="157" customWidth="1"/>
    <col min="526" max="526" width="9.5703125" style="157" customWidth="1"/>
    <col min="527" max="527" width="8.85546875" style="157" customWidth="1"/>
    <col min="528" max="529" width="11.42578125" style="157"/>
    <col min="530" max="530" width="13.7109375" style="157" bestFit="1" customWidth="1"/>
    <col min="531" max="531" width="14.28515625" style="157" bestFit="1" customWidth="1"/>
    <col min="532" max="532" width="13.7109375" style="157" bestFit="1" customWidth="1"/>
    <col min="533" max="534" width="11.5703125" style="157" customWidth="1"/>
    <col min="535" max="768" width="11.42578125" style="157"/>
    <col min="769" max="769" width="4.42578125" style="157" customWidth="1"/>
    <col min="770" max="770" width="22.140625" style="157" customWidth="1"/>
    <col min="771" max="771" width="10.5703125" style="157" customWidth="1"/>
    <col min="772" max="772" width="9.7109375" style="157" customWidth="1"/>
    <col min="773" max="774" width="9.5703125" style="157" customWidth="1"/>
    <col min="775" max="775" width="8.7109375" style="157" customWidth="1"/>
    <col min="776" max="776" width="9.28515625" style="157" customWidth="1"/>
    <col min="777" max="777" width="10.85546875" style="157" customWidth="1"/>
    <col min="778" max="779" width="9.28515625" style="157" customWidth="1"/>
    <col min="780" max="780" width="6.42578125" style="157" customWidth="1"/>
    <col min="781" max="781" width="8.140625" style="157" customWidth="1"/>
    <col min="782" max="782" width="9.5703125" style="157" customWidth="1"/>
    <col min="783" max="783" width="8.85546875" style="157" customWidth="1"/>
    <col min="784" max="785" width="11.42578125" style="157"/>
    <col min="786" max="786" width="13.7109375" style="157" bestFit="1" customWidth="1"/>
    <col min="787" max="787" width="14.28515625" style="157" bestFit="1" customWidth="1"/>
    <col min="788" max="788" width="13.7109375" style="157" bestFit="1" customWidth="1"/>
    <col min="789" max="790" width="11.5703125" style="157" customWidth="1"/>
    <col min="791" max="1024" width="11.42578125" style="157"/>
    <col min="1025" max="1025" width="4.42578125" style="157" customWidth="1"/>
    <col min="1026" max="1026" width="22.140625" style="157" customWidth="1"/>
    <col min="1027" max="1027" width="10.5703125" style="157" customWidth="1"/>
    <col min="1028" max="1028" width="9.7109375" style="157" customWidth="1"/>
    <col min="1029" max="1030" width="9.5703125" style="157" customWidth="1"/>
    <col min="1031" max="1031" width="8.7109375" style="157" customWidth="1"/>
    <col min="1032" max="1032" width="9.28515625" style="157" customWidth="1"/>
    <col min="1033" max="1033" width="10.85546875" style="157" customWidth="1"/>
    <col min="1034" max="1035" width="9.28515625" style="157" customWidth="1"/>
    <col min="1036" max="1036" width="6.42578125" style="157" customWidth="1"/>
    <col min="1037" max="1037" width="8.140625" style="157" customWidth="1"/>
    <col min="1038" max="1038" width="9.5703125" style="157" customWidth="1"/>
    <col min="1039" max="1039" width="8.85546875" style="157" customWidth="1"/>
    <col min="1040" max="1041" width="11.42578125" style="157"/>
    <col min="1042" max="1042" width="13.7109375" style="157" bestFit="1" customWidth="1"/>
    <col min="1043" max="1043" width="14.28515625" style="157" bestFit="1" customWidth="1"/>
    <col min="1044" max="1044" width="13.7109375" style="157" bestFit="1" customWidth="1"/>
    <col min="1045" max="1046" width="11.5703125" style="157" customWidth="1"/>
    <col min="1047" max="1280" width="11.42578125" style="157"/>
    <col min="1281" max="1281" width="4.42578125" style="157" customWidth="1"/>
    <col min="1282" max="1282" width="22.140625" style="157" customWidth="1"/>
    <col min="1283" max="1283" width="10.5703125" style="157" customWidth="1"/>
    <col min="1284" max="1284" width="9.7109375" style="157" customWidth="1"/>
    <col min="1285" max="1286" width="9.5703125" style="157" customWidth="1"/>
    <col min="1287" max="1287" width="8.7109375" style="157" customWidth="1"/>
    <col min="1288" max="1288" width="9.28515625" style="157" customWidth="1"/>
    <col min="1289" max="1289" width="10.85546875" style="157" customWidth="1"/>
    <col min="1290" max="1291" width="9.28515625" style="157" customWidth="1"/>
    <col min="1292" max="1292" width="6.42578125" style="157" customWidth="1"/>
    <col min="1293" max="1293" width="8.140625" style="157" customWidth="1"/>
    <col min="1294" max="1294" width="9.5703125" style="157" customWidth="1"/>
    <col min="1295" max="1295" width="8.85546875" style="157" customWidth="1"/>
    <col min="1296" max="1297" width="11.42578125" style="157"/>
    <col min="1298" max="1298" width="13.7109375" style="157" bestFit="1" customWidth="1"/>
    <col min="1299" max="1299" width="14.28515625" style="157" bestFit="1" customWidth="1"/>
    <col min="1300" max="1300" width="13.7109375" style="157" bestFit="1" customWidth="1"/>
    <col min="1301" max="1302" width="11.5703125" style="157" customWidth="1"/>
    <col min="1303" max="1536" width="11.42578125" style="157"/>
    <col min="1537" max="1537" width="4.42578125" style="157" customWidth="1"/>
    <col min="1538" max="1538" width="22.140625" style="157" customWidth="1"/>
    <col min="1539" max="1539" width="10.5703125" style="157" customWidth="1"/>
    <col min="1540" max="1540" width="9.7109375" style="157" customWidth="1"/>
    <col min="1541" max="1542" width="9.5703125" style="157" customWidth="1"/>
    <col min="1543" max="1543" width="8.7109375" style="157" customWidth="1"/>
    <col min="1544" max="1544" width="9.28515625" style="157" customWidth="1"/>
    <col min="1545" max="1545" width="10.85546875" style="157" customWidth="1"/>
    <col min="1546" max="1547" width="9.28515625" style="157" customWidth="1"/>
    <col min="1548" max="1548" width="6.42578125" style="157" customWidth="1"/>
    <col min="1549" max="1549" width="8.140625" style="157" customWidth="1"/>
    <col min="1550" max="1550" width="9.5703125" style="157" customWidth="1"/>
    <col min="1551" max="1551" width="8.85546875" style="157" customWidth="1"/>
    <col min="1552" max="1553" width="11.42578125" style="157"/>
    <col min="1554" max="1554" width="13.7109375" style="157" bestFit="1" customWidth="1"/>
    <col min="1555" max="1555" width="14.28515625" style="157" bestFit="1" customWidth="1"/>
    <col min="1556" max="1556" width="13.7109375" style="157" bestFit="1" customWidth="1"/>
    <col min="1557" max="1558" width="11.5703125" style="157" customWidth="1"/>
    <col min="1559" max="1792" width="11.42578125" style="157"/>
    <col min="1793" max="1793" width="4.42578125" style="157" customWidth="1"/>
    <col min="1794" max="1794" width="22.140625" style="157" customWidth="1"/>
    <col min="1795" max="1795" width="10.5703125" style="157" customWidth="1"/>
    <col min="1796" max="1796" width="9.7109375" style="157" customWidth="1"/>
    <col min="1797" max="1798" width="9.5703125" style="157" customWidth="1"/>
    <col min="1799" max="1799" width="8.7109375" style="157" customWidth="1"/>
    <col min="1800" max="1800" width="9.28515625" style="157" customWidth="1"/>
    <col min="1801" max="1801" width="10.85546875" style="157" customWidth="1"/>
    <col min="1802" max="1803" width="9.28515625" style="157" customWidth="1"/>
    <col min="1804" max="1804" width="6.42578125" style="157" customWidth="1"/>
    <col min="1805" max="1805" width="8.140625" style="157" customWidth="1"/>
    <col min="1806" max="1806" width="9.5703125" style="157" customWidth="1"/>
    <col min="1807" max="1807" width="8.85546875" style="157" customWidth="1"/>
    <col min="1808" max="1809" width="11.42578125" style="157"/>
    <col min="1810" max="1810" width="13.7109375" style="157" bestFit="1" customWidth="1"/>
    <col min="1811" max="1811" width="14.28515625" style="157" bestFit="1" customWidth="1"/>
    <col min="1812" max="1812" width="13.7109375" style="157" bestFit="1" customWidth="1"/>
    <col min="1813" max="1814" width="11.5703125" style="157" customWidth="1"/>
    <col min="1815" max="2048" width="11.42578125" style="157"/>
    <col min="2049" max="2049" width="4.42578125" style="157" customWidth="1"/>
    <col min="2050" max="2050" width="22.140625" style="157" customWidth="1"/>
    <col min="2051" max="2051" width="10.5703125" style="157" customWidth="1"/>
    <col min="2052" max="2052" width="9.7109375" style="157" customWidth="1"/>
    <col min="2053" max="2054" width="9.5703125" style="157" customWidth="1"/>
    <col min="2055" max="2055" width="8.7109375" style="157" customWidth="1"/>
    <col min="2056" max="2056" width="9.28515625" style="157" customWidth="1"/>
    <col min="2057" max="2057" width="10.85546875" style="157" customWidth="1"/>
    <col min="2058" max="2059" width="9.28515625" style="157" customWidth="1"/>
    <col min="2060" max="2060" width="6.42578125" style="157" customWidth="1"/>
    <col min="2061" max="2061" width="8.140625" style="157" customWidth="1"/>
    <col min="2062" max="2062" width="9.5703125" style="157" customWidth="1"/>
    <col min="2063" max="2063" width="8.85546875" style="157" customWidth="1"/>
    <col min="2064" max="2065" width="11.42578125" style="157"/>
    <col min="2066" max="2066" width="13.7109375" style="157" bestFit="1" customWidth="1"/>
    <col min="2067" max="2067" width="14.28515625" style="157" bestFit="1" customWidth="1"/>
    <col min="2068" max="2068" width="13.7109375" style="157" bestFit="1" customWidth="1"/>
    <col min="2069" max="2070" width="11.5703125" style="157" customWidth="1"/>
    <col min="2071" max="2304" width="11.42578125" style="157"/>
    <col min="2305" max="2305" width="4.42578125" style="157" customWidth="1"/>
    <col min="2306" max="2306" width="22.140625" style="157" customWidth="1"/>
    <col min="2307" max="2307" width="10.5703125" style="157" customWidth="1"/>
    <col min="2308" max="2308" width="9.7109375" style="157" customWidth="1"/>
    <col min="2309" max="2310" width="9.5703125" style="157" customWidth="1"/>
    <col min="2311" max="2311" width="8.7109375" style="157" customWidth="1"/>
    <col min="2312" max="2312" width="9.28515625" style="157" customWidth="1"/>
    <col min="2313" max="2313" width="10.85546875" style="157" customWidth="1"/>
    <col min="2314" max="2315" width="9.28515625" style="157" customWidth="1"/>
    <col min="2316" max="2316" width="6.42578125" style="157" customWidth="1"/>
    <col min="2317" max="2317" width="8.140625" style="157" customWidth="1"/>
    <col min="2318" max="2318" width="9.5703125" style="157" customWidth="1"/>
    <col min="2319" max="2319" width="8.85546875" style="157" customWidth="1"/>
    <col min="2320" max="2321" width="11.42578125" style="157"/>
    <col min="2322" max="2322" width="13.7109375" style="157" bestFit="1" customWidth="1"/>
    <col min="2323" max="2323" width="14.28515625" style="157" bestFit="1" customWidth="1"/>
    <col min="2324" max="2324" width="13.7109375" style="157" bestFit="1" customWidth="1"/>
    <col min="2325" max="2326" width="11.5703125" style="157" customWidth="1"/>
    <col min="2327" max="2560" width="11.42578125" style="157"/>
    <col min="2561" max="2561" width="4.42578125" style="157" customWidth="1"/>
    <col min="2562" max="2562" width="22.140625" style="157" customWidth="1"/>
    <col min="2563" max="2563" width="10.5703125" style="157" customWidth="1"/>
    <col min="2564" max="2564" width="9.7109375" style="157" customWidth="1"/>
    <col min="2565" max="2566" width="9.5703125" style="157" customWidth="1"/>
    <col min="2567" max="2567" width="8.7109375" style="157" customWidth="1"/>
    <col min="2568" max="2568" width="9.28515625" style="157" customWidth="1"/>
    <col min="2569" max="2569" width="10.85546875" style="157" customWidth="1"/>
    <col min="2570" max="2571" width="9.28515625" style="157" customWidth="1"/>
    <col min="2572" max="2572" width="6.42578125" style="157" customWidth="1"/>
    <col min="2573" max="2573" width="8.140625" style="157" customWidth="1"/>
    <col min="2574" max="2574" width="9.5703125" style="157" customWidth="1"/>
    <col min="2575" max="2575" width="8.85546875" style="157" customWidth="1"/>
    <col min="2576" max="2577" width="11.42578125" style="157"/>
    <col min="2578" max="2578" width="13.7109375" style="157" bestFit="1" customWidth="1"/>
    <col min="2579" max="2579" width="14.28515625" style="157" bestFit="1" customWidth="1"/>
    <col min="2580" max="2580" width="13.7109375" style="157" bestFit="1" customWidth="1"/>
    <col min="2581" max="2582" width="11.5703125" style="157" customWidth="1"/>
    <col min="2583" max="2816" width="11.42578125" style="157"/>
    <col min="2817" max="2817" width="4.42578125" style="157" customWidth="1"/>
    <col min="2818" max="2818" width="22.140625" style="157" customWidth="1"/>
    <col min="2819" max="2819" width="10.5703125" style="157" customWidth="1"/>
    <col min="2820" max="2820" width="9.7109375" style="157" customWidth="1"/>
    <col min="2821" max="2822" width="9.5703125" style="157" customWidth="1"/>
    <col min="2823" max="2823" width="8.7109375" style="157" customWidth="1"/>
    <col min="2824" max="2824" width="9.28515625" style="157" customWidth="1"/>
    <col min="2825" max="2825" width="10.85546875" style="157" customWidth="1"/>
    <col min="2826" max="2827" width="9.28515625" style="157" customWidth="1"/>
    <col min="2828" max="2828" width="6.42578125" style="157" customWidth="1"/>
    <col min="2829" max="2829" width="8.140625" style="157" customWidth="1"/>
    <col min="2830" max="2830" width="9.5703125" style="157" customWidth="1"/>
    <col min="2831" max="2831" width="8.85546875" style="157" customWidth="1"/>
    <col min="2832" max="2833" width="11.42578125" style="157"/>
    <col min="2834" max="2834" width="13.7109375" style="157" bestFit="1" customWidth="1"/>
    <col min="2835" max="2835" width="14.28515625" style="157" bestFit="1" customWidth="1"/>
    <col min="2836" max="2836" width="13.7109375" style="157" bestFit="1" customWidth="1"/>
    <col min="2837" max="2838" width="11.5703125" style="157" customWidth="1"/>
    <col min="2839" max="3072" width="11.42578125" style="157"/>
    <col min="3073" max="3073" width="4.42578125" style="157" customWidth="1"/>
    <col min="3074" max="3074" width="22.140625" style="157" customWidth="1"/>
    <col min="3075" max="3075" width="10.5703125" style="157" customWidth="1"/>
    <col min="3076" max="3076" width="9.7109375" style="157" customWidth="1"/>
    <col min="3077" max="3078" width="9.5703125" style="157" customWidth="1"/>
    <col min="3079" max="3079" width="8.7109375" style="157" customWidth="1"/>
    <col min="3080" max="3080" width="9.28515625" style="157" customWidth="1"/>
    <col min="3081" max="3081" width="10.85546875" style="157" customWidth="1"/>
    <col min="3082" max="3083" width="9.28515625" style="157" customWidth="1"/>
    <col min="3084" max="3084" width="6.42578125" style="157" customWidth="1"/>
    <col min="3085" max="3085" width="8.140625" style="157" customWidth="1"/>
    <col min="3086" max="3086" width="9.5703125" style="157" customWidth="1"/>
    <col min="3087" max="3087" width="8.85546875" style="157" customWidth="1"/>
    <col min="3088" max="3089" width="11.42578125" style="157"/>
    <col min="3090" max="3090" width="13.7109375" style="157" bestFit="1" customWidth="1"/>
    <col min="3091" max="3091" width="14.28515625" style="157" bestFit="1" customWidth="1"/>
    <col min="3092" max="3092" width="13.7109375" style="157" bestFit="1" customWidth="1"/>
    <col min="3093" max="3094" width="11.5703125" style="157" customWidth="1"/>
    <col min="3095" max="3328" width="11.42578125" style="157"/>
    <col min="3329" max="3329" width="4.42578125" style="157" customWidth="1"/>
    <col min="3330" max="3330" width="22.140625" style="157" customWidth="1"/>
    <col min="3331" max="3331" width="10.5703125" style="157" customWidth="1"/>
    <col min="3332" max="3332" width="9.7109375" style="157" customWidth="1"/>
    <col min="3333" max="3334" width="9.5703125" style="157" customWidth="1"/>
    <col min="3335" max="3335" width="8.7109375" style="157" customWidth="1"/>
    <col min="3336" max="3336" width="9.28515625" style="157" customWidth="1"/>
    <col min="3337" max="3337" width="10.85546875" style="157" customWidth="1"/>
    <col min="3338" max="3339" width="9.28515625" style="157" customWidth="1"/>
    <col min="3340" max="3340" width="6.42578125" style="157" customWidth="1"/>
    <col min="3341" max="3341" width="8.140625" style="157" customWidth="1"/>
    <col min="3342" max="3342" width="9.5703125" style="157" customWidth="1"/>
    <col min="3343" max="3343" width="8.85546875" style="157" customWidth="1"/>
    <col min="3344" max="3345" width="11.42578125" style="157"/>
    <col min="3346" max="3346" width="13.7109375" style="157" bestFit="1" customWidth="1"/>
    <col min="3347" max="3347" width="14.28515625" style="157" bestFit="1" customWidth="1"/>
    <col min="3348" max="3348" width="13.7109375" style="157" bestFit="1" customWidth="1"/>
    <col min="3349" max="3350" width="11.5703125" style="157" customWidth="1"/>
    <col min="3351" max="3584" width="11.42578125" style="157"/>
    <col min="3585" max="3585" width="4.42578125" style="157" customWidth="1"/>
    <col min="3586" max="3586" width="22.140625" style="157" customWidth="1"/>
    <col min="3587" max="3587" width="10.5703125" style="157" customWidth="1"/>
    <col min="3588" max="3588" width="9.7109375" style="157" customWidth="1"/>
    <col min="3589" max="3590" width="9.5703125" style="157" customWidth="1"/>
    <col min="3591" max="3591" width="8.7109375" style="157" customWidth="1"/>
    <col min="3592" max="3592" width="9.28515625" style="157" customWidth="1"/>
    <col min="3593" max="3593" width="10.85546875" style="157" customWidth="1"/>
    <col min="3594" max="3595" width="9.28515625" style="157" customWidth="1"/>
    <col min="3596" max="3596" width="6.42578125" style="157" customWidth="1"/>
    <col min="3597" max="3597" width="8.140625" style="157" customWidth="1"/>
    <col min="3598" max="3598" width="9.5703125" style="157" customWidth="1"/>
    <col min="3599" max="3599" width="8.85546875" style="157" customWidth="1"/>
    <col min="3600" max="3601" width="11.42578125" style="157"/>
    <col min="3602" max="3602" width="13.7109375" style="157" bestFit="1" customWidth="1"/>
    <col min="3603" max="3603" width="14.28515625" style="157" bestFit="1" customWidth="1"/>
    <col min="3604" max="3604" width="13.7109375" style="157" bestFit="1" customWidth="1"/>
    <col min="3605" max="3606" width="11.5703125" style="157" customWidth="1"/>
    <col min="3607" max="3840" width="11.42578125" style="157"/>
    <col min="3841" max="3841" width="4.42578125" style="157" customWidth="1"/>
    <col min="3842" max="3842" width="22.140625" style="157" customWidth="1"/>
    <col min="3843" max="3843" width="10.5703125" style="157" customWidth="1"/>
    <col min="3844" max="3844" width="9.7109375" style="157" customWidth="1"/>
    <col min="3845" max="3846" width="9.5703125" style="157" customWidth="1"/>
    <col min="3847" max="3847" width="8.7109375" style="157" customWidth="1"/>
    <col min="3848" max="3848" width="9.28515625" style="157" customWidth="1"/>
    <col min="3849" max="3849" width="10.85546875" style="157" customWidth="1"/>
    <col min="3850" max="3851" width="9.28515625" style="157" customWidth="1"/>
    <col min="3852" max="3852" width="6.42578125" style="157" customWidth="1"/>
    <col min="3853" max="3853" width="8.140625" style="157" customWidth="1"/>
    <col min="3854" max="3854" width="9.5703125" style="157" customWidth="1"/>
    <col min="3855" max="3855" width="8.85546875" style="157" customWidth="1"/>
    <col min="3856" max="3857" width="11.42578125" style="157"/>
    <col min="3858" max="3858" width="13.7109375" style="157" bestFit="1" customWidth="1"/>
    <col min="3859" max="3859" width="14.28515625" style="157" bestFit="1" customWidth="1"/>
    <col min="3860" max="3860" width="13.7109375" style="157" bestFit="1" customWidth="1"/>
    <col min="3861" max="3862" width="11.5703125" style="157" customWidth="1"/>
    <col min="3863" max="4096" width="11.42578125" style="157"/>
    <col min="4097" max="4097" width="4.42578125" style="157" customWidth="1"/>
    <col min="4098" max="4098" width="22.140625" style="157" customWidth="1"/>
    <col min="4099" max="4099" width="10.5703125" style="157" customWidth="1"/>
    <col min="4100" max="4100" width="9.7109375" style="157" customWidth="1"/>
    <col min="4101" max="4102" width="9.5703125" style="157" customWidth="1"/>
    <col min="4103" max="4103" width="8.7109375" style="157" customWidth="1"/>
    <col min="4104" max="4104" width="9.28515625" style="157" customWidth="1"/>
    <col min="4105" max="4105" width="10.85546875" style="157" customWidth="1"/>
    <col min="4106" max="4107" width="9.28515625" style="157" customWidth="1"/>
    <col min="4108" max="4108" width="6.42578125" style="157" customWidth="1"/>
    <col min="4109" max="4109" width="8.140625" style="157" customWidth="1"/>
    <col min="4110" max="4110" width="9.5703125" style="157" customWidth="1"/>
    <col min="4111" max="4111" width="8.85546875" style="157" customWidth="1"/>
    <col min="4112" max="4113" width="11.42578125" style="157"/>
    <col min="4114" max="4114" width="13.7109375" style="157" bestFit="1" customWidth="1"/>
    <col min="4115" max="4115" width="14.28515625" style="157" bestFit="1" customWidth="1"/>
    <col min="4116" max="4116" width="13.7109375" style="157" bestFit="1" customWidth="1"/>
    <col min="4117" max="4118" width="11.5703125" style="157" customWidth="1"/>
    <col min="4119" max="4352" width="11.42578125" style="157"/>
    <col min="4353" max="4353" width="4.42578125" style="157" customWidth="1"/>
    <col min="4354" max="4354" width="22.140625" style="157" customWidth="1"/>
    <col min="4355" max="4355" width="10.5703125" style="157" customWidth="1"/>
    <col min="4356" max="4356" width="9.7109375" style="157" customWidth="1"/>
    <col min="4357" max="4358" width="9.5703125" style="157" customWidth="1"/>
    <col min="4359" max="4359" width="8.7109375" style="157" customWidth="1"/>
    <col min="4360" max="4360" width="9.28515625" style="157" customWidth="1"/>
    <col min="4361" max="4361" width="10.85546875" style="157" customWidth="1"/>
    <col min="4362" max="4363" width="9.28515625" style="157" customWidth="1"/>
    <col min="4364" max="4364" width="6.42578125" style="157" customWidth="1"/>
    <col min="4365" max="4365" width="8.140625" style="157" customWidth="1"/>
    <col min="4366" max="4366" width="9.5703125" style="157" customWidth="1"/>
    <col min="4367" max="4367" width="8.85546875" style="157" customWidth="1"/>
    <col min="4368" max="4369" width="11.42578125" style="157"/>
    <col min="4370" max="4370" width="13.7109375" style="157" bestFit="1" customWidth="1"/>
    <col min="4371" max="4371" width="14.28515625" style="157" bestFit="1" customWidth="1"/>
    <col min="4372" max="4372" width="13.7109375" style="157" bestFit="1" customWidth="1"/>
    <col min="4373" max="4374" width="11.5703125" style="157" customWidth="1"/>
    <col min="4375" max="4608" width="11.42578125" style="157"/>
    <col min="4609" max="4609" width="4.42578125" style="157" customWidth="1"/>
    <col min="4610" max="4610" width="22.140625" style="157" customWidth="1"/>
    <col min="4611" max="4611" width="10.5703125" style="157" customWidth="1"/>
    <col min="4612" max="4612" width="9.7109375" style="157" customWidth="1"/>
    <col min="4613" max="4614" width="9.5703125" style="157" customWidth="1"/>
    <col min="4615" max="4615" width="8.7109375" style="157" customWidth="1"/>
    <col min="4616" max="4616" width="9.28515625" style="157" customWidth="1"/>
    <col min="4617" max="4617" width="10.85546875" style="157" customWidth="1"/>
    <col min="4618" max="4619" width="9.28515625" style="157" customWidth="1"/>
    <col min="4620" max="4620" width="6.42578125" style="157" customWidth="1"/>
    <col min="4621" max="4621" width="8.140625" style="157" customWidth="1"/>
    <col min="4622" max="4622" width="9.5703125" style="157" customWidth="1"/>
    <col min="4623" max="4623" width="8.85546875" style="157" customWidth="1"/>
    <col min="4624" max="4625" width="11.42578125" style="157"/>
    <col min="4626" max="4626" width="13.7109375" style="157" bestFit="1" customWidth="1"/>
    <col min="4627" max="4627" width="14.28515625" style="157" bestFit="1" customWidth="1"/>
    <col min="4628" max="4628" width="13.7109375" style="157" bestFit="1" customWidth="1"/>
    <col min="4629" max="4630" width="11.5703125" style="157" customWidth="1"/>
    <col min="4631" max="4864" width="11.42578125" style="157"/>
    <col min="4865" max="4865" width="4.42578125" style="157" customWidth="1"/>
    <col min="4866" max="4866" width="22.140625" style="157" customWidth="1"/>
    <col min="4867" max="4867" width="10.5703125" style="157" customWidth="1"/>
    <col min="4868" max="4868" width="9.7109375" style="157" customWidth="1"/>
    <col min="4869" max="4870" width="9.5703125" style="157" customWidth="1"/>
    <col min="4871" max="4871" width="8.7109375" style="157" customWidth="1"/>
    <col min="4872" max="4872" width="9.28515625" style="157" customWidth="1"/>
    <col min="4873" max="4873" width="10.85546875" style="157" customWidth="1"/>
    <col min="4874" max="4875" width="9.28515625" style="157" customWidth="1"/>
    <col min="4876" max="4876" width="6.42578125" style="157" customWidth="1"/>
    <col min="4877" max="4877" width="8.140625" style="157" customWidth="1"/>
    <col min="4878" max="4878" width="9.5703125" style="157" customWidth="1"/>
    <col min="4879" max="4879" width="8.85546875" style="157" customWidth="1"/>
    <col min="4880" max="4881" width="11.42578125" style="157"/>
    <col min="4882" max="4882" width="13.7109375" style="157" bestFit="1" customWidth="1"/>
    <col min="4883" max="4883" width="14.28515625" style="157" bestFit="1" customWidth="1"/>
    <col min="4884" max="4884" width="13.7109375" style="157" bestFit="1" customWidth="1"/>
    <col min="4885" max="4886" width="11.5703125" style="157" customWidth="1"/>
    <col min="4887" max="5120" width="11.42578125" style="157"/>
    <col min="5121" max="5121" width="4.42578125" style="157" customWidth="1"/>
    <col min="5122" max="5122" width="22.140625" style="157" customWidth="1"/>
    <col min="5123" max="5123" width="10.5703125" style="157" customWidth="1"/>
    <col min="5124" max="5124" width="9.7109375" style="157" customWidth="1"/>
    <col min="5125" max="5126" width="9.5703125" style="157" customWidth="1"/>
    <col min="5127" max="5127" width="8.7109375" style="157" customWidth="1"/>
    <col min="5128" max="5128" width="9.28515625" style="157" customWidth="1"/>
    <col min="5129" max="5129" width="10.85546875" style="157" customWidth="1"/>
    <col min="5130" max="5131" width="9.28515625" style="157" customWidth="1"/>
    <col min="5132" max="5132" width="6.42578125" style="157" customWidth="1"/>
    <col min="5133" max="5133" width="8.140625" style="157" customWidth="1"/>
    <col min="5134" max="5134" width="9.5703125" style="157" customWidth="1"/>
    <col min="5135" max="5135" width="8.85546875" style="157" customWidth="1"/>
    <col min="5136" max="5137" width="11.42578125" style="157"/>
    <col min="5138" max="5138" width="13.7109375" style="157" bestFit="1" customWidth="1"/>
    <col min="5139" max="5139" width="14.28515625" style="157" bestFit="1" customWidth="1"/>
    <col min="5140" max="5140" width="13.7109375" style="157" bestFit="1" customWidth="1"/>
    <col min="5141" max="5142" width="11.5703125" style="157" customWidth="1"/>
    <col min="5143" max="5376" width="11.42578125" style="157"/>
    <col min="5377" max="5377" width="4.42578125" style="157" customWidth="1"/>
    <col min="5378" max="5378" width="22.140625" style="157" customWidth="1"/>
    <col min="5379" max="5379" width="10.5703125" style="157" customWidth="1"/>
    <col min="5380" max="5380" width="9.7109375" style="157" customWidth="1"/>
    <col min="5381" max="5382" width="9.5703125" style="157" customWidth="1"/>
    <col min="5383" max="5383" width="8.7109375" style="157" customWidth="1"/>
    <col min="5384" max="5384" width="9.28515625" style="157" customWidth="1"/>
    <col min="5385" max="5385" width="10.85546875" style="157" customWidth="1"/>
    <col min="5386" max="5387" width="9.28515625" style="157" customWidth="1"/>
    <col min="5388" max="5388" width="6.42578125" style="157" customWidth="1"/>
    <col min="5389" max="5389" width="8.140625" style="157" customWidth="1"/>
    <col min="5390" max="5390" width="9.5703125" style="157" customWidth="1"/>
    <col min="5391" max="5391" width="8.85546875" style="157" customWidth="1"/>
    <col min="5392" max="5393" width="11.42578125" style="157"/>
    <col min="5394" max="5394" width="13.7109375" style="157" bestFit="1" customWidth="1"/>
    <col min="5395" max="5395" width="14.28515625" style="157" bestFit="1" customWidth="1"/>
    <col min="5396" max="5396" width="13.7109375" style="157" bestFit="1" customWidth="1"/>
    <col min="5397" max="5398" width="11.5703125" style="157" customWidth="1"/>
    <col min="5399" max="5632" width="11.42578125" style="157"/>
    <col min="5633" max="5633" width="4.42578125" style="157" customWidth="1"/>
    <col min="5634" max="5634" width="22.140625" style="157" customWidth="1"/>
    <col min="5635" max="5635" width="10.5703125" style="157" customWidth="1"/>
    <col min="5636" max="5636" width="9.7109375" style="157" customWidth="1"/>
    <col min="5637" max="5638" width="9.5703125" style="157" customWidth="1"/>
    <col min="5639" max="5639" width="8.7109375" style="157" customWidth="1"/>
    <col min="5640" max="5640" width="9.28515625" style="157" customWidth="1"/>
    <col min="5641" max="5641" width="10.85546875" style="157" customWidth="1"/>
    <col min="5642" max="5643" width="9.28515625" style="157" customWidth="1"/>
    <col min="5644" max="5644" width="6.42578125" style="157" customWidth="1"/>
    <col min="5645" max="5645" width="8.140625" style="157" customWidth="1"/>
    <col min="5646" max="5646" width="9.5703125" style="157" customWidth="1"/>
    <col min="5647" max="5647" width="8.85546875" style="157" customWidth="1"/>
    <col min="5648" max="5649" width="11.42578125" style="157"/>
    <col min="5650" max="5650" width="13.7109375" style="157" bestFit="1" customWidth="1"/>
    <col min="5651" max="5651" width="14.28515625" style="157" bestFit="1" customWidth="1"/>
    <col min="5652" max="5652" width="13.7109375" style="157" bestFit="1" customWidth="1"/>
    <col min="5653" max="5654" width="11.5703125" style="157" customWidth="1"/>
    <col min="5655" max="5888" width="11.42578125" style="157"/>
    <col min="5889" max="5889" width="4.42578125" style="157" customWidth="1"/>
    <col min="5890" max="5890" width="22.140625" style="157" customWidth="1"/>
    <col min="5891" max="5891" width="10.5703125" style="157" customWidth="1"/>
    <col min="5892" max="5892" width="9.7109375" style="157" customWidth="1"/>
    <col min="5893" max="5894" width="9.5703125" style="157" customWidth="1"/>
    <col min="5895" max="5895" width="8.7109375" style="157" customWidth="1"/>
    <col min="5896" max="5896" width="9.28515625" style="157" customWidth="1"/>
    <col min="5897" max="5897" width="10.85546875" style="157" customWidth="1"/>
    <col min="5898" max="5899" width="9.28515625" style="157" customWidth="1"/>
    <col min="5900" max="5900" width="6.42578125" style="157" customWidth="1"/>
    <col min="5901" max="5901" width="8.140625" style="157" customWidth="1"/>
    <col min="5902" max="5902" width="9.5703125" style="157" customWidth="1"/>
    <col min="5903" max="5903" width="8.85546875" style="157" customWidth="1"/>
    <col min="5904" max="5905" width="11.42578125" style="157"/>
    <col min="5906" max="5906" width="13.7109375" style="157" bestFit="1" customWidth="1"/>
    <col min="5907" max="5907" width="14.28515625" style="157" bestFit="1" customWidth="1"/>
    <col min="5908" max="5908" width="13.7109375" style="157" bestFit="1" customWidth="1"/>
    <col min="5909" max="5910" width="11.5703125" style="157" customWidth="1"/>
    <col min="5911" max="6144" width="11.42578125" style="157"/>
    <col min="6145" max="6145" width="4.42578125" style="157" customWidth="1"/>
    <col min="6146" max="6146" width="22.140625" style="157" customWidth="1"/>
    <col min="6147" max="6147" width="10.5703125" style="157" customWidth="1"/>
    <col min="6148" max="6148" width="9.7109375" style="157" customWidth="1"/>
    <col min="6149" max="6150" width="9.5703125" style="157" customWidth="1"/>
    <col min="6151" max="6151" width="8.7109375" style="157" customWidth="1"/>
    <col min="6152" max="6152" width="9.28515625" style="157" customWidth="1"/>
    <col min="6153" max="6153" width="10.85546875" style="157" customWidth="1"/>
    <col min="6154" max="6155" width="9.28515625" style="157" customWidth="1"/>
    <col min="6156" max="6156" width="6.42578125" style="157" customWidth="1"/>
    <col min="6157" max="6157" width="8.140625" style="157" customWidth="1"/>
    <col min="6158" max="6158" width="9.5703125" style="157" customWidth="1"/>
    <col min="6159" max="6159" width="8.85546875" style="157" customWidth="1"/>
    <col min="6160" max="6161" width="11.42578125" style="157"/>
    <col min="6162" max="6162" width="13.7109375" style="157" bestFit="1" customWidth="1"/>
    <col min="6163" max="6163" width="14.28515625" style="157" bestFit="1" customWidth="1"/>
    <col min="6164" max="6164" width="13.7109375" style="157" bestFit="1" customWidth="1"/>
    <col min="6165" max="6166" width="11.5703125" style="157" customWidth="1"/>
    <col min="6167" max="6400" width="11.42578125" style="157"/>
    <col min="6401" max="6401" width="4.42578125" style="157" customWidth="1"/>
    <col min="6402" max="6402" width="22.140625" style="157" customWidth="1"/>
    <col min="6403" max="6403" width="10.5703125" style="157" customWidth="1"/>
    <col min="6404" max="6404" width="9.7109375" style="157" customWidth="1"/>
    <col min="6405" max="6406" width="9.5703125" style="157" customWidth="1"/>
    <col min="6407" max="6407" width="8.7109375" style="157" customWidth="1"/>
    <col min="6408" max="6408" width="9.28515625" style="157" customWidth="1"/>
    <col min="6409" max="6409" width="10.85546875" style="157" customWidth="1"/>
    <col min="6410" max="6411" width="9.28515625" style="157" customWidth="1"/>
    <col min="6412" max="6412" width="6.42578125" style="157" customWidth="1"/>
    <col min="6413" max="6413" width="8.140625" style="157" customWidth="1"/>
    <col min="6414" max="6414" width="9.5703125" style="157" customWidth="1"/>
    <col min="6415" max="6415" width="8.85546875" style="157" customWidth="1"/>
    <col min="6416" max="6417" width="11.42578125" style="157"/>
    <col min="6418" max="6418" width="13.7109375" style="157" bestFit="1" customWidth="1"/>
    <col min="6419" max="6419" width="14.28515625" style="157" bestFit="1" customWidth="1"/>
    <col min="6420" max="6420" width="13.7109375" style="157" bestFit="1" customWidth="1"/>
    <col min="6421" max="6422" width="11.5703125" style="157" customWidth="1"/>
    <col min="6423" max="6656" width="11.42578125" style="157"/>
    <col min="6657" max="6657" width="4.42578125" style="157" customWidth="1"/>
    <col min="6658" max="6658" width="22.140625" style="157" customWidth="1"/>
    <col min="6659" max="6659" width="10.5703125" style="157" customWidth="1"/>
    <col min="6660" max="6660" width="9.7109375" style="157" customWidth="1"/>
    <col min="6661" max="6662" width="9.5703125" style="157" customWidth="1"/>
    <col min="6663" max="6663" width="8.7109375" style="157" customWidth="1"/>
    <col min="6664" max="6664" width="9.28515625" style="157" customWidth="1"/>
    <col min="6665" max="6665" width="10.85546875" style="157" customWidth="1"/>
    <col min="6666" max="6667" width="9.28515625" style="157" customWidth="1"/>
    <col min="6668" max="6668" width="6.42578125" style="157" customWidth="1"/>
    <col min="6669" max="6669" width="8.140625" style="157" customWidth="1"/>
    <col min="6670" max="6670" width="9.5703125" style="157" customWidth="1"/>
    <col min="6671" max="6671" width="8.85546875" style="157" customWidth="1"/>
    <col min="6672" max="6673" width="11.42578125" style="157"/>
    <col min="6674" max="6674" width="13.7109375" style="157" bestFit="1" customWidth="1"/>
    <col min="6675" max="6675" width="14.28515625" style="157" bestFit="1" customWidth="1"/>
    <col min="6676" max="6676" width="13.7109375" style="157" bestFit="1" customWidth="1"/>
    <col min="6677" max="6678" width="11.5703125" style="157" customWidth="1"/>
    <col min="6679" max="6912" width="11.42578125" style="157"/>
    <col min="6913" max="6913" width="4.42578125" style="157" customWidth="1"/>
    <col min="6914" max="6914" width="22.140625" style="157" customWidth="1"/>
    <col min="6915" max="6915" width="10.5703125" style="157" customWidth="1"/>
    <col min="6916" max="6916" width="9.7109375" style="157" customWidth="1"/>
    <col min="6917" max="6918" width="9.5703125" style="157" customWidth="1"/>
    <col min="6919" max="6919" width="8.7109375" style="157" customWidth="1"/>
    <col min="6920" max="6920" width="9.28515625" style="157" customWidth="1"/>
    <col min="6921" max="6921" width="10.85546875" style="157" customWidth="1"/>
    <col min="6922" max="6923" width="9.28515625" style="157" customWidth="1"/>
    <col min="6924" max="6924" width="6.42578125" style="157" customWidth="1"/>
    <col min="6925" max="6925" width="8.140625" style="157" customWidth="1"/>
    <col min="6926" max="6926" width="9.5703125" style="157" customWidth="1"/>
    <col min="6927" max="6927" width="8.85546875" style="157" customWidth="1"/>
    <col min="6928" max="6929" width="11.42578125" style="157"/>
    <col min="6930" max="6930" width="13.7109375" style="157" bestFit="1" customWidth="1"/>
    <col min="6931" max="6931" width="14.28515625" style="157" bestFit="1" customWidth="1"/>
    <col min="6932" max="6932" width="13.7109375" style="157" bestFit="1" customWidth="1"/>
    <col min="6933" max="6934" width="11.5703125" style="157" customWidth="1"/>
    <col min="6935" max="7168" width="11.42578125" style="157"/>
    <col min="7169" max="7169" width="4.42578125" style="157" customWidth="1"/>
    <col min="7170" max="7170" width="22.140625" style="157" customWidth="1"/>
    <col min="7171" max="7171" width="10.5703125" style="157" customWidth="1"/>
    <col min="7172" max="7172" width="9.7109375" style="157" customWidth="1"/>
    <col min="7173" max="7174" width="9.5703125" style="157" customWidth="1"/>
    <col min="7175" max="7175" width="8.7109375" style="157" customWidth="1"/>
    <col min="7176" max="7176" width="9.28515625" style="157" customWidth="1"/>
    <col min="7177" max="7177" width="10.85546875" style="157" customWidth="1"/>
    <col min="7178" max="7179" width="9.28515625" style="157" customWidth="1"/>
    <col min="7180" max="7180" width="6.42578125" style="157" customWidth="1"/>
    <col min="7181" max="7181" width="8.140625" style="157" customWidth="1"/>
    <col min="7182" max="7182" width="9.5703125" style="157" customWidth="1"/>
    <col min="7183" max="7183" width="8.85546875" style="157" customWidth="1"/>
    <col min="7184" max="7185" width="11.42578125" style="157"/>
    <col min="7186" max="7186" width="13.7109375" style="157" bestFit="1" customWidth="1"/>
    <col min="7187" max="7187" width="14.28515625" style="157" bestFit="1" customWidth="1"/>
    <col min="7188" max="7188" width="13.7109375" style="157" bestFit="1" customWidth="1"/>
    <col min="7189" max="7190" width="11.5703125" style="157" customWidth="1"/>
    <col min="7191" max="7424" width="11.42578125" style="157"/>
    <col min="7425" max="7425" width="4.42578125" style="157" customWidth="1"/>
    <col min="7426" max="7426" width="22.140625" style="157" customWidth="1"/>
    <col min="7427" max="7427" width="10.5703125" style="157" customWidth="1"/>
    <col min="7428" max="7428" width="9.7109375" style="157" customWidth="1"/>
    <col min="7429" max="7430" width="9.5703125" style="157" customWidth="1"/>
    <col min="7431" max="7431" width="8.7109375" style="157" customWidth="1"/>
    <col min="7432" max="7432" width="9.28515625" style="157" customWidth="1"/>
    <col min="7433" max="7433" width="10.85546875" style="157" customWidth="1"/>
    <col min="7434" max="7435" width="9.28515625" style="157" customWidth="1"/>
    <col min="7436" max="7436" width="6.42578125" style="157" customWidth="1"/>
    <col min="7437" max="7437" width="8.140625" style="157" customWidth="1"/>
    <col min="7438" max="7438" width="9.5703125" style="157" customWidth="1"/>
    <col min="7439" max="7439" width="8.85546875" style="157" customWidth="1"/>
    <col min="7440" max="7441" width="11.42578125" style="157"/>
    <col min="7442" max="7442" width="13.7109375" style="157" bestFit="1" customWidth="1"/>
    <col min="7443" max="7443" width="14.28515625" style="157" bestFit="1" customWidth="1"/>
    <col min="7444" max="7444" width="13.7109375" style="157" bestFit="1" customWidth="1"/>
    <col min="7445" max="7446" width="11.5703125" style="157" customWidth="1"/>
    <col min="7447" max="7680" width="11.42578125" style="157"/>
    <col min="7681" max="7681" width="4.42578125" style="157" customWidth="1"/>
    <col min="7682" max="7682" width="22.140625" style="157" customWidth="1"/>
    <col min="7683" max="7683" width="10.5703125" style="157" customWidth="1"/>
    <col min="7684" max="7684" width="9.7109375" style="157" customWidth="1"/>
    <col min="7685" max="7686" width="9.5703125" style="157" customWidth="1"/>
    <col min="7687" max="7687" width="8.7109375" style="157" customWidth="1"/>
    <col min="7688" max="7688" width="9.28515625" style="157" customWidth="1"/>
    <col min="7689" max="7689" width="10.85546875" style="157" customWidth="1"/>
    <col min="7690" max="7691" width="9.28515625" style="157" customWidth="1"/>
    <col min="7692" max="7692" width="6.42578125" style="157" customWidth="1"/>
    <col min="7693" max="7693" width="8.140625" style="157" customWidth="1"/>
    <col min="7694" max="7694" width="9.5703125" style="157" customWidth="1"/>
    <col min="7695" max="7695" width="8.85546875" style="157" customWidth="1"/>
    <col min="7696" max="7697" width="11.42578125" style="157"/>
    <col min="7698" max="7698" width="13.7109375" style="157" bestFit="1" customWidth="1"/>
    <col min="7699" max="7699" width="14.28515625" style="157" bestFit="1" customWidth="1"/>
    <col min="7700" max="7700" width="13.7109375" style="157" bestFit="1" customWidth="1"/>
    <col min="7701" max="7702" width="11.5703125" style="157" customWidth="1"/>
    <col min="7703" max="7936" width="11.42578125" style="157"/>
    <col min="7937" max="7937" width="4.42578125" style="157" customWidth="1"/>
    <col min="7938" max="7938" width="22.140625" style="157" customWidth="1"/>
    <col min="7939" max="7939" width="10.5703125" style="157" customWidth="1"/>
    <col min="7940" max="7940" width="9.7109375" style="157" customWidth="1"/>
    <col min="7941" max="7942" width="9.5703125" style="157" customWidth="1"/>
    <col min="7943" max="7943" width="8.7109375" style="157" customWidth="1"/>
    <col min="7944" max="7944" width="9.28515625" style="157" customWidth="1"/>
    <col min="7945" max="7945" width="10.85546875" style="157" customWidth="1"/>
    <col min="7946" max="7947" width="9.28515625" style="157" customWidth="1"/>
    <col min="7948" max="7948" width="6.42578125" style="157" customWidth="1"/>
    <col min="7949" max="7949" width="8.140625" style="157" customWidth="1"/>
    <col min="7950" max="7950" width="9.5703125" style="157" customWidth="1"/>
    <col min="7951" max="7951" width="8.85546875" style="157" customWidth="1"/>
    <col min="7952" max="7953" width="11.42578125" style="157"/>
    <col min="7954" max="7954" width="13.7109375" style="157" bestFit="1" customWidth="1"/>
    <col min="7955" max="7955" width="14.28515625" style="157" bestFit="1" customWidth="1"/>
    <col min="7956" max="7956" width="13.7109375" style="157" bestFit="1" customWidth="1"/>
    <col min="7957" max="7958" width="11.5703125" style="157" customWidth="1"/>
    <col min="7959" max="8192" width="11.42578125" style="157"/>
    <col min="8193" max="8193" width="4.42578125" style="157" customWidth="1"/>
    <col min="8194" max="8194" width="22.140625" style="157" customWidth="1"/>
    <col min="8195" max="8195" width="10.5703125" style="157" customWidth="1"/>
    <col min="8196" max="8196" width="9.7109375" style="157" customWidth="1"/>
    <col min="8197" max="8198" width="9.5703125" style="157" customWidth="1"/>
    <col min="8199" max="8199" width="8.7109375" style="157" customWidth="1"/>
    <col min="8200" max="8200" width="9.28515625" style="157" customWidth="1"/>
    <col min="8201" max="8201" width="10.85546875" style="157" customWidth="1"/>
    <col min="8202" max="8203" width="9.28515625" style="157" customWidth="1"/>
    <col min="8204" max="8204" width="6.42578125" style="157" customWidth="1"/>
    <col min="8205" max="8205" width="8.140625" style="157" customWidth="1"/>
    <col min="8206" max="8206" width="9.5703125" style="157" customWidth="1"/>
    <col min="8207" max="8207" width="8.85546875" style="157" customWidth="1"/>
    <col min="8208" max="8209" width="11.42578125" style="157"/>
    <col min="8210" max="8210" width="13.7109375" style="157" bestFit="1" customWidth="1"/>
    <col min="8211" max="8211" width="14.28515625" style="157" bestFit="1" customWidth="1"/>
    <col min="8212" max="8212" width="13.7109375" style="157" bestFit="1" customWidth="1"/>
    <col min="8213" max="8214" width="11.5703125" style="157" customWidth="1"/>
    <col min="8215" max="8448" width="11.42578125" style="157"/>
    <col min="8449" max="8449" width="4.42578125" style="157" customWidth="1"/>
    <col min="8450" max="8450" width="22.140625" style="157" customWidth="1"/>
    <col min="8451" max="8451" width="10.5703125" style="157" customWidth="1"/>
    <col min="8452" max="8452" width="9.7109375" style="157" customWidth="1"/>
    <col min="8453" max="8454" width="9.5703125" style="157" customWidth="1"/>
    <col min="8455" max="8455" width="8.7109375" style="157" customWidth="1"/>
    <col min="8456" max="8456" width="9.28515625" style="157" customWidth="1"/>
    <col min="8457" max="8457" width="10.85546875" style="157" customWidth="1"/>
    <col min="8458" max="8459" width="9.28515625" style="157" customWidth="1"/>
    <col min="8460" max="8460" width="6.42578125" style="157" customWidth="1"/>
    <col min="8461" max="8461" width="8.140625" style="157" customWidth="1"/>
    <col min="8462" max="8462" width="9.5703125" style="157" customWidth="1"/>
    <col min="8463" max="8463" width="8.85546875" style="157" customWidth="1"/>
    <col min="8464" max="8465" width="11.42578125" style="157"/>
    <col min="8466" max="8466" width="13.7109375" style="157" bestFit="1" customWidth="1"/>
    <col min="8467" max="8467" width="14.28515625" style="157" bestFit="1" customWidth="1"/>
    <col min="8468" max="8468" width="13.7109375" style="157" bestFit="1" customWidth="1"/>
    <col min="8469" max="8470" width="11.5703125" style="157" customWidth="1"/>
    <col min="8471" max="8704" width="11.42578125" style="157"/>
    <col min="8705" max="8705" width="4.42578125" style="157" customWidth="1"/>
    <col min="8706" max="8706" width="22.140625" style="157" customWidth="1"/>
    <col min="8707" max="8707" width="10.5703125" style="157" customWidth="1"/>
    <col min="8708" max="8708" width="9.7109375" style="157" customWidth="1"/>
    <col min="8709" max="8710" width="9.5703125" style="157" customWidth="1"/>
    <col min="8711" max="8711" width="8.7109375" style="157" customWidth="1"/>
    <col min="8712" max="8712" width="9.28515625" style="157" customWidth="1"/>
    <col min="8713" max="8713" width="10.85546875" style="157" customWidth="1"/>
    <col min="8714" max="8715" width="9.28515625" style="157" customWidth="1"/>
    <col min="8716" max="8716" width="6.42578125" style="157" customWidth="1"/>
    <col min="8717" max="8717" width="8.140625" style="157" customWidth="1"/>
    <col min="8718" max="8718" width="9.5703125" style="157" customWidth="1"/>
    <col min="8719" max="8719" width="8.85546875" style="157" customWidth="1"/>
    <col min="8720" max="8721" width="11.42578125" style="157"/>
    <col min="8722" max="8722" width="13.7109375" style="157" bestFit="1" customWidth="1"/>
    <col min="8723" max="8723" width="14.28515625" style="157" bestFit="1" customWidth="1"/>
    <col min="8724" max="8724" width="13.7109375" style="157" bestFit="1" customWidth="1"/>
    <col min="8725" max="8726" width="11.5703125" style="157" customWidth="1"/>
    <col min="8727" max="8960" width="11.42578125" style="157"/>
    <col min="8961" max="8961" width="4.42578125" style="157" customWidth="1"/>
    <col min="8962" max="8962" width="22.140625" style="157" customWidth="1"/>
    <col min="8963" max="8963" width="10.5703125" style="157" customWidth="1"/>
    <col min="8964" max="8964" width="9.7109375" style="157" customWidth="1"/>
    <col min="8965" max="8966" width="9.5703125" style="157" customWidth="1"/>
    <col min="8967" max="8967" width="8.7109375" style="157" customWidth="1"/>
    <col min="8968" max="8968" width="9.28515625" style="157" customWidth="1"/>
    <col min="8969" max="8969" width="10.85546875" style="157" customWidth="1"/>
    <col min="8970" max="8971" width="9.28515625" style="157" customWidth="1"/>
    <col min="8972" max="8972" width="6.42578125" style="157" customWidth="1"/>
    <col min="8973" max="8973" width="8.140625" style="157" customWidth="1"/>
    <col min="8974" max="8974" width="9.5703125" style="157" customWidth="1"/>
    <col min="8975" max="8975" width="8.85546875" style="157" customWidth="1"/>
    <col min="8976" max="8977" width="11.42578125" style="157"/>
    <col min="8978" max="8978" width="13.7109375" style="157" bestFit="1" customWidth="1"/>
    <col min="8979" max="8979" width="14.28515625" style="157" bestFit="1" customWidth="1"/>
    <col min="8980" max="8980" width="13.7109375" style="157" bestFit="1" customWidth="1"/>
    <col min="8981" max="8982" width="11.5703125" style="157" customWidth="1"/>
    <col min="8983" max="9216" width="11.42578125" style="157"/>
    <col min="9217" max="9217" width="4.42578125" style="157" customWidth="1"/>
    <col min="9218" max="9218" width="22.140625" style="157" customWidth="1"/>
    <col min="9219" max="9219" width="10.5703125" style="157" customWidth="1"/>
    <col min="9220" max="9220" width="9.7109375" style="157" customWidth="1"/>
    <col min="9221" max="9222" width="9.5703125" style="157" customWidth="1"/>
    <col min="9223" max="9223" width="8.7109375" style="157" customWidth="1"/>
    <col min="9224" max="9224" width="9.28515625" style="157" customWidth="1"/>
    <col min="9225" max="9225" width="10.85546875" style="157" customWidth="1"/>
    <col min="9226" max="9227" width="9.28515625" style="157" customWidth="1"/>
    <col min="9228" max="9228" width="6.42578125" style="157" customWidth="1"/>
    <col min="9229" max="9229" width="8.140625" style="157" customWidth="1"/>
    <col min="9230" max="9230" width="9.5703125" style="157" customWidth="1"/>
    <col min="9231" max="9231" width="8.85546875" style="157" customWidth="1"/>
    <col min="9232" max="9233" width="11.42578125" style="157"/>
    <col min="9234" max="9234" width="13.7109375" style="157" bestFit="1" customWidth="1"/>
    <col min="9235" max="9235" width="14.28515625" style="157" bestFit="1" customWidth="1"/>
    <col min="9236" max="9236" width="13.7109375" style="157" bestFit="1" customWidth="1"/>
    <col min="9237" max="9238" width="11.5703125" style="157" customWidth="1"/>
    <col min="9239" max="9472" width="11.42578125" style="157"/>
    <col min="9473" max="9473" width="4.42578125" style="157" customWidth="1"/>
    <col min="9474" max="9474" width="22.140625" style="157" customWidth="1"/>
    <col min="9475" max="9475" width="10.5703125" style="157" customWidth="1"/>
    <col min="9476" max="9476" width="9.7109375" style="157" customWidth="1"/>
    <col min="9477" max="9478" width="9.5703125" style="157" customWidth="1"/>
    <col min="9479" max="9479" width="8.7109375" style="157" customWidth="1"/>
    <col min="9480" max="9480" width="9.28515625" style="157" customWidth="1"/>
    <col min="9481" max="9481" width="10.85546875" style="157" customWidth="1"/>
    <col min="9482" max="9483" width="9.28515625" style="157" customWidth="1"/>
    <col min="9484" max="9484" width="6.42578125" style="157" customWidth="1"/>
    <col min="9485" max="9485" width="8.140625" style="157" customWidth="1"/>
    <col min="9486" max="9486" width="9.5703125" style="157" customWidth="1"/>
    <col min="9487" max="9487" width="8.85546875" style="157" customWidth="1"/>
    <col min="9488" max="9489" width="11.42578125" style="157"/>
    <col min="9490" max="9490" width="13.7109375" style="157" bestFit="1" customWidth="1"/>
    <col min="9491" max="9491" width="14.28515625" style="157" bestFit="1" customWidth="1"/>
    <col min="9492" max="9492" width="13.7109375" style="157" bestFit="1" customWidth="1"/>
    <col min="9493" max="9494" width="11.5703125" style="157" customWidth="1"/>
    <col min="9495" max="9728" width="11.42578125" style="157"/>
    <col min="9729" max="9729" width="4.42578125" style="157" customWidth="1"/>
    <col min="9730" max="9730" width="22.140625" style="157" customWidth="1"/>
    <col min="9731" max="9731" width="10.5703125" style="157" customWidth="1"/>
    <col min="9732" max="9732" width="9.7109375" style="157" customWidth="1"/>
    <col min="9733" max="9734" width="9.5703125" style="157" customWidth="1"/>
    <col min="9735" max="9735" width="8.7109375" style="157" customWidth="1"/>
    <col min="9736" max="9736" width="9.28515625" style="157" customWidth="1"/>
    <col min="9737" max="9737" width="10.85546875" style="157" customWidth="1"/>
    <col min="9738" max="9739" width="9.28515625" style="157" customWidth="1"/>
    <col min="9740" max="9740" width="6.42578125" style="157" customWidth="1"/>
    <col min="9741" max="9741" width="8.140625" style="157" customWidth="1"/>
    <col min="9742" max="9742" width="9.5703125" style="157" customWidth="1"/>
    <col min="9743" max="9743" width="8.85546875" style="157" customWidth="1"/>
    <col min="9744" max="9745" width="11.42578125" style="157"/>
    <col min="9746" max="9746" width="13.7109375" style="157" bestFit="1" customWidth="1"/>
    <col min="9747" max="9747" width="14.28515625" style="157" bestFit="1" customWidth="1"/>
    <col min="9748" max="9748" width="13.7109375" style="157" bestFit="1" customWidth="1"/>
    <col min="9749" max="9750" width="11.5703125" style="157" customWidth="1"/>
    <col min="9751" max="9984" width="11.42578125" style="157"/>
    <col min="9985" max="9985" width="4.42578125" style="157" customWidth="1"/>
    <col min="9986" max="9986" width="22.140625" style="157" customWidth="1"/>
    <col min="9987" max="9987" width="10.5703125" style="157" customWidth="1"/>
    <col min="9988" max="9988" width="9.7109375" style="157" customWidth="1"/>
    <col min="9989" max="9990" width="9.5703125" style="157" customWidth="1"/>
    <col min="9991" max="9991" width="8.7109375" style="157" customWidth="1"/>
    <col min="9992" max="9992" width="9.28515625" style="157" customWidth="1"/>
    <col min="9993" max="9993" width="10.85546875" style="157" customWidth="1"/>
    <col min="9994" max="9995" width="9.28515625" style="157" customWidth="1"/>
    <col min="9996" max="9996" width="6.42578125" style="157" customWidth="1"/>
    <col min="9997" max="9997" width="8.140625" style="157" customWidth="1"/>
    <col min="9998" max="9998" width="9.5703125" style="157" customWidth="1"/>
    <col min="9999" max="9999" width="8.85546875" style="157" customWidth="1"/>
    <col min="10000" max="10001" width="11.42578125" style="157"/>
    <col min="10002" max="10002" width="13.7109375" style="157" bestFit="1" customWidth="1"/>
    <col min="10003" max="10003" width="14.28515625" style="157" bestFit="1" customWidth="1"/>
    <col min="10004" max="10004" width="13.7109375" style="157" bestFit="1" customWidth="1"/>
    <col min="10005" max="10006" width="11.5703125" style="157" customWidth="1"/>
    <col min="10007" max="10240" width="11.42578125" style="157"/>
    <col min="10241" max="10241" width="4.42578125" style="157" customWidth="1"/>
    <col min="10242" max="10242" width="22.140625" style="157" customWidth="1"/>
    <col min="10243" max="10243" width="10.5703125" style="157" customWidth="1"/>
    <col min="10244" max="10244" width="9.7109375" style="157" customWidth="1"/>
    <col min="10245" max="10246" width="9.5703125" style="157" customWidth="1"/>
    <col min="10247" max="10247" width="8.7109375" style="157" customWidth="1"/>
    <col min="10248" max="10248" width="9.28515625" style="157" customWidth="1"/>
    <col min="10249" max="10249" width="10.85546875" style="157" customWidth="1"/>
    <col min="10250" max="10251" width="9.28515625" style="157" customWidth="1"/>
    <col min="10252" max="10252" width="6.42578125" style="157" customWidth="1"/>
    <col min="10253" max="10253" width="8.140625" style="157" customWidth="1"/>
    <col min="10254" max="10254" width="9.5703125" style="157" customWidth="1"/>
    <col min="10255" max="10255" width="8.85546875" style="157" customWidth="1"/>
    <col min="10256" max="10257" width="11.42578125" style="157"/>
    <col min="10258" max="10258" width="13.7109375" style="157" bestFit="1" customWidth="1"/>
    <col min="10259" max="10259" width="14.28515625" style="157" bestFit="1" customWidth="1"/>
    <col min="10260" max="10260" width="13.7109375" style="157" bestFit="1" customWidth="1"/>
    <col min="10261" max="10262" width="11.5703125" style="157" customWidth="1"/>
    <col min="10263" max="10496" width="11.42578125" style="157"/>
    <col min="10497" max="10497" width="4.42578125" style="157" customWidth="1"/>
    <col min="10498" max="10498" width="22.140625" style="157" customWidth="1"/>
    <col min="10499" max="10499" width="10.5703125" style="157" customWidth="1"/>
    <col min="10500" max="10500" width="9.7109375" style="157" customWidth="1"/>
    <col min="10501" max="10502" width="9.5703125" style="157" customWidth="1"/>
    <col min="10503" max="10503" width="8.7109375" style="157" customWidth="1"/>
    <col min="10504" max="10504" width="9.28515625" style="157" customWidth="1"/>
    <col min="10505" max="10505" width="10.85546875" style="157" customWidth="1"/>
    <col min="10506" max="10507" width="9.28515625" style="157" customWidth="1"/>
    <col min="10508" max="10508" width="6.42578125" style="157" customWidth="1"/>
    <col min="10509" max="10509" width="8.140625" style="157" customWidth="1"/>
    <col min="10510" max="10510" width="9.5703125" style="157" customWidth="1"/>
    <col min="10511" max="10511" width="8.85546875" style="157" customWidth="1"/>
    <col min="10512" max="10513" width="11.42578125" style="157"/>
    <col min="10514" max="10514" width="13.7109375" style="157" bestFit="1" customWidth="1"/>
    <col min="10515" max="10515" width="14.28515625" style="157" bestFit="1" customWidth="1"/>
    <col min="10516" max="10516" width="13.7109375" style="157" bestFit="1" customWidth="1"/>
    <col min="10517" max="10518" width="11.5703125" style="157" customWidth="1"/>
    <col min="10519" max="10752" width="11.42578125" style="157"/>
    <col min="10753" max="10753" width="4.42578125" style="157" customWidth="1"/>
    <col min="10754" max="10754" width="22.140625" style="157" customWidth="1"/>
    <col min="10755" max="10755" width="10.5703125" style="157" customWidth="1"/>
    <col min="10756" max="10756" width="9.7109375" style="157" customWidth="1"/>
    <col min="10757" max="10758" width="9.5703125" style="157" customWidth="1"/>
    <col min="10759" max="10759" width="8.7109375" style="157" customWidth="1"/>
    <col min="10760" max="10760" width="9.28515625" style="157" customWidth="1"/>
    <col min="10761" max="10761" width="10.85546875" style="157" customWidth="1"/>
    <col min="10762" max="10763" width="9.28515625" style="157" customWidth="1"/>
    <col min="10764" max="10764" width="6.42578125" style="157" customWidth="1"/>
    <col min="10765" max="10765" width="8.140625" style="157" customWidth="1"/>
    <col min="10766" max="10766" width="9.5703125" style="157" customWidth="1"/>
    <col min="10767" max="10767" width="8.85546875" style="157" customWidth="1"/>
    <col min="10768" max="10769" width="11.42578125" style="157"/>
    <col min="10770" max="10770" width="13.7109375" style="157" bestFit="1" customWidth="1"/>
    <col min="10771" max="10771" width="14.28515625" style="157" bestFit="1" customWidth="1"/>
    <col min="10772" max="10772" width="13.7109375" style="157" bestFit="1" customWidth="1"/>
    <col min="10773" max="10774" width="11.5703125" style="157" customWidth="1"/>
    <col min="10775" max="11008" width="11.42578125" style="157"/>
    <col min="11009" max="11009" width="4.42578125" style="157" customWidth="1"/>
    <col min="11010" max="11010" width="22.140625" style="157" customWidth="1"/>
    <col min="11011" max="11011" width="10.5703125" style="157" customWidth="1"/>
    <col min="11012" max="11012" width="9.7109375" style="157" customWidth="1"/>
    <col min="11013" max="11014" width="9.5703125" style="157" customWidth="1"/>
    <col min="11015" max="11015" width="8.7109375" style="157" customWidth="1"/>
    <col min="11016" max="11016" width="9.28515625" style="157" customWidth="1"/>
    <col min="11017" max="11017" width="10.85546875" style="157" customWidth="1"/>
    <col min="11018" max="11019" width="9.28515625" style="157" customWidth="1"/>
    <col min="11020" max="11020" width="6.42578125" style="157" customWidth="1"/>
    <col min="11021" max="11021" width="8.140625" style="157" customWidth="1"/>
    <col min="11022" max="11022" width="9.5703125" style="157" customWidth="1"/>
    <col min="11023" max="11023" width="8.85546875" style="157" customWidth="1"/>
    <col min="11024" max="11025" width="11.42578125" style="157"/>
    <col min="11026" max="11026" width="13.7109375" style="157" bestFit="1" customWidth="1"/>
    <col min="11027" max="11027" width="14.28515625" style="157" bestFit="1" customWidth="1"/>
    <col min="11028" max="11028" width="13.7109375" style="157" bestFit="1" customWidth="1"/>
    <col min="11029" max="11030" width="11.5703125" style="157" customWidth="1"/>
    <col min="11031" max="11264" width="11.42578125" style="157"/>
    <col min="11265" max="11265" width="4.42578125" style="157" customWidth="1"/>
    <col min="11266" max="11266" width="22.140625" style="157" customWidth="1"/>
    <col min="11267" max="11267" width="10.5703125" style="157" customWidth="1"/>
    <col min="11268" max="11268" width="9.7109375" style="157" customWidth="1"/>
    <col min="11269" max="11270" width="9.5703125" style="157" customWidth="1"/>
    <col min="11271" max="11271" width="8.7109375" style="157" customWidth="1"/>
    <col min="11272" max="11272" width="9.28515625" style="157" customWidth="1"/>
    <col min="11273" max="11273" width="10.85546875" style="157" customWidth="1"/>
    <col min="11274" max="11275" width="9.28515625" style="157" customWidth="1"/>
    <col min="11276" max="11276" width="6.42578125" style="157" customWidth="1"/>
    <col min="11277" max="11277" width="8.140625" style="157" customWidth="1"/>
    <col min="11278" max="11278" width="9.5703125" style="157" customWidth="1"/>
    <col min="11279" max="11279" width="8.85546875" style="157" customWidth="1"/>
    <col min="11280" max="11281" width="11.42578125" style="157"/>
    <col min="11282" max="11282" width="13.7109375" style="157" bestFit="1" customWidth="1"/>
    <col min="11283" max="11283" width="14.28515625" style="157" bestFit="1" customWidth="1"/>
    <col min="11284" max="11284" width="13.7109375" style="157" bestFit="1" customWidth="1"/>
    <col min="11285" max="11286" width="11.5703125" style="157" customWidth="1"/>
    <col min="11287" max="11520" width="11.42578125" style="157"/>
    <col min="11521" max="11521" width="4.42578125" style="157" customWidth="1"/>
    <col min="11522" max="11522" width="22.140625" style="157" customWidth="1"/>
    <col min="11523" max="11523" width="10.5703125" style="157" customWidth="1"/>
    <col min="11524" max="11524" width="9.7109375" style="157" customWidth="1"/>
    <col min="11525" max="11526" width="9.5703125" style="157" customWidth="1"/>
    <col min="11527" max="11527" width="8.7109375" style="157" customWidth="1"/>
    <col min="11528" max="11528" width="9.28515625" style="157" customWidth="1"/>
    <col min="11529" max="11529" width="10.85546875" style="157" customWidth="1"/>
    <col min="11530" max="11531" width="9.28515625" style="157" customWidth="1"/>
    <col min="11532" max="11532" width="6.42578125" style="157" customWidth="1"/>
    <col min="11533" max="11533" width="8.140625" style="157" customWidth="1"/>
    <col min="11534" max="11534" width="9.5703125" style="157" customWidth="1"/>
    <col min="11535" max="11535" width="8.85546875" style="157" customWidth="1"/>
    <col min="11536" max="11537" width="11.42578125" style="157"/>
    <col min="11538" max="11538" width="13.7109375" style="157" bestFit="1" customWidth="1"/>
    <col min="11539" max="11539" width="14.28515625" style="157" bestFit="1" customWidth="1"/>
    <col min="11540" max="11540" width="13.7109375" style="157" bestFit="1" customWidth="1"/>
    <col min="11541" max="11542" width="11.5703125" style="157" customWidth="1"/>
    <col min="11543" max="11776" width="11.42578125" style="157"/>
    <col min="11777" max="11777" width="4.42578125" style="157" customWidth="1"/>
    <col min="11778" max="11778" width="22.140625" style="157" customWidth="1"/>
    <col min="11779" max="11779" width="10.5703125" style="157" customWidth="1"/>
    <col min="11780" max="11780" width="9.7109375" style="157" customWidth="1"/>
    <col min="11781" max="11782" width="9.5703125" style="157" customWidth="1"/>
    <col min="11783" max="11783" width="8.7109375" style="157" customWidth="1"/>
    <col min="11784" max="11784" width="9.28515625" style="157" customWidth="1"/>
    <col min="11785" max="11785" width="10.85546875" style="157" customWidth="1"/>
    <col min="11786" max="11787" width="9.28515625" style="157" customWidth="1"/>
    <col min="11788" max="11788" width="6.42578125" style="157" customWidth="1"/>
    <col min="11789" max="11789" width="8.140625" style="157" customWidth="1"/>
    <col min="11790" max="11790" width="9.5703125" style="157" customWidth="1"/>
    <col min="11791" max="11791" width="8.85546875" style="157" customWidth="1"/>
    <col min="11792" max="11793" width="11.42578125" style="157"/>
    <col min="11794" max="11794" width="13.7109375" style="157" bestFit="1" customWidth="1"/>
    <col min="11795" max="11795" width="14.28515625" style="157" bestFit="1" customWidth="1"/>
    <col min="11796" max="11796" width="13.7109375" style="157" bestFit="1" customWidth="1"/>
    <col min="11797" max="11798" width="11.5703125" style="157" customWidth="1"/>
    <col min="11799" max="12032" width="11.42578125" style="157"/>
    <col min="12033" max="12033" width="4.42578125" style="157" customWidth="1"/>
    <col min="12034" max="12034" width="22.140625" style="157" customWidth="1"/>
    <col min="12035" max="12035" width="10.5703125" style="157" customWidth="1"/>
    <col min="12036" max="12036" width="9.7109375" style="157" customWidth="1"/>
    <col min="12037" max="12038" width="9.5703125" style="157" customWidth="1"/>
    <col min="12039" max="12039" width="8.7109375" style="157" customWidth="1"/>
    <col min="12040" max="12040" width="9.28515625" style="157" customWidth="1"/>
    <col min="12041" max="12041" width="10.85546875" style="157" customWidth="1"/>
    <col min="12042" max="12043" width="9.28515625" style="157" customWidth="1"/>
    <col min="12044" max="12044" width="6.42578125" style="157" customWidth="1"/>
    <col min="12045" max="12045" width="8.140625" style="157" customWidth="1"/>
    <col min="12046" max="12046" width="9.5703125" style="157" customWidth="1"/>
    <col min="12047" max="12047" width="8.85546875" style="157" customWidth="1"/>
    <col min="12048" max="12049" width="11.42578125" style="157"/>
    <col min="12050" max="12050" width="13.7109375" style="157" bestFit="1" customWidth="1"/>
    <col min="12051" max="12051" width="14.28515625" style="157" bestFit="1" customWidth="1"/>
    <col min="12052" max="12052" width="13.7109375" style="157" bestFit="1" customWidth="1"/>
    <col min="12053" max="12054" width="11.5703125" style="157" customWidth="1"/>
    <col min="12055" max="12288" width="11.42578125" style="157"/>
    <col min="12289" max="12289" width="4.42578125" style="157" customWidth="1"/>
    <col min="12290" max="12290" width="22.140625" style="157" customWidth="1"/>
    <col min="12291" max="12291" width="10.5703125" style="157" customWidth="1"/>
    <col min="12292" max="12292" width="9.7109375" style="157" customWidth="1"/>
    <col min="12293" max="12294" width="9.5703125" style="157" customWidth="1"/>
    <col min="12295" max="12295" width="8.7109375" style="157" customWidth="1"/>
    <col min="12296" max="12296" width="9.28515625" style="157" customWidth="1"/>
    <col min="12297" max="12297" width="10.85546875" style="157" customWidth="1"/>
    <col min="12298" max="12299" width="9.28515625" style="157" customWidth="1"/>
    <col min="12300" max="12300" width="6.42578125" style="157" customWidth="1"/>
    <col min="12301" max="12301" width="8.140625" style="157" customWidth="1"/>
    <col min="12302" max="12302" width="9.5703125" style="157" customWidth="1"/>
    <col min="12303" max="12303" width="8.85546875" style="157" customWidth="1"/>
    <col min="12304" max="12305" width="11.42578125" style="157"/>
    <col min="12306" max="12306" width="13.7109375" style="157" bestFit="1" customWidth="1"/>
    <col min="12307" max="12307" width="14.28515625" style="157" bestFit="1" customWidth="1"/>
    <col min="12308" max="12308" width="13.7109375" style="157" bestFit="1" customWidth="1"/>
    <col min="12309" max="12310" width="11.5703125" style="157" customWidth="1"/>
    <col min="12311" max="12544" width="11.42578125" style="157"/>
    <col min="12545" max="12545" width="4.42578125" style="157" customWidth="1"/>
    <col min="12546" max="12546" width="22.140625" style="157" customWidth="1"/>
    <col min="12547" max="12547" width="10.5703125" style="157" customWidth="1"/>
    <col min="12548" max="12548" width="9.7109375" style="157" customWidth="1"/>
    <col min="12549" max="12550" width="9.5703125" style="157" customWidth="1"/>
    <col min="12551" max="12551" width="8.7109375" style="157" customWidth="1"/>
    <col min="12552" max="12552" width="9.28515625" style="157" customWidth="1"/>
    <col min="12553" max="12553" width="10.85546875" style="157" customWidth="1"/>
    <col min="12554" max="12555" width="9.28515625" style="157" customWidth="1"/>
    <col min="12556" max="12556" width="6.42578125" style="157" customWidth="1"/>
    <col min="12557" max="12557" width="8.140625" style="157" customWidth="1"/>
    <col min="12558" max="12558" width="9.5703125" style="157" customWidth="1"/>
    <col min="12559" max="12559" width="8.85546875" style="157" customWidth="1"/>
    <col min="12560" max="12561" width="11.42578125" style="157"/>
    <col min="12562" max="12562" width="13.7109375" style="157" bestFit="1" customWidth="1"/>
    <col min="12563" max="12563" width="14.28515625" style="157" bestFit="1" customWidth="1"/>
    <col min="12564" max="12564" width="13.7109375" style="157" bestFit="1" customWidth="1"/>
    <col min="12565" max="12566" width="11.5703125" style="157" customWidth="1"/>
    <col min="12567" max="12800" width="11.42578125" style="157"/>
    <col min="12801" max="12801" width="4.42578125" style="157" customWidth="1"/>
    <col min="12802" max="12802" width="22.140625" style="157" customWidth="1"/>
    <col min="12803" max="12803" width="10.5703125" style="157" customWidth="1"/>
    <col min="12804" max="12804" width="9.7109375" style="157" customWidth="1"/>
    <col min="12805" max="12806" width="9.5703125" style="157" customWidth="1"/>
    <col min="12807" max="12807" width="8.7109375" style="157" customWidth="1"/>
    <col min="12808" max="12808" width="9.28515625" style="157" customWidth="1"/>
    <col min="12809" max="12809" width="10.85546875" style="157" customWidth="1"/>
    <col min="12810" max="12811" width="9.28515625" style="157" customWidth="1"/>
    <col min="12812" max="12812" width="6.42578125" style="157" customWidth="1"/>
    <col min="12813" max="12813" width="8.140625" style="157" customWidth="1"/>
    <col min="12814" max="12814" width="9.5703125" style="157" customWidth="1"/>
    <col min="12815" max="12815" width="8.85546875" style="157" customWidth="1"/>
    <col min="12816" max="12817" width="11.42578125" style="157"/>
    <col min="12818" max="12818" width="13.7109375" style="157" bestFit="1" customWidth="1"/>
    <col min="12819" max="12819" width="14.28515625" style="157" bestFit="1" customWidth="1"/>
    <col min="12820" max="12820" width="13.7109375" style="157" bestFit="1" customWidth="1"/>
    <col min="12821" max="12822" width="11.5703125" style="157" customWidth="1"/>
    <col min="12823" max="13056" width="11.42578125" style="157"/>
    <col min="13057" max="13057" width="4.42578125" style="157" customWidth="1"/>
    <col min="13058" max="13058" width="22.140625" style="157" customWidth="1"/>
    <col min="13059" max="13059" width="10.5703125" style="157" customWidth="1"/>
    <col min="13060" max="13060" width="9.7109375" style="157" customWidth="1"/>
    <col min="13061" max="13062" width="9.5703125" style="157" customWidth="1"/>
    <col min="13063" max="13063" width="8.7109375" style="157" customWidth="1"/>
    <col min="13064" max="13064" width="9.28515625" style="157" customWidth="1"/>
    <col min="13065" max="13065" width="10.85546875" style="157" customWidth="1"/>
    <col min="13066" max="13067" width="9.28515625" style="157" customWidth="1"/>
    <col min="13068" max="13068" width="6.42578125" style="157" customWidth="1"/>
    <col min="13069" max="13069" width="8.140625" style="157" customWidth="1"/>
    <col min="13070" max="13070" width="9.5703125" style="157" customWidth="1"/>
    <col min="13071" max="13071" width="8.85546875" style="157" customWidth="1"/>
    <col min="13072" max="13073" width="11.42578125" style="157"/>
    <col min="13074" max="13074" width="13.7109375" style="157" bestFit="1" customWidth="1"/>
    <col min="13075" max="13075" width="14.28515625" style="157" bestFit="1" customWidth="1"/>
    <col min="13076" max="13076" width="13.7109375" style="157" bestFit="1" customWidth="1"/>
    <col min="13077" max="13078" width="11.5703125" style="157" customWidth="1"/>
    <col min="13079" max="13312" width="11.42578125" style="157"/>
    <col min="13313" max="13313" width="4.42578125" style="157" customWidth="1"/>
    <col min="13314" max="13314" width="22.140625" style="157" customWidth="1"/>
    <col min="13315" max="13315" width="10.5703125" style="157" customWidth="1"/>
    <col min="13316" max="13316" width="9.7109375" style="157" customWidth="1"/>
    <col min="13317" max="13318" width="9.5703125" style="157" customWidth="1"/>
    <col min="13319" max="13319" width="8.7109375" style="157" customWidth="1"/>
    <col min="13320" max="13320" width="9.28515625" style="157" customWidth="1"/>
    <col min="13321" max="13321" width="10.85546875" style="157" customWidth="1"/>
    <col min="13322" max="13323" width="9.28515625" style="157" customWidth="1"/>
    <col min="13324" max="13324" width="6.42578125" style="157" customWidth="1"/>
    <col min="13325" max="13325" width="8.140625" style="157" customWidth="1"/>
    <col min="13326" max="13326" width="9.5703125" style="157" customWidth="1"/>
    <col min="13327" max="13327" width="8.85546875" style="157" customWidth="1"/>
    <col min="13328" max="13329" width="11.42578125" style="157"/>
    <col min="13330" max="13330" width="13.7109375" style="157" bestFit="1" customWidth="1"/>
    <col min="13331" max="13331" width="14.28515625" style="157" bestFit="1" customWidth="1"/>
    <col min="13332" max="13332" width="13.7109375" style="157" bestFit="1" customWidth="1"/>
    <col min="13333" max="13334" width="11.5703125" style="157" customWidth="1"/>
    <col min="13335" max="13568" width="11.42578125" style="157"/>
    <col min="13569" max="13569" width="4.42578125" style="157" customWidth="1"/>
    <col min="13570" max="13570" width="22.140625" style="157" customWidth="1"/>
    <col min="13571" max="13571" width="10.5703125" style="157" customWidth="1"/>
    <col min="13572" max="13572" width="9.7109375" style="157" customWidth="1"/>
    <col min="13573" max="13574" width="9.5703125" style="157" customWidth="1"/>
    <col min="13575" max="13575" width="8.7109375" style="157" customWidth="1"/>
    <col min="13576" max="13576" width="9.28515625" style="157" customWidth="1"/>
    <col min="13577" max="13577" width="10.85546875" style="157" customWidth="1"/>
    <col min="13578" max="13579" width="9.28515625" style="157" customWidth="1"/>
    <col min="13580" max="13580" width="6.42578125" style="157" customWidth="1"/>
    <col min="13581" max="13581" width="8.140625" style="157" customWidth="1"/>
    <col min="13582" max="13582" width="9.5703125" style="157" customWidth="1"/>
    <col min="13583" max="13583" width="8.85546875" style="157" customWidth="1"/>
    <col min="13584" max="13585" width="11.42578125" style="157"/>
    <col min="13586" max="13586" width="13.7109375" style="157" bestFit="1" customWidth="1"/>
    <col min="13587" max="13587" width="14.28515625" style="157" bestFit="1" customWidth="1"/>
    <col min="13588" max="13588" width="13.7109375" style="157" bestFit="1" customWidth="1"/>
    <col min="13589" max="13590" width="11.5703125" style="157" customWidth="1"/>
    <col min="13591" max="13824" width="11.42578125" style="157"/>
    <col min="13825" max="13825" width="4.42578125" style="157" customWidth="1"/>
    <col min="13826" max="13826" width="22.140625" style="157" customWidth="1"/>
    <col min="13827" max="13827" width="10.5703125" style="157" customWidth="1"/>
    <col min="13828" max="13828" width="9.7109375" style="157" customWidth="1"/>
    <col min="13829" max="13830" width="9.5703125" style="157" customWidth="1"/>
    <col min="13831" max="13831" width="8.7109375" style="157" customWidth="1"/>
    <col min="13832" max="13832" width="9.28515625" style="157" customWidth="1"/>
    <col min="13833" max="13833" width="10.85546875" style="157" customWidth="1"/>
    <col min="13834" max="13835" width="9.28515625" style="157" customWidth="1"/>
    <col min="13836" max="13836" width="6.42578125" style="157" customWidth="1"/>
    <col min="13837" max="13837" width="8.140625" style="157" customWidth="1"/>
    <col min="13838" max="13838" width="9.5703125" style="157" customWidth="1"/>
    <col min="13839" max="13839" width="8.85546875" style="157" customWidth="1"/>
    <col min="13840" max="13841" width="11.42578125" style="157"/>
    <col min="13842" max="13842" width="13.7109375" style="157" bestFit="1" customWidth="1"/>
    <col min="13843" max="13843" width="14.28515625" style="157" bestFit="1" customWidth="1"/>
    <col min="13844" max="13844" width="13.7109375" style="157" bestFit="1" customWidth="1"/>
    <col min="13845" max="13846" width="11.5703125" style="157" customWidth="1"/>
    <col min="13847" max="14080" width="11.42578125" style="157"/>
    <col min="14081" max="14081" width="4.42578125" style="157" customWidth="1"/>
    <col min="14082" max="14082" width="22.140625" style="157" customWidth="1"/>
    <col min="14083" max="14083" width="10.5703125" style="157" customWidth="1"/>
    <col min="14084" max="14084" width="9.7109375" style="157" customWidth="1"/>
    <col min="14085" max="14086" width="9.5703125" style="157" customWidth="1"/>
    <col min="14087" max="14087" width="8.7109375" style="157" customWidth="1"/>
    <col min="14088" max="14088" width="9.28515625" style="157" customWidth="1"/>
    <col min="14089" max="14089" width="10.85546875" style="157" customWidth="1"/>
    <col min="14090" max="14091" width="9.28515625" style="157" customWidth="1"/>
    <col min="14092" max="14092" width="6.42578125" style="157" customWidth="1"/>
    <col min="14093" max="14093" width="8.140625" style="157" customWidth="1"/>
    <col min="14094" max="14094" width="9.5703125" style="157" customWidth="1"/>
    <col min="14095" max="14095" width="8.85546875" style="157" customWidth="1"/>
    <col min="14096" max="14097" width="11.42578125" style="157"/>
    <col min="14098" max="14098" width="13.7109375" style="157" bestFit="1" customWidth="1"/>
    <col min="14099" max="14099" width="14.28515625" style="157" bestFit="1" customWidth="1"/>
    <col min="14100" max="14100" width="13.7109375" style="157" bestFit="1" customWidth="1"/>
    <col min="14101" max="14102" width="11.5703125" style="157" customWidth="1"/>
    <col min="14103" max="14336" width="11.42578125" style="157"/>
    <col min="14337" max="14337" width="4.42578125" style="157" customWidth="1"/>
    <col min="14338" max="14338" width="22.140625" style="157" customWidth="1"/>
    <col min="14339" max="14339" width="10.5703125" style="157" customWidth="1"/>
    <col min="14340" max="14340" width="9.7109375" style="157" customWidth="1"/>
    <col min="14341" max="14342" width="9.5703125" style="157" customWidth="1"/>
    <col min="14343" max="14343" width="8.7109375" style="157" customWidth="1"/>
    <col min="14344" max="14344" width="9.28515625" style="157" customWidth="1"/>
    <col min="14345" max="14345" width="10.85546875" style="157" customWidth="1"/>
    <col min="14346" max="14347" width="9.28515625" style="157" customWidth="1"/>
    <col min="14348" max="14348" width="6.42578125" style="157" customWidth="1"/>
    <col min="14349" max="14349" width="8.140625" style="157" customWidth="1"/>
    <col min="14350" max="14350" width="9.5703125" style="157" customWidth="1"/>
    <col min="14351" max="14351" width="8.85546875" style="157" customWidth="1"/>
    <col min="14352" max="14353" width="11.42578125" style="157"/>
    <col min="14354" max="14354" width="13.7109375" style="157" bestFit="1" customWidth="1"/>
    <col min="14355" max="14355" width="14.28515625" style="157" bestFit="1" customWidth="1"/>
    <col min="14356" max="14356" width="13.7109375" style="157" bestFit="1" customWidth="1"/>
    <col min="14357" max="14358" width="11.5703125" style="157" customWidth="1"/>
    <col min="14359" max="14592" width="11.42578125" style="157"/>
    <col min="14593" max="14593" width="4.42578125" style="157" customWidth="1"/>
    <col min="14594" max="14594" width="22.140625" style="157" customWidth="1"/>
    <col min="14595" max="14595" width="10.5703125" style="157" customWidth="1"/>
    <col min="14596" max="14596" width="9.7109375" style="157" customWidth="1"/>
    <col min="14597" max="14598" width="9.5703125" style="157" customWidth="1"/>
    <col min="14599" max="14599" width="8.7109375" style="157" customWidth="1"/>
    <col min="14600" max="14600" width="9.28515625" style="157" customWidth="1"/>
    <col min="14601" max="14601" width="10.85546875" style="157" customWidth="1"/>
    <col min="14602" max="14603" width="9.28515625" style="157" customWidth="1"/>
    <col min="14604" max="14604" width="6.42578125" style="157" customWidth="1"/>
    <col min="14605" max="14605" width="8.140625" style="157" customWidth="1"/>
    <col min="14606" max="14606" width="9.5703125" style="157" customWidth="1"/>
    <col min="14607" max="14607" width="8.85546875" style="157" customWidth="1"/>
    <col min="14608" max="14609" width="11.42578125" style="157"/>
    <col min="14610" max="14610" width="13.7109375" style="157" bestFit="1" customWidth="1"/>
    <col min="14611" max="14611" width="14.28515625" style="157" bestFit="1" customWidth="1"/>
    <col min="14612" max="14612" width="13.7109375" style="157" bestFit="1" customWidth="1"/>
    <col min="14613" max="14614" width="11.5703125" style="157" customWidth="1"/>
    <col min="14615" max="14848" width="11.42578125" style="157"/>
    <col min="14849" max="14849" width="4.42578125" style="157" customWidth="1"/>
    <col min="14850" max="14850" width="22.140625" style="157" customWidth="1"/>
    <col min="14851" max="14851" width="10.5703125" style="157" customWidth="1"/>
    <col min="14852" max="14852" width="9.7109375" style="157" customWidth="1"/>
    <col min="14853" max="14854" width="9.5703125" style="157" customWidth="1"/>
    <col min="14855" max="14855" width="8.7109375" style="157" customWidth="1"/>
    <col min="14856" max="14856" width="9.28515625" style="157" customWidth="1"/>
    <col min="14857" max="14857" width="10.85546875" style="157" customWidth="1"/>
    <col min="14858" max="14859" width="9.28515625" style="157" customWidth="1"/>
    <col min="14860" max="14860" width="6.42578125" style="157" customWidth="1"/>
    <col min="14861" max="14861" width="8.140625" style="157" customWidth="1"/>
    <col min="14862" max="14862" width="9.5703125" style="157" customWidth="1"/>
    <col min="14863" max="14863" width="8.85546875" style="157" customWidth="1"/>
    <col min="14864" max="14865" width="11.42578125" style="157"/>
    <col min="14866" max="14866" width="13.7109375" style="157" bestFit="1" customWidth="1"/>
    <col min="14867" max="14867" width="14.28515625" style="157" bestFit="1" customWidth="1"/>
    <col min="14868" max="14868" width="13.7109375" style="157" bestFit="1" customWidth="1"/>
    <col min="14869" max="14870" width="11.5703125" style="157" customWidth="1"/>
    <col min="14871" max="15104" width="11.42578125" style="157"/>
    <col min="15105" max="15105" width="4.42578125" style="157" customWidth="1"/>
    <col min="15106" max="15106" width="22.140625" style="157" customWidth="1"/>
    <col min="15107" max="15107" width="10.5703125" style="157" customWidth="1"/>
    <col min="15108" max="15108" width="9.7109375" style="157" customWidth="1"/>
    <col min="15109" max="15110" width="9.5703125" style="157" customWidth="1"/>
    <col min="15111" max="15111" width="8.7109375" style="157" customWidth="1"/>
    <col min="15112" max="15112" width="9.28515625" style="157" customWidth="1"/>
    <col min="15113" max="15113" width="10.85546875" style="157" customWidth="1"/>
    <col min="15114" max="15115" width="9.28515625" style="157" customWidth="1"/>
    <col min="15116" max="15116" width="6.42578125" style="157" customWidth="1"/>
    <col min="15117" max="15117" width="8.140625" style="157" customWidth="1"/>
    <col min="15118" max="15118" width="9.5703125" style="157" customWidth="1"/>
    <col min="15119" max="15119" width="8.85546875" style="157" customWidth="1"/>
    <col min="15120" max="15121" width="11.42578125" style="157"/>
    <col min="15122" max="15122" width="13.7109375" style="157" bestFit="1" customWidth="1"/>
    <col min="15123" max="15123" width="14.28515625" style="157" bestFit="1" customWidth="1"/>
    <col min="15124" max="15124" width="13.7109375" style="157" bestFit="1" customWidth="1"/>
    <col min="15125" max="15126" width="11.5703125" style="157" customWidth="1"/>
    <col min="15127" max="15360" width="11.42578125" style="157"/>
    <col min="15361" max="15361" width="4.42578125" style="157" customWidth="1"/>
    <col min="15362" max="15362" width="22.140625" style="157" customWidth="1"/>
    <col min="15363" max="15363" width="10.5703125" style="157" customWidth="1"/>
    <col min="15364" max="15364" width="9.7109375" style="157" customWidth="1"/>
    <col min="15365" max="15366" width="9.5703125" style="157" customWidth="1"/>
    <col min="15367" max="15367" width="8.7109375" style="157" customWidth="1"/>
    <col min="15368" max="15368" width="9.28515625" style="157" customWidth="1"/>
    <col min="15369" max="15369" width="10.85546875" style="157" customWidth="1"/>
    <col min="15370" max="15371" width="9.28515625" style="157" customWidth="1"/>
    <col min="15372" max="15372" width="6.42578125" style="157" customWidth="1"/>
    <col min="15373" max="15373" width="8.140625" style="157" customWidth="1"/>
    <col min="15374" max="15374" width="9.5703125" style="157" customWidth="1"/>
    <col min="15375" max="15375" width="8.85546875" style="157" customWidth="1"/>
    <col min="15376" max="15377" width="11.42578125" style="157"/>
    <col min="15378" max="15378" width="13.7109375" style="157" bestFit="1" customWidth="1"/>
    <col min="15379" max="15379" width="14.28515625" style="157" bestFit="1" customWidth="1"/>
    <col min="15380" max="15380" width="13.7109375" style="157" bestFit="1" customWidth="1"/>
    <col min="15381" max="15382" width="11.5703125" style="157" customWidth="1"/>
    <col min="15383" max="15616" width="11.42578125" style="157"/>
    <col min="15617" max="15617" width="4.42578125" style="157" customWidth="1"/>
    <col min="15618" max="15618" width="22.140625" style="157" customWidth="1"/>
    <col min="15619" max="15619" width="10.5703125" style="157" customWidth="1"/>
    <col min="15620" max="15620" width="9.7109375" style="157" customWidth="1"/>
    <col min="15621" max="15622" width="9.5703125" style="157" customWidth="1"/>
    <col min="15623" max="15623" width="8.7109375" style="157" customWidth="1"/>
    <col min="15624" max="15624" width="9.28515625" style="157" customWidth="1"/>
    <col min="15625" max="15625" width="10.85546875" style="157" customWidth="1"/>
    <col min="15626" max="15627" width="9.28515625" style="157" customWidth="1"/>
    <col min="15628" max="15628" width="6.42578125" style="157" customWidth="1"/>
    <col min="15629" max="15629" width="8.140625" style="157" customWidth="1"/>
    <col min="15630" max="15630" width="9.5703125" style="157" customWidth="1"/>
    <col min="15631" max="15631" width="8.85546875" style="157" customWidth="1"/>
    <col min="15632" max="15633" width="11.42578125" style="157"/>
    <col min="15634" max="15634" width="13.7109375" style="157" bestFit="1" customWidth="1"/>
    <col min="15635" max="15635" width="14.28515625" style="157" bestFit="1" customWidth="1"/>
    <col min="15636" max="15636" width="13.7109375" style="157" bestFit="1" customWidth="1"/>
    <col min="15637" max="15638" width="11.5703125" style="157" customWidth="1"/>
    <col min="15639" max="15872" width="11.42578125" style="157"/>
    <col min="15873" max="15873" width="4.42578125" style="157" customWidth="1"/>
    <col min="15874" max="15874" width="22.140625" style="157" customWidth="1"/>
    <col min="15875" max="15875" width="10.5703125" style="157" customWidth="1"/>
    <col min="15876" max="15876" width="9.7109375" style="157" customWidth="1"/>
    <col min="15877" max="15878" width="9.5703125" style="157" customWidth="1"/>
    <col min="15879" max="15879" width="8.7109375" style="157" customWidth="1"/>
    <col min="15880" max="15880" width="9.28515625" style="157" customWidth="1"/>
    <col min="15881" max="15881" width="10.85546875" style="157" customWidth="1"/>
    <col min="15882" max="15883" width="9.28515625" style="157" customWidth="1"/>
    <col min="15884" max="15884" width="6.42578125" style="157" customWidth="1"/>
    <col min="15885" max="15885" width="8.140625" style="157" customWidth="1"/>
    <col min="15886" max="15886" width="9.5703125" style="157" customWidth="1"/>
    <col min="15887" max="15887" width="8.85546875" style="157" customWidth="1"/>
    <col min="15888" max="15889" width="11.42578125" style="157"/>
    <col min="15890" max="15890" width="13.7109375" style="157" bestFit="1" customWidth="1"/>
    <col min="15891" max="15891" width="14.28515625" style="157" bestFit="1" customWidth="1"/>
    <col min="15892" max="15892" width="13.7109375" style="157" bestFit="1" customWidth="1"/>
    <col min="15893" max="15894" width="11.5703125" style="157" customWidth="1"/>
    <col min="15895" max="16128" width="11.42578125" style="157"/>
    <col min="16129" max="16129" width="4.42578125" style="157" customWidth="1"/>
    <col min="16130" max="16130" width="22.140625" style="157" customWidth="1"/>
    <col min="16131" max="16131" width="10.5703125" style="157" customWidth="1"/>
    <col min="16132" max="16132" width="9.7109375" style="157" customWidth="1"/>
    <col min="16133" max="16134" width="9.5703125" style="157" customWidth="1"/>
    <col min="16135" max="16135" width="8.7109375" style="157" customWidth="1"/>
    <col min="16136" max="16136" width="9.28515625" style="157" customWidth="1"/>
    <col min="16137" max="16137" width="10.85546875" style="157" customWidth="1"/>
    <col min="16138" max="16139" width="9.28515625" style="157" customWidth="1"/>
    <col min="16140" max="16140" width="6.42578125" style="157" customWidth="1"/>
    <col min="16141" max="16141" width="8.140625" style="157" customWidth="1"/>
    <col min="16142" max="16142" width="9.5703125" style="157" customWidth="1"/>
    <col min="16143" max="16143" width="8.85546875" style="157" customWidth="1"/>
    <col min="16144" max="16145" width="11.42578125" style="157"/>
    <col min="16146" max="16146" width="13.7109375" style="157" bestFit="1" customWidth="1"/>
    <col min="16147" max="16147" width="14.28515625" style="157" bestFit="1" customWidth="1"/>
    <col min="16148" max="16148" width="13.7109375" style="157" bestFit="1" customWidth="1"/>
    <col min="16149" max="16150" width="11.5703125" style="157" customWidth="1"/>
    <col min="16151" max="16384" width="11.42578125" style="157"/>
  </cols>
  <sheetData>
    <row r="2" spans="1:25" ht="20.25" x14ac:dyDescent="0.3">
      <c r="A2" s="569" t="s">
        <v>228</v>
      </c>
    </row>
    <row r="3" spans="1:25" ht="15" customHeight="1" x14ac:dyDescent="0.3">
      <c r="B3" s="569"/>
    </row>
    <row r="4" spans="1:25" ht="15" customHeight="1" x14ac:dyDescent="0.2"/>
    <row r="5" spans="1:25" ht="18" x14ac:dyDescent="0.25">
      <c r="B5" s="570" t="s">
        <v>229</v>
      </c>
      <c r="C5" s="571"/>
      <c r="D5" s="571"/>
      <c r="E5" s="571"/>
      <c r="F5" s="571"/>
      <c r="G5" s="571"/>
      <c r="H5" s="571"/>
      <c r="I5" s="571"/>
      <c r="J5" s="572"/>
      <c r="K5" s="572"/>
      <c r="L5" s="572"/>
      <c r="M5" s="572"/>
      <c r="N5" s="572"/>
      <c r="O5" s="572"/>
    </row>
    <row r="6" spans="1:25" ht="11.25" customHeight="1" thickBot="1" x14ac:dyDescent="0.25"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</row>
    <row r="7" spans="1:25" ht="15" customHeight="1" x14ac:dyDescent="0.2">
      <c r="B7" s="1339"/>
      <c r="C7" s="1339"/>
      <c r="D7" s="1626" t="s">
        <v>151</v>
      </c>
      <c r="E7" s="1627"/>
      <c r="F7" s="1627"/>
      <c r="G7" s="1628"/>
      <c r="H7" s="1627" t="s">
        <v>180</v>
      </c>
      <c r="I7" s="1627"/>
      <c r="J7" s="1629"/>
      <c r="K7" s="1629"/>
      <c r="L7" s="1630"/>
      <c r="M7" s="1627" t="s">
        <v>181</v>
      </c>
      <c r="N7" s="1629"/>
      <c r="O7" s="1631"/>
    </row>
    <row r="8" spans="1:25" ht="13.5" thickBot="1" x14ac:dyDescent="0.25">
      <c r="B8" s="829" t="s">
        <v>132</v>
      </c>
      <c r="C8" s="829" t="s">
        <v>151</v>
      </c>
      <c r="D8" s="830" t="s">
        <v>186</v>
      </c>
      <c r="E8" s="832" t="s">
        <v>187</v>
      </c>
      <c r="F8" s="1632" t="s">
        <v>184</v>
      </c>
      <c r="G8" s="1632" t="s">
        <v>185</v>
      </c>
      <c r="H8" s="1632" t="s">
        <v>151</v>
      </c>
      <c r="I8" s="832" t="s">
        <v>186</v>
      </c>
      <c r="J8" s="832" t="s">
        <v>187</v>
      </c>
      <c r="K8" s="832" t="s">
        <v>184</v>
      </c>
      <c r="L8" s="832" t="s">
        <v>185</v>
      </c>
      <c r="M8" s="834" t="s">
        <v>151</v>
      </c>
      <c r="N8" s="831" t="s">
        <v>186</v>
      </c>
      <c r="O8" s="1633" t="s">
        <v>187</v>
      </c>
      <c r="W8" s="338"/>
      <c r="X8" s="338"/>
      <c r="Y8" s="338"/>
    </row>
    <row r="9" spans="1:25" x14ac:dyDescent="0.2">
      <c r="B9" s="574"/>
      <c r="C9" s="575"/>
      <c r="D9" s="576"/>
      <c r="E9" s="577"/>
      <c r="F9" s="578"/>
      <c r="G9" s="579"/>
      <c r="H9" s="580"/>
      <c r="I9" s="284"/>
      <c r="J9" s="284"/>
      <c r="K9" s="284"/>
      <c r="L9" s="285"/>
      <c r="M9" s="286"/>
      <c r="N9" s="284"/>
      <c r="O9" s="288"/>
      <c r="W9" s="338"/>
      <c r="X9" s="338"/>
      <c r="Y9" s="338"/>
    </row>
    <row r="10" spans="1:25" x14ac:dyDescent="0.2">
      <c r="B10" s="581">
        <v>1995</v>
      </c>
      <c r="C10" s="582">
        <f t="shared" ref="C10:C15" si="0">SUM(D10:G10)</f>
        <v>16880.114601000001</v>
      </c>
      <c r="D10" s="583">
        <f t="shared" ref="D10:E15" si="1">(I10+N10)</f>
        <v>12937.553461</v>
      </c>
      <c r="E10" s="584">
        <f t="shared" si="1"/>
        <v>3942.5611400000003</v>
      </c>
      <c r="F10" s="585"/>
      <c r="G10" s="586" t="s">
        <v>230</v>
      </c>
      <c r="H10" s="587">
        <f t="shared" ref="H10:H28" si="2">SUM(I10:L10)</f>
        <v>13106.313096999998</v>
      </c>
      <c r="I10" s="300">
        <f>+[4]Desagregado!E8+[4]Desagregado!M8+[4]Desagregado!J8</f>
        <v>11540.590328999999</v>
      </c>
      <c r="J10" s="300">
        <f>+[4]Desagregado!F8+[4]Desagregado!N8+[4]Desagregado!K8</f>
        <v>1565.7227680000001</v>
      </c>
      <c r="K10" s="300"/>
      <c r="L10" s="301" t="str">
        <f>+[4]Desagregado!O8</f>
        <v>---</v>
      </c>
      <c r="M10" s="588">
        <f t="shared" ref="M10:M28" si="3">SUM(N10:O10)</f>
        <v>3773.801504</v>
      </c>
      <c r="N10" s="300">
        <f>+[4]Desagregado!E52+[4]Desagregado!K52+[4]Desagregado!H52</f>
        <v>1396.9631319999999</v>
      </c>
      <c r="O10" s="303">
        <f>+[4]Desagregado!F52+[4]Desagregado!L52+[4]Desagregado!I52</f>
        <v>2376.8383720000002</v>
      </c>
      <c r="W10" s="589"/>
      <c r="X10" s="590"/>
      <c r="Y10" s="591"/>
    </row>
    <row r="11" spans="1:25" x14ac:dyDescent="0.2">
      <c r="B11" s="574">
        <v>1996</v>
      </c>
      <c r="C11" s="592">
        <f t="shared" si="0"/>
        <v>17279.812292999999</v>
      </c>
      <c r="D11" s="576">
        <f t="shared" si="1"/>
        <v>13323.572077999999</v>
      </c>
      <c r="E11" s="577">
        <f t="shared" si="1"/>
        <v>3955.8302150000004</v>
      </c>
      <c r="F11" s="578"/>
      <c r="G11" s="593">
        <f>+L11</f>
        <v>0.41</v>
      </c>
      <c r="H11" s="578">
        <f t="shared" si="2"/>
        <v>13307.577020999999</v>
      </c>
      <c r="I11" s="284">
        <f>+[4]Desagregado!E9+[4]Desagregado!M9+[4]Desagregado!J9</f>
        <v>11847.925377</v>
      </c>
      <c r="J11" s="284">
        <f>+[4]Desagregado!F9+[4]Desagregado!N9+[4]Desagregado!K9</f>
        <v>1459.2416440000002</v>
      </c>
      <c r="K11" s="284"/>
      <c r="L11" s="594">
        <f>[4]Desagregado!H9+[4]Desagregado!O9</f>
        <v>0.41</v>
      </c>
      <c r="M11" s="283">
        <f t="shared" si="3"/>
        <v>3972.2352720000004</v>
      </c>
      <c r="N11" s="284">
        <f>+[4]Desagregado!E53+[4]Desagregado!K53+[4]Desagregado!H53</f>
        <v>1475.6467010000001</v>
      </c>
      <c r="O11" s="288">
        <f>+[4]Desagregado!F53+[4]Desagregado!L53+[4]Desagregado!I53</f>
        <v>2496.5885710000002</v>
      </c>
      <c r="W11" s="589"/>
      <c r="X11" s="590"/>
      <c r="Y11" s="591"/>
    </row>
    <row r="12" spans="1:25" x14ac:dyDescent="0.2">
      <c r="B12" s="581">
        <v>1997</v>
      </c>
      <c r="C12" s="595">
        <f t="shared" si="0"/>
        <v>17953.407575000001</v>
      </c>
      <c r="D12" s="583">
        <f t="shared" si="1"/>
        <v>13214.529482000002</v>
      </c>
      <c r="E12" s="584">
        <f t="shared" si="1"/>
        <v>4738.3224370000007</v>
      </c>
      <c r="F12" s="585"/>
      <c r="G12" s="586">
        <f t="shared" ref="G12:G25" si="4">+L12</f>
        <v>0.55565599999999993</v>
      </c>
      <c r="H12" s="587">
        <f t="shared" si="2"/>
        <v>15348.556876000002</v>
      </c>
      <c r="I12" s="300">
        <f>+[4]Desagregado!E10+[4]Desagregado!M10+[4]Desagregado!J10</f>
        <v>12264.791790000001</v>
      </c>
      <c r="J12" s="300">
        <f>+[4]Desagregado!F10+[4]Desagregado!N10+[4]Desagregado!K10</f>
        <v>3083.2094300000008</v>
      </c>
      <c r="K12" s="300"/>
      <c r="L12" s="301">
        <f>[4]Desagregado!H10+[4]Desagregado!O10</f>
        <v>0.55565599999999993</v>
      </c>
      <c r="M12" s="588">
        <f t="shared" si="3"/>
        <v>2604.8506989999996</v>
      </c>
      <c r="N12" s="300">
        <f>+[4]Desagregado!E54+[4]Desagregado!K54+[4]Desagregado!H54</f>
        <v>949.73769199999992</v>
      </c>
      <c r="O12" s="303">
        <f>+[4]Desagregado!F54+[4]Desagregado!L54+[4]Desagregado!I54</f>
        <v>1655.1130069999999</v>
      </c>
      <c r="W12" s="589"/>
      <c r="X12" s="590"/>
      <c r="Y12" s="591"/>
    </row>
    <row r="13" spans="1:25" x14ac:dyDescent="0.2">
      <c r="B13" s="574">
        <v>1998</v>
      </c>
      <c r="C13" s="575">
        <f t="shared" si="0"/>
        <v>18582.538846000003</v>
      </c>
      <c r="D13" s="576">
        <f t="shared" si="1"/>
        <v>13808.285138000003</v>
      </c>
      <c r="E13" s="577">
        <f t="shared" si="1"/>
        <v>4773.7272680000005</v>
      </c>
      <c r="F13" s="578"/>
      <c r="G13" s="593">
        <f t="shared" si="4"/>
        <v>0.52644000000000002</v>
      </c>
      <c r="H13" s="580">
        <f t="shared" si="2"/>
        <v>16815.936847000004</v>
      </c>
      <c r="I13" s="284">
        <f>+[4]Desagregado!E11+[4]Desagregado!M11+[4]Desagregado!J11</f>
        <v>13367.193777000002</v>
      </c>
      <c r="J13" s="284">
        <f>+[4]Desagregado!F11+[4]Desagregado!N11+[4]Desagregado!K11</f>
        <v>3448.2166299999999</v>
      </c>
      <c r="K13" s="284"/>
      <c r="L13" s="292">
        <f>[4]Desagregado!H11+[4]Desagregado!O11</f>
        <v>0.52644000000000002</v>
      </c>
      <c r="M13" s="286">
        <f t="shared" si="3"/>
        <v>1766.6019990000002</v>
      </c>
      <c r="N13" s="284">
        <f>+[4]Desagregado!E55+[4]Desagregado!K55+[4]Desagregado!H55</f>
        <v>441.09136100000001</v>
      </c>
      <c r="O13" s="288">
        <f>+[4]Desagregado!F55+[4]Desagregado!L55+[4]Desagregado!I55</f>
        <v>1325.5106380000002</v>
      </c>
      <c r="W13" s="589"/>
      <c r="X13" s="590"/>
      <c r="Y13" s="591"/>
    </row>
    <row r="14" spans="1:25" x14ac:dyDescent="0.2">
      <c r="B14" s="581">
        <v>1999</v>
      </c>
      <c r="C14" s="595">
        <f t="shared" si="0"/>
        <v>19049.617396999998</v>
      </c>
      <c r="D14" s="583">
        <f t="shared" si="1"/>
        <v>14540.581285</v>
      </c>
      <c r="E14" s="584">
        <f t="shared" si="1"/>
        <v>4508.4115320000001</v>
      </c>
      <c r="F14" s="585"/>
      <c r="G14" s="586">
        <f t="shared" si="4"/>
        <v>0.62458000000000002</v>
      </c>
      <c r="H14" s="587">
        <f t="shared" si="2"/>
        <v>17366.221878</v>
      </c>
      <c r="I14" s="300">
        <f>+[4]Desagregado!E12+[4]Desagregado!M12+[4]Desagregado!J12</f>
        <v>14110.592026</v>
      </c>
      <c r="J14" s="300">
        <f>+[4]Desagregado!F12+[4]Desagregado!N12+[4]Desagregado!K12</f>
        <v>3255.0052719999999</v>
      </c>
      <c r="K14" s="300"/>
      <c r="L14" s="301">
        <f>[4]Desagregado!H12+[4]Desagregado!O12</f>
        <v>0.62458000000000002</v>
      </c>
      <c r="M14" s="588">
        <f t="shared" si="3"/>
        <v>1683.3955190000001</v>
      </c>
      <c r="N14" s="300">
        <f>+[4]Desagregado!E56+[4]Desagregado!K56+[4]Desagregado!H56</f>
        <v>429.98925900000006</v>
      </c>
      <c r="O14" s="303">
        <f>+[4]Desagregado!F56+[4]Desagregado!L56+[4]Desagregado!I56</f>
        <v>1253.40626</v>
      </c>
      <c r="W14" s="589"/>
      <c r="X14" s="590"/>
      <c r="Y14" s="591"/>
    </row>
    <row r="15" spans="1:25" x14ac:dyDescent="0.2">
      <c r="B15" s="574">
        <v>2000</v>
      </c>
      <c r="C15" s="592">
        <f t="shared" si="0"/>
        <v>19922.697338000002</v>
      </c>
      <c r="D15" s="576">
        <f t="shared" si="1"/>
        <v>16176.051366</v>
      </c>
      <c r="E15" s="577">
        <f t="shared" si="1"/>
        <v>3745.8002719999995</v>
      </c>
      <c r="F15" s="578"/>
      <c r="G15" s="593">
        <f t="shared" si="4"/>
        <v>0.84570000000000001</v>
      </c>
      <c r="H15" s="580">
        <f t="shared" si="2"/>
        <v>18327.897719000001</v>
      </c>
      <c r="I15" s="284">
        <f>+[4]Desagregado!E13+[4]Desagregado!M13+[4]Desagregado!J13</f>
        <v>15747.323264999999</v>
      </c>
      <c r="J15" s="284">
        <f>+[4]Desagregado!F13+[4]Desagregado!N13+[4]Desagregado!K13</f>
        <v>2579.7287539999998</v>
      </c>
      <c r="K15" s="284"/>
      <c r="L15" s="292">
        <f>[4]Desagregado!H13+[4]Desagregado!O13</f>
        <v>0.84570000000000001</v>
      </c>
      <c r="M15" s="286">
        <f t="shared" si="3"/>
        <v>1594.7996189999994</v>
      </c>
      <c r="N15" s="284">
        <f>+[4]Desagregado!E57+[4]Desagregado!K57+[4]Desagregado!H57</f>
        <v>428.72810099999998</v>
      </c>
      <c r="O15" s="288">
        <f>+[4]Desagregado!F57+[4]Desagregado!L57+[4]Desagregado!I57</f>
        <v>1166.0715179999995</v>
      </c>
      <c r="W15" s="589"/>
      <c r="X15" s="590"/>
      <c r="Y15" s="591"/>
    </row>
    <row r="16" spans="1:25" x14ac:dyDescent="0.2">
      <c r="B16" s="299">
        <v>2001</v>
      </c>
      <c r="C16" s="582">
        <f t="shared" ref="C16:C28" si="5">SUM(D16:G16)</f>
        <v>20785.725534999998</v>
      </c>
      <c r="D16" s="583">
        <f>(I16+N16)</f>
        <v>17614.760199999997</v>
      </c>
      <c r="E16" s="584">
        <f>(J16+O16)</f>
        <v>3169.7389349999999</v>
      </c>
      <c r="F16" s="585"/>
      <c r="G16" s="586">
        <f t="shared" si="4"/>
        <v>1.2264000000000002</v>
      </c>
      <c r="H16" s="587">
        <f t="shared" si="2"/>
        <v>19214.506641999997</v>
      </c>
      <c r="I16" s="300">
        <f>+[4]Desagregado!E16+[4]Desagregado!M16</f>
        <v>17188.330773999998</v>
      </c>
      <c r="J16" s="300">
        <f>+[4]Desagregado!F16+[4]Desagregado!N16</f>
        <v>2024.9494680000003</v>
      </c>
      <c r="K16" s="300"/>
      <c r="L16" s="301">
        <f>[4]Desagregado!H16+[4]Desagregado!O16</f>
        <v>1.2264000000000002</v>
      </c>
      <c r="M16" s="588">
        <f t="shared" si="3"/>
        <v>1571.2188929999998</v>
      </c>
      <c r="N16" s="300">
        <f>+[4]Desagregado!E60+[4]Desagregado!K60</f>
        <v>426.42942600000003</v>
      </c>
      <c r="O16" s="303">
        <f>+[4]Desagregado!F60+[4]Desagregado!L60</f>
        <v>1144.7894669999996</v>
      </c>
    </row>
    <row r="17" spans="1:27" x14ac:dyDescent="0.2">
      <c r="B17" s="289">
        <v>2002</v>
      </c>
      <c r="C17" s="592">
        <f t="shared" si="5"/>
        <v>21982.323172000008</v>
      </c>
      <c r="D17" s="576">
        <f t="shared" ref="D17:E29" si="6">SUM(I17,N17)</f>
        <v>18040.127915000005</v>
      </c>
      <c r="E17" s="577">
        <f t="shared" si="6"/>
        <v>3940.9688570000035</v>
      </c>
      <c r="F17" s="577"/>
      <c r="G17" s="596">
        <f t="shared" si="4"/>
        <v>1.2264000000000002</v>
      </c>
      <c r="H17" s="578">
        <f t="shared" si="2"/>
        <v>20419.508673000004</v>
      </c>
      <c r="I17" s="290">
        <f>+[4]Desagregado!E17+[4]Desagregado!M17</f>
        <v>17638.158238000004</v>
      </c>
      <c r="J17" s="290">
        <f>+[4]Desagregado!F17+[4]Desagregado!N17</f>
        <v>2780.1240350000003</v>
      </c>
      <c r="K17" s="290"/>
      <c r="L17" s="292">
        <f>[4]Desagregado!H17+[4]Desagregado!O17</f>
        <v>1.2264000000000002</v>
      </c>
      <c r="M17" s="286">
        <f t="shared" si="3"/>
        <v>1562.8144990000035</v>
      </c>
      <c r="N17" s="284">
        <f>+[4]Desagregado!E61+[4]Desagregado!K61</f>
        <v>401.9696770000001</v>
      </c>
      <c r="O17" s="288">
        <f>+[4]Desagregado!F61+[4]Desagregado!L61</f>
        <v>1160.8448220000034</v>
      </c>
      <c r="W17" s="589"/>
      <c r="X17" s="590"/>
      <c r="Y17" s="591"/>
    </row>
    <row r="18" spans="1:27" x14ac:dyDescent="0.2">
      <c r="B18" s="299">
        <v>2003</v>
      </c>
      <c r="C18" s="582">
        <f t="shared" si="5"/>
        <v>22923.353873999997</v>
      </c>
      <c r="D18" s="583">
        <f t="shared" si="6"/>
        <v>18533.720860999994</v>
      </c>
      <c r="E18" s="584">
        <f t="shared" si="6"/>
        <v>4388.4066130000028</v>
      </c>
      <c r="F18" s="584"/>
      <c r="G18" s="597">
        <f t="shared" si="4"/>
        <v>1.2264000000000002</v>
      </c>
      <c r="H18" s="585">
        <f t="shared" si="2"/>
        <v>21361.462929999994</v>
      </c>
      <c r="I18" s="302">
        <f>+[4]Desagregado!E18+[4]Desagregado!M18</f>
        <v>18118.333137999995</v>
      </c>
      <c r="J18" s="302">
        <f>+[4]Desagregado!F18+[4]Desagregado!N18</f>
        <v>3241.9033919999997</v>
      </c>
      <c r="K18" s="302"/>
      <c r="L18" s="301">
        <f>[4]Desagregado!H18+[4]Desagregado!O18</f>
        <v>1.2264000000000002</v>
      </c>
      <c r="M18" s="588">
        <f t="shared" si="3"/>
        <v>1561.8909440000034</v>
      </c>
      <c r="N18" s="300">
        <f>+[4]Desagregado!E62+[4]Desagregado!K62</f>
        <v>415.38772300000005</v>
      </c>
      <c r="O18" s="303">
        <f>+[4]Desagregado!F62+[4]Desagregado!L62</f>
        <v>1146.5032210000034</v>
      </c>
      <c r="W18" s="589"/>
      <c r="X18" s="590"/>
      <c r="Y18" s="591"/>
    </row>
    <row r="19" spans="1:27" x14ac:dyDescent="0.2">
      <c r="B19" s="289">
        <v>2004</v>
      </c>
      <c r="C19" s="592">
        <f t="shared" si="5"/>
        <v>24267.012071000005</v>
      </c>
      <c r="D19" s="576">
        <f t="shared" si="6"/>
        <v>17525.338961000005</v>
      </c>
      <c r="E19" s="577">
        <f t="shared" si="6"/>
        <v>6740.4467100000011</v>
      </c>
      <c r="F19" s="577"/>
      <c r="G19" s="596">
        <f t="shared" si="4"/>
        <v>1.2264000000000002</v>
      </c>
      <c r="H19" s="578">
        <f t="shared" si="2"/>
        <v>22619.938791000004</v>
      </c>
      <c r="I19" s="290">
        <f>+[4]Desagregado!E19+[4]Desagregado!M19</f>
        <v>17100.664633000004</v>
      </c>
      <c r="J19" s="290">
        <f>+[4]Desagregado!F19+[4]Desagregado!N19</f>
        <v>5518.0477580000006</v>
      </c>
      <c r="K19" s="290"/>
      <c r="L19" s="292">
        <f>[4]Desagregado!H19+[4]Desagregado!O19</f>
        <v>1.2264000000000002</v>
      </c>
      <c r="M19" s="286">
        <f t="shared" si="3"/>
        <v>1647.0732800000003</v>
      </c>
      <c r="N19" s="284">
        <f>+[4]Desagregado!E63+[4]Desagregado!K63</f>
        <v>424.674328</v>
      </c>
      <c r="O19" s="288">
        <f>+[4]Desagregado!F63+[4]Desagregado!L63</f>
        <v>1222.3989520000002</v>
      </c>
      <c r="W19" s="589"/>
      <c r="X19" s="590"/>
      <c r="Y19" s="591"/>
    </row>
    <row r="20" spans="1:27" x14ac:dyDescent="0.2">
      <c r="B20" s="299">
        <v>2005</v>
      </c>
      <c r="C20" s="582">
        <f t="shared" si="5"/>
        <v>25509.736815000004</v>
      </c>
      <c r="D20" s="583">
        <f t="shared" si="6"/>
        <v>17976.993336</v>
      </c>
      <c r="E20" s="584">
        <f t="shared" si="6"/>
        <v>7531.5170790000029</v>
      </c>
      <c r="F20" s="584"/>
      <c r="G20" s="597">
        <f t="shared" si="4"/>
        <v>1.2264000000000002</v>
      </c>
      <c r="H20" s="585">
        <f t="shared" si="2"/>
        <v>23810.874944792748</v>
      </c>
      <c r="I20" s="302">
        <f>+[4]Desagregado!E20+[4]Desagregado!M20</f>
        <v>17567.105377792748</v>
      </c>
      <c r="J20" s="302">
        <f>+[4]Desagregado!F20+[4]Desagregado!N20</f>
        <v>6242.5431669999998</v>
      </c>
      <c r="K20" s="302"/>
      <c r="L20" s="301">
        <f>[4]Desagregado!H20+[4]Desagregado!O20</f>
        <v>1.2264000000000002</v>
      </c>
      <c r="M20" s="588">
        <f t="shared" si="3"/>
        <v>1698.8618702072531</v>
      </c>
      <c r="N20" s="300">
        <f>+[4]Desagregado!E64+[4]Desagregado!K64</f>
        <v>409.88795820724977</v>
      </c>
      <c r="O20" s="303">
        <f>+[4]Desagregado!F64+[4]Desagregado!L64</f>
        <v>1288.9739120000033</v>
      </c>
      <c r="W20" s="589"/>
      <c r="X20" s="590"/>
      <c r="Y20" s="591"/>
    </row>
    <row r="21" spans="1:27" x14ac:dyDescent="0.2">
      <c r="B21" s="304">
        <v>2006</v>
      </c>
      <c r="C21" s="592">
        <f>SUM(D21:G21)</f>
        <v>27369.828727579996</v>
      </c>
      <c r="D21" s="576">
        <f t="shared" si="6"/>
        <v>19594.347163999995</v>
      </c>
      <c r="E21" s="577">
        <f t="shared" si="6"/>
        <v>7774.255163580001</v>
      </c>
      <c r="F21" s="577"/>
      <c r="G21" s="596">
        <f t="shared" si="4"/>
        <v>1.2264000000000002</v>
      </c>
      <c r="H21" s="578">
        <f t="shared" si="2"/>
        <v>25613.763789958582</v>
      </c>
      <c r="I21" s="290">
        <f>+[4]Desagregado!E21+[4]Desagregado!M21</f>
        <v>19160.751642958581</v>
      </c>
      <c r="J21" s="290">
        <f>+[4]Desagregado!F21+[4]Desagregado!N21</f>
        <v>6451.7857470000008</v>
      </c>
      <c r="K21" s="290"/>
      <c r="L21" s="292">
        <f>[4]Desagregado!H21+[4]Desagregado!O21</f>
        <v>1.2264000000000002</v>
      </c>
      <c r="M21" s="286">
        <f t="shared" si="3"/>
        <v>1756.0649376214139</v>
      </c>
      <c r="N21" s="284">
        <f>+[4]Desagregado!E65+[4]Desagregado!K65</f>
        <v>433.59552104141386</v>
      </c>
      <c r="O21" s="288">
        <f>+[4]Desagregado!F65+[4]Desagregado!L65</f>
        <v>1322.4694165800001</v>
      </c>
      <c r="W21" s="589"/>
      <c r="X21" s="590"/>
      <c r="Y21" s="591"/>
    </row>
    <row r="22" spans="1:27" x14ac:dyDescent="0.2">
      <c r="B22" s="330">
        <v>2007</v>
      </c>
      <c r="C22" s="595">
        <f t="shared" si="5"/>
        <v>29943.047142000003</v>
      </c>
      <c r="D22" s="583">
        <f t="shared" si="6"/>
        <v>19548.782020000002</v>
      </c>
      <c r="E22" s="583">
        <f t="shared" si="6"/>
        <v>10393.038722000001</v>
      </c>
      <c r="F22" s="583"/>
      <c r="G22" s="597">
        <f t="shared" si="4"/>
        <v>1.2264000000000002</v>
      </c>
      <c r="H22" s="585">
        <f t="shared" si="2"/>
        <v>28200.491090340001</v>
      </c>
      <c r="I22" s="302">
        <f>+[4]Desagregado!E22+[4]Desagregado!M22</f>
        <v>19107.193966340001</v>
      </c>
      <c r="J22" s="302">
        <f>+[4]Desagregado!F22+[4]Desagregado!N22</f>
        <v>9092.0707240000011</v>
      </c>
      <c r="K22" s="302"/>
      <c r="L22" s="301">
        <f>[4]Desagregado!H22+[4]Desagregado!O22</f>
        <v>1.2264000000000002</v>
      </c>
      <c r="M22" s="588">
        <f t="shared" si="3"/>
        <v>1742.5560516600003</v>
      </c>
      <c r="N22" s="300">
        <f>+[4]Desagregado!E66+[4]Desagregado!K66</f>
        <v>441.58805366000001</v>
      </c>
      <c r="O22" s="303">
        <f>+[4]Desagregado!F66+[4]Desagregado!L66</f>
        <v>1300.9679980000003</v>
      </c>
      <c r="W22" s="589"/>
      <c r="X22" s="590"/>
      <c r="Y22" s="591"/>
    </row>
    <row r="23" spans="1:27" x14ac:dyDescent="0.2">
      <c r="B23" s="327">
        <v>2008</v>
      </c>
      <c r="C23" s="598">
        <f t="shared" si="5"/>
        <v>32463.106282999997</v>
      </c>
      <c r="D23" s="599">
        <f t="shared" si="6"/>
        <v>19059.617748999997</v>
      </c>
      <c r="E23" s="599">
        <f t="shared" si="6"/>
        <v>13402.262134000001</v>
      </c>
      <c r="F23" s="599"/>
      <c r="G23" s="600">
        <f t="shared" si="4"/>
        <v>1.2264000000000004</v>
      </c>
      <c r="H23" s="601">
        <f t="shared" si="2"/>
        <v>30574.711255999999</v>
      </c>
      <c r="I23" s="298">
        <f>+[4]Desagregado!E23+[4]Desagregado!M23</f>
        <v>18607.792106999997</v>
      </c>
      <c r="J23" s="298">
        <f>+[4]Desagregado!F23+[4]Desagregado!N23</f>
        <v>11965.692749000002</v>
      </c>
      <c r="K23" s="298"/>
      <c r="L23" s="297">
        <f>[4]Desagregado!H23+[4]Desagregado!O23</f>
        <v>1.2264000000000004</v>
      </c>
      <c r="M23" s="421">
        <f t="shared" si="3"/>
        <v>1888.3950269999998</v>
      </c>
      <c r="N23" s="296">
        <f>+[4]Desagregado!E67+[4]Desagregado!K67</f>
        <v>451.82564200000002</v>
      </c>
      <c r="O23" s="306">
        <f>+[4]Desagregado!F67+[4]Desagregado!L67</f>
        <v>1436.5693849999998</v>
      </c>
      <c r="W23" s="589"/>
      <c r="X23" s="590"/>
      <c r="Y23" s="591"/>
    </row>
    <row r="24" spans="1:27" x14ac:dyDescent="0.2">
      <c r="B24" s="330">
        <v>2009</v>
      </c>
      <c r="C24" s="595">
        <f t="shared" si="5"/>
        <v>32944.735820999995</v>
      </c>
      <c r="D24" s="583">
        <f t="shared" si="6"/>
        <v>19903.776404</v>
      </c>
      <c r="E24" s="583">
        <f t="shared" si="6"/>
        <v>13039.733016999999</v>
      </c>
      <c r="F24" s="583"/>
      <c r="G24" s="597">
        <f t="shared" si="4"/>
        <v>1.2264000000000002</v>
      </c>
      <c r="H24" s="585">
        <f t="shared" si="2"/>
        <v>30921.902782999998</v>
      </c>
      <c r="I24" s="302">
        <f>+[4]Desagregado!E24+[4]Desagregado!M24</f>
        <v>19419.221612000001</v>
      </c>
      <c r="J24" s="302">
        <f>+[4]Desagregado!F24+[4]Desagregado!N24</f>
        <v>11501.454770999999</v>
      </c>
      <c r="K24" s="302"/>
      <c r="L24" s="301">
        <f>[4]Desagregado!H24+[4]Desagregado!O24</f>
        <v>1.2264000000000002</v>
      </c>
      <c r="M24" s="588">
        <f t="shared" si="3"/>
        <v>2022.8330380000002</v>
      </c>
      <c r="N24" s="300">
        <f>+[4]Desagregado!E68+[4]Desagregado!K68</f>
        <v>484.55479200000008</v>
      </c>
      <c r="O24" s="303">
        <f>+[4]Desagregado!F68+[4]Desagregado!L68</f>
        <v>1538.2782460000001</v>
      </c>
      <c r="W24" s="589"/>
      <c r="X24" s="590"/>
      <c r="Y24" s="591"/>
    </row>
    <row r="25" spans="1:27" x14ac:dyDescent="0.2">
      <c r="B25" s="327">
        <v>2010</v>
      </c>
      <c r="C25" s="598">
        <f t="shared" si="5"/>
        <v>35908.007941199998</v>
      </c>
      <c r="D25" s="599">
        <f t="shared" si="6"/>
        <v>20052.129280199999</v>
      </c>
      <c r="E25" s="599">
        <f t="shared" si="6"/>
        <v>15854.652260999999</v>
      </c>
      <c r="F25" s="599"/>
      <c r="G25" s="600">
        <f t="shared" si="4"/>
        <v>1.2264000000000002</v>
      </c>
      <c r="H25" s="601">
        <f t="shared" si="2"/>
        <v>33545.815807199993</v>
      </c>
      <c r="I25" s="298">
        <f>+[4]Desagregado!E25+[4]Desagregado!M25</f>
        <v>19567.404609199999</v>
      </c>
      <c r="J25" s="296">
        <f>+[4]Desagregado!F25+[4]Desagregado!N25</f>
        <v>13977.184797999998</v>
      </c>
      <c r="K25" s="296"/>
      <c r="L25" s="297">
        <f>[4]Desagregado!H25+[4]Desagregado!O25</f>
        <v>1.2264000000000002</v>
      </c>
      <c r="M25" s="421">
        <f t="shared" si="3"/>
        <v>2362.1921339999999</v>
      </c>
      <c r="N25" s="296">
        <f>+[4]Desagregado!E69+[4]Desagregado!K69</f>
        <v>484.72467099999994</v>
      </c>
      <c r="O25" s="306">
        <f>+[4]Desagregado!F69+[4]Desagregado!L69</f>
        <v>1877.467463</v>
      </c>
      <c r="S25" s="157" t="s">
        <v>186</v>
      </c>
      <c r="T25" s="157" t="s">
        <v>187</v>
      </c>
      <c r="U25" s="602" t="s">
        <v>184</v>
      </c>
      <c r="V25" s="603" t="s">
        <v>185</v>
      </c>
      <c r="W25" s="589"/>
      <c r="X25" s="590"/>
      <c r="Y25" s="591"/>
    </row>
    <row r="26" spans="1:27" s="162" customFormat="1" x14ac:dyDescent="0.2">
      <c r="B26" s="330">
        <v>2011</v>
      </c>
      <c r="C26" s="595">
        <f t="shared" si="5"/>
        <v>38806.461244008911</v>
      </c>
      <c r="D26" s="583">
        <f t="shared" si="6"/>
        <v>21557.326716785243</v>
      </c>
      <c r="E26" s="583">
        <f t="shared" si="6"/>
        <v>17247.908127223669</v>
      </c>
      <c r="F26" s="583"/>
      <c r="G26" s="597">
        <f>+L26</f>
        <v>1.2264000000000004</v>
      </c>
      <c r="H26" s="585">
        <f>SUM(I26:L26)</f>
        <v>36248.532290235242</v>
      </c>
      <c r="I26" s="302">
        <f>+[4]Desagregado!E26+[4]Desagregado!M26</f>
        <v>21027.418404235243</v>
      </c>
      <c r="J26" s="300">
        <f>+[4]Desagregado!F26+[4]Desagregado!N26</f>
        <v>15219.887485999998</v>
      </c>
      <c r="K26" s="300"/>
      <c r="L26" s="301">
        <f>[4]Desagregado!H26+[4]Desagregado!O26</f>
        <v>1.2264000000000004</v>
      </c>
      <c r="M26" s="588">
        <f>SUM(N26:O26)</f>
        <v>2557.9289537736718</v>
      </c>
      <c r="N26" s="300">
        <f>+[4]Desagregado!E70+[4]Desagregado!K70</f>
        <v>529.90831255000001</v>
      </c>
      <c r="O26" s="303">
        <f>+[4]Desagregado!F70+[4]Desagregado!L70</f>
        <v>2028.0206412236719</v>
      </c>
      <c r="R26" s="157">
        <v>1995</v>
      </c>
      <c r="S26" s="201">
        <f t="shared" ref="S26:T46" si="7">D10</f>
        <v>12937.553461</v>
      </c>
      <c r="T26" s="201">
        <f t="shared" si="7"/>
        <v>3942.5611400000003</v>
      </c>
      <c r="U26" s="157"/>
      <c r="W26" s="589"/>
      <c r="X26" s="590"/>
      <c r="Y26" s="591"/>
      <c r="Z26" s="337"/>
      <c r="AA26" s="337"/>
    </row>
    <row r="27" spans="1:27" s="162" customFormat="1" x14ac:dyDescent="0.2">
      <c r="B27" s="327">
        <v>2012</v>
      </c>
      <c r="C27" s="598">
        <f t="shared" si="5"/>
        <v>41035.983073207899</v>
      </c>
      <c r="D27" s="599">
        <f t="shared" si="6"/>
        <v>22031.93804599997</v>
      </c>
      <c r="E27" s="599">
        <f t="shared" si="6"/>
        <v>18943.135640407931</v>
      </c>
      <c r="F27" s="600">
        <f>+K27</f>
        <v>59.682986800000002</v>
      </c>
      <c r="G27" s="600">
        <f>+L27</f>
        <v>1.2264000000000002</v>
      </c>
      <c r="H27" s="601">
        <f t="shared" si="2"/>
        <v>38361.029340799949</v>
      </c>
      <c r="I27" s="298">
        <f>+[4]Desagregado!E27+[4]Desagregado!M27</f>
        <v>21490.80766299997</v>
      </c>
      <c r="J27" s="296">
        <f>+[4]Desagregado!F27+[4]Desagregado!N27</f>
        <v>16809.312290999984</v>
      </c>
      <c r="K27" s="296">
        <f>+[4]Desagregado!G27</f>
        <v>59.682986800000002</v>
      </c>
      <c r="L27" s="297">
        <f>[4]Desagregado!H27+[4]Desagregado!O27</f>
        <v>1.2264000000000002</v>
      </c>
      <c r="M27" s="421">
        <f t="shared" si="3"/>
        <v>2674.9537324079465</v>
      </c>
      <c r="N27" s="296">
        <f>+[4]Desagregado!E71+[4]Desagregado!K71</f>
        <v>541.13038300000005</v>
      </c>
      <c r="O27" s="306">
        <f>+[4]Desagregado!F71+[4]Desagregado!L71</f>
        <v>2133.8233494079464</v>
      </c>
      <c r="R27" s="157">
        <v>1996</v>
      </c>
      <c r="S27" s="201">
        <f t="shared" si="7"/>
        <v>13323.572077999999</v>
      </c>
      <c r="T27" s="201">
        <f t="shared" si="7"/>
        <v>3955.8302150000004</v>
      </c>
      <c r="U27" s="157"/>
      <c r="W27" s="589"/>
      <c r="X27" s="590"/>
      <c r="Y27" s="591"/>
      <c r="Z27" s="337"/>
      <c r="AA27" s="337"/>
    </row>
    <row r="28" spans="1:27" s="162" customFormat="1" x14ac:dyDescent="0.2">
      <c r="B28" s="330">
        <v>2013</v>
      </c>
      <c r="C28" s="595">
        <f t="shared" si="5"/>
        <v>43330.17796048538</v>
      </c>
      <c r="D28" s="583">
        <f t="shared" si="6"/>
        <v>22319.562549983006</v>
      </c>
      <c r="E28" s="583">
        <f t="shared" si="6"/>
        <v>20812.461130502368</v>
      </c>
      <c r="F28" s="597">
        <f>+K28</f>
        <v>196.92788000000002</v>
      </c>
      <c r="G28" s="597">
        <f>+L28</f>
        <v>1.2264000000000002</v>
      </c>
      <c r="H28" s="585">
        <f t="shared" si="2"/>
        <v>40664.666419178968</v>
      </c>
      <c r="I28" s="302">
        <f>+[4]Desagregado!E28+[4]Desagregado!M28</f>
        <v>21709.384683427139</v>
      </c>
      <c r="J28" s="300">
        <f>+[4]Desagregado!F28+[4]Desagregado!N28</f>
        <v>18757.127455751826</v>
      </c>
      <c r="K28" s="300">
        <f>+[4]Desagregado!G28</f>
        <v>196.92788000000002</v>
      </c>
      <c r="L28" s="301">
        <f>[4]Desagregado!H28+[4]Desagregado!O28</f>
        <v>1.2264000000000002</v>
      </c>
      <c r="M28" s="588">
        <f t="shared" si="3"/>
        <v>2665.5115413064063</v>
      </c>
      <c r="N28" s="300">
        <f>+[4]Desagregado!E72+[4]Desagregado!K72</f>
        <v>610.17786655586588</v>
      </c>
      <c r="O28" s="303">
        <f>+[4]Desagregado!F72+[4]Desagregado!L72</f>
        <v>2055.3336747505405</v>
      </c>
      <c r="R28" s="157">
        <v>1997</v>
      </c>
      <c r="S28" s="201">
        <f t="shared" si="7"/>
        <v>13214.529482000002</v>
      </c>
      <c r="T28" s="201">
        <f t="shared" si="7"/>
        <v>4738.3224370000007</v>
      </c>
      <c r="U28" s="157"/>
      <c r="W28" s="589"/>
      <c r="X28" s="590"/>
      <c r="Y28" s="591"/>
      <c r="Z28" s="337"/>
      <c r="AA28" s="337"/>
    </row>
    <row r="29" spans="1:27" s="162" customFormat="1" x14ac:dyDescent="0.2">
      <c r="B29" s="327">
        <v>2014</v>
      </c>
      <c r="C29" s="598">
        <f>SUM(D29:G29)</f>
        <v>45549.819572254804</v>
      </c>
      <c r="D29" s="599">
        <f t="shared" si="6"/>
        <v>22210.659487894649</v>
      </c>
      <c r="E29" s="599">
        <f t="shared" si="6"/>
        <v>22882.315829837717</v>
      </c>
      <c r="F29" s="600">
        <f>+K29</f>
        <v>199.30359694553749</v>
      </c>
      <c r="G29" s="600">
        <f>+L29</f>
        <v>257.5406575769008</v>
      </c>
      <c r="H29" s="601">
        <f>SUM(I29:L29)</f>
        <v>42846.247729121009</v>
      </c>
      <c r="I29" s="298">
        <f>+[4]Desagregado!E29+[4]Desagregado!M29</f>
        <v>21610.924675940143</v>
      </c>
      <c r="J29" s="296">
        <f>+[4]Desagregado!F29+[4]Desagregado!N29</f>
        <v>20778.478798658423</v>
      </c>
      <c r="K29" s="296">
        <f>+[4]Desagregado!G29</f>
        <v>199.30359694553749</v>
      </c>
      <c r="L29" s="297">
        <f>[4]Desagregado!H29+[4]Desagregado!O29</f>
        <v>257.5406575769008</v>
      </c>
      <c r="M29" s="421">
        <f>SUM(N29:O29)</f>
        <v>2703.5718431337973</v>
      </c>
      <c r="N29" s="296">
        <f>+[4]Desagregado!E73+[4]Desagregado!K73</f>
        <v>599.73481195450518</v>
      </c>
      <c r="O29" s="306">
        <f>+[4]Desagregado!F73+[4]Desagregado!L73</f>
        <v>2103.8370311792924</v>
      </c>
      <c r="R29" s="157">
        <v>1998</v>
      </c>
      <c r="S29" s="201">
        <f t="shared" si="7"/>
        <v>13808.285138000003</v>
      </c>
      <c r="T29" s="201">
        <f t="shared" si="7"/>
        <v>4773.7272680000005</v>
      </c>
      <c r="U29" s="157"/>
      <c r="W29" s="589"/>
      <c r="X29" s="590"/>
      <c r="Y29" s="591"/>
      <c r="Z29" s="337"/>
      <c r="AA29" s="337"/>
    </row>
    <row r="30" spans="1:27" s="162" customFormat="1" x14ac:dyDescent="0.2">
      <c r="B30" s="330" t="s">
        <v>136</v>
      </c>
      <c r="C30" s="595">
        <f>SUM(D30:G30)</f>
        <v>48066.217187897979</v>
      </c>
      <c r="D30" s="583">
        <f>SUM(I30,N30)</f>
        <v>23300.59286291938</v>
      </c>
      <c r="E30" s="583">
        <f>SUM(J30,O30)</f>
        <v>23932.820424744084</v>
      </c>
      <c r="F30" s="597">
        <f>+K30</f>
        <v>230.435323711</v>
      </c>
      <c r="G30" s="597">
        <f>+L30</f>
        <v>602.36857652351034</v>
      </c>
      <c r="H30" s="585">
        <f>SUM(I30:L30)</f>
        <v>45546.498578915438</v>
      </c>
      <c r="I30" s="302">
        <f>+[4]Desagregado!E30+[4]Desagregado!M30</f>
        <v>22710.260628688739</v>
      </c>
      <c r="J30" s="300">
        <f>+[4]Desagregado!F30+[4]Desagregado!N30</f>
        <v>22003.434049992189</v>
      </c>
      <c r="K30" s="300">
        <f>+[4]Desagregado!G30</f>
        <v>230.435323711</v>
      </c>
      <c r="L30" s="301">
        <f>[4]Desagregado!H30+[4]Desagregado!O30</f>
        <v>602.36857652351034</v>
      </c>
      <c r="M30" s="588">
        <f>SUM(N30:O30)</f>
        <v>2519.7186089825373</v>
      </c>
      <c r="N30" s="300">
        <f>+[4]Desagregado!E74+[4]Desagregado!K74</f>
        <v>590.33223423064067</v>
      </c>
      <c r="O30" s="303">
        <f>+[4]Desagregado!F74+[4]Desagregado!L74</f>
        <v>1929.3863747518965</v>
      </c>
      <c r="R30" s="157">
        <v>1999</v>
      </c>
      <c r="S30" s="201">
        <f t="shared" si="7"/>
        <v>14540.581285</v>
      </c>
      <c r="T30" s="201">
        <f t="shared" si="7"/>
        <v>4508.4115320000001</v>
      </c>
      <c r="U30" s="157"/>
      <c r="V30" s="157"/>
      <c r="W30" s="589"/>
      <c r="X30" s="590"/>
      <c r="Y30" s="591"/>
      <c r="Z30" s="337"/>
      <c r="AA30" s="337"/>
    </row>
    <row r="31" spans="1:27" s="602" customFormat="1" ht="13.5" thickBot="1" x14ac:dyDescent="0.25">
      <c r="A31" s="162"/>
      <c r="B31" s="327"/>
      <c r="C31" s="598"/>
      <c r="D31" s="599"/>
      <c r="E31" s="599"/>
      <c r="F31" s="599"/>
      <c r="G31" s="600"/>
      <c r="H31" s="601"/>
      <c r="I31" s="298"/>
      <c r="J31" s="296"/>
      <c r="K31" s="296"/>
      <c r="L31" s="297"/>
      <c r="M31" s="421"/>
      <c r="N31" s="296"/>
      <c r="O31" s="306"/>
      <c r="R31" s="157">
        <v>2000</v>
      </c>
      <c r="S31" s="201">
        <f t="shared" si="7"/>
        <v>16176.051366</v>
      </c>
      <c r="T31" s="201">
        <f t="shared" si="7"/>
        <v>3745.8002719999995</v>
      </c>
      <c r="U31" s="157"/>
      <c r="V31" s="157"/>
      <c r="W31" s="589"/>
      <c r="X31" s="590"/>
      <c r="Y31" s="591"/>
      <c r="Z31" s="337"/>
      <c r="AA31" s="337"/>
    </row>
    <row r="32" spans="1:27" ht="12.75" customHeight="1" x14ac:dyDescent="0.2">
      <c r="B32" s="604" t="s">
        <v>137</v>
      </c>
      <c r="C32" s="605">
        <f>+C30/C29-1</f>
        <v>5.5244952433926908E-2</v>
      </c>
      <c r="D32" s="606">
        <f t="shared" ref="D32:E32" si="8">+D30/D29-1</f>
        <v>4.907253544716994E-2</v>
      </c>
      <c r="E32" s="607">
        <f t="shared" si="8"/>
        <v>4.5909015622297655E-2</v>
      </c>
      <c r="F32" s="606">
        <f t="shared" ref="E32:J32" si="9">(F30/F29)-1</f>
        <v>0.15620253343430468</v>
      </c>
      <c r="G32" s="608">
        <f t="shared" si="9"/>
        <v>1.3389261415691038</v>
      </c>
      <c r="H32" s="605">
        <f t="shared" ref="H32:J32" si="10">+H30/H29-1</f>
        <v>6.3021874561005387E-2</v>
      </c>
      <c r="I32" s="609">
        <f t="shared" si="10"/>
        <v>5.0869454650059875E-2</v>
      </c>
      <c r="J32" s="607">
        <f t="shared" si="10"/>
        <v>5.8953076555963158E-2</v>
      </c>
      <c r="K32" s="401"/>
      <c r="L32" s="610"/>
      <c r="M32" s="605">
        <f t="shared" ref="M32:O32" si="11">+M30/M29-1</f>
        <v>-6.800382783175829E-2</v>
      </c>
      <c r="N32" s="609">
        <f t="shared" si="11"/>
        <v>-1.5677892189085996E-2</v>
      </c>
      <c r="O32" s="607">
        <f t="shared" si="11"/>
        <v>-8.2920232813664563E-2</v>
      </c>
      <c r="R32" s="157">
        <v>2001</v>
      </c>
      <c r="S32" s="201">
        <f t="shared" si="7"/>
        <v>17614.760199999997</v>
      </c>
      <c r="T32" s="201">
        <f t="shared" si="7"/>
        <v>3169.7389349999999</v>
      </c>
    </row>
    <row r="33" spans="2:26" ht="12.75" customHeight="1" x14ac:dyDescent="0.2">
      <c r="B33" s="611" t="s">
        <v>138</v>
      </c>
      <c r="C33" s="612">
        <f>((C30/C25)^(1/5))-1</f>
        <v>6.005824039919494E-2</v>
      </c>
      <c r="D33" s="613">
        <f t="shared" ref="D33:E33" si="12">((D30/D25)^(1/5))-1</f>
        <v>3.0484099845448087E-2</v>
      </c>
      <c r="E33" s="614">
        <f t="shared" si="12"/>
        <v>8.5843990707806794E-2</v>
      </c>
      <c r="F33" s="615" t="s">
        <v>109</v>
      </c>
      <c r="G33" s="616" t="s">
        <v>109</v>
      </c>
      <c r="H33" s="612">
        <f t="shared" ref="H33:J33" si="13">((H30/H25)^(1/5))-1</f>
        <v>6.3073586300502082E-2</v>
      </c>
      <c r="I33" s="613">
        <f t="shared" si="13"/>
        <v>3.023850752811108E-2</v>
      </c>
      <c r="J33" s="614">
        <f t="shared" si="13"/>
        <v>9.5000082129933494E-2</v>
      </c>
      <c r="K33" s="617"/>
      <c r="L33" s="618"/>
      <c r="M33" s="612">
        <f t="shared" ref="M33:O33" si="14">((M30/M25)^(1/5))-1</f>
        <v>1.2995147257457873E-2</v>
      </c>
      <c r="N33" s="613">
        <f t="shared" si="14"/>
        <v>4.0208203967696088E-2</v>
      </c>
      <c r="O33" s="614">
        <f t="shared" si="14"/>
        <v>5.4705566000561312E-3</v>
      </c>
      <c r="R33" s="157">
        <v>2002</v>
      </c>
      <c r="S33" s="201">
        <f t="shared" si="7"/>
        <v>18040.127915000005</v>
      </c>
      <c r="T33" s="201">
        <f t="shared" si="7"/>
        <v>3940.9688570000035</v>
      </c>
    </row>
    <row r="34" spans="2:26" ht="12.75" customHeight="1" x14ac:dyDescent="0.2">
      <c r="B34" s="619" t="s">
        <v>144</v>
      </c>
      <c r="C34" s="620">
        <f>(C30/C20)-1</f>
        <v>0.8842302269318012</v>
      </c>
      <c r="D34" s="621">
        <f t="shared" ref="D34:E34" si="15">(D30/D20)-1</f>
        <v>0.29613403239453606</v>
      </c>
      <c r="E34" s="622">
        <f t="shared" si="15"/>
        <v>2.1776891924570614</v>
      </c>
      <c r="F34" s="623" t="s">
        <v>109</v>
      </c>
      <c r="G34" s="624" t="s">
        <v>109</v>
      </c>
      <c r="H34" s="620">
        <f t="shared" ref="H34:J34" si="16">(H30/H20)-1</f>
        <v>0.91284439083058988</v>
      </c>
      <c r="I34" s="621">
        <f t="shared" si="16"/>
        <v>0.29277192458796608</v>
      </c>
      <c r="J34" s="622">
        <f t="shared" si="16"/>
        <v>2.5247548092753442</v>
      </c>
      <c r="K34" s="617"/>
      <c r="L34" s="618"/>
      <c r="M34" s="620">
        <f t="shared" ref="M34:O34" si="17">(M30/M20)-1</f>
        <v>0.48318038868877755</v>
      </c>
      <c r="N34" s="621">
        <f t="shared" si="17"/>
        <v>0.44022829265980468</v>
      </c>
      <c r="O34" s="622">
        <f t="shared" si="17"/>
        <v>0.49683896376010717</v>
      </c>
      <c r="R34" s="157">
        <v>2003</v>
      </c>
      <c r="S34" s="201">
        <f t="shared" si="7"/>
        <v>18533.720860999994</v>
      </c>
      <c r="T34" s="201">
        <f t="shared" si="7"/>
        <v>4388.4066130000028</v>
      </c>
    </row>
    <row r="35" spans="2:26" ht="12.75" customHeight="1" thickBot="1" x14ac:dyDescent="0.25">
      <c r="B35" s="625" t="s">
        <v>140</v>
      </c>
      <c r="C35" s="626">
        <f>((C30/C20)^(1/10))-1</f>
        <v>6.5401727527485187E-2</v>
      </c>
      <c r="D35" s="627">
        <f t="shared" ref="D35:E35" si="18">((D30/D20)^(1/10))-1</f>
        <v>2.6277934371025102E-2</v>
      </c>
      <c r="E35" s="628">
        <f t="shared" si="18"/>
        <v>0.12256408055632328</v>
      </c>
      <c r="F35" s="629" t="s">
        <v>109</v>
      </c>
      <c r="G35" s="630" t="s">
        <v>109</v>
      </c>
      <c r="H35" s="626">
        <f t="shared" ref="H35:J35" si="19">((H30/H20)^(1/10))-1</f>
        <v>6.7008708990692112E-2</v>
      </c>
      <c r="I35" s="627">
        <f t="shared" si="19"/>
        <v>2.6011411678174889E-2</v>
      </c>
      <c r="J35" s="628">
        <f t="shared" si="19"/>
        <v>0.13426071650964477</v>
      </c>
      <c r="K35" s="617"/>
      <c r="L35" s="618"/>
      <c r="M35" s="626">
        <f t="shared" ref="M35:O35" si="20">((M30/M20)^(1/10))-1</f>
        <v>4.020610285845394E-2</v>
      </c>
      <c r="N35" s="627">
        <f t="shared" si="20"/>
        <v>3.7153730582515143E-2</v>
      </c>
      <c r="O35" s="628">
        <f t="shared" si="20"/>
        <v>4.1160079661088478E-2</v>
      </c>
      <c r="R35" s="157">
        <v>2004</v>
      </c>
      <c r="S35" s="201">
        <f t="shared" si="7"/>
        <v>17525.338961000005</v>
      </c>
      <c r="T35" s="201">
        <f t="shared" si="7"/>
        <v>6740.4467100000011</v>
      </c>
    </row>
    <row r="36" spans="2:26" ht="8.25" customHeight="1" x14ac:dyDescent="0.2">
      <c r="B36" s="631"/>
      <c r="C36" s="617"/>
      <c r="D36" s="617"/>
      <c r="E36" s="617"/>
      <c r="F36" s="617"/>
      <c r="G36" s="618"/>
      <c r="H36" s="617"/>
      <c r="I36" s="617"/>
      <c r="J36" s="617"/>
      <c r="K36" s="617"/>
      <c r="L36" s="618"/>
      <c r="M36" s="617"/>
      <c r="N36" s="617"/>
      <c r="O36" s="617"/>
      <c r="R36" s="157">
        <v>2005</v>
      </c>
      <c r="S36" s="201">
        <f t="shared" si="7"/>
        <v>17976.993336</v>
      </c>
      <c r="T36" s="201">
        <f t="shared" si="7"/>
        <v>7531.5170790000029</v>
      </c>
    </row>
    <row r="37" spans="2:26" x14ac:dyDescent="0.2">
      <c r="B37" s="464" t="s">
        <v>323</v>
      </c>
      <c r="C37" s="632"/>
      <c r="K37" s="162"/>
      <c r="R37" s="157">
        <v>2006</v>
      </c>
      <c r="S37" s="201">
        <f t="shared" si="7"/>
        <v>19594.347163999995</v>
      </c>
      <c r="T37" s="201">
        <f t="shared" si="7"/>
        <v>7774.255163580001</v>
      </c>
    </row>
    <row r="38" spans="2:26" x14ac:dyDescent="0.2">
      <c r="B38" s="319"/>
      <c r="C38" s="632"/>
      <c r="K38" s="162"/>
      <c r="R38" s="216">
        <v>2007</v>
      </c>
      <c r="S38" s="201">
        <f t="shared" si="7"/>
        <v>19548.782020000002</v>
      </c>
      <c r="T38" s="201">
        <f t="shared" si="7"/>
        <v>10393.038722000001</v>
      </c>
    </row>
    <row r="39" spans="2:26" x14ac:dyDescent="0.2">
      <c r="B39" s="349"/>
      <c r="C39" s="632"/>
      <c r="R39" s="157">
        <v>2008</v>
      </c>
      <c r="S39" s="201">
        <f t="shared" si="7"/>
        <v>19059.617748999997</v>
      </c>
      <c r="T39" s="201">
        <f t="shared" si="7"/>
        <v>13402.262134000001</v>
      </c>
    </row>
    <row r="40" spans="2:26" x14ac:dyDescent="0.2">
      <c r="B40" s="319"/>
      <c r="R40" s="157">
        <v>2009</v>
      </c>
      <c r="S40" s="201">
        <f t="shared" si="7"/>
        <v>19903.776404</v>
      </c>
      <c r="T40" s="201">
        <f t="shared" si="7"/>
        <v>13039.733016999999</v>
      </c>
    </row>
    <row r="41" spans="2:26" x14ac:dyDescent="0.2">
      <c r="R41" s="157">
        <v>2010</v>
      </c>
      <c r="S41" s="201">
        <f t="shared" si="7"/>
        <v>20052.129280199999</v>
      </c>
      <c r="T41" s="201">
        <f t="shared" si="7"/>
        <v>15854.652260999999</v>
      </c>
    </row>
    <row r="42" spans="2:26" x14ac:dyDescent="0.2">
      <c r="R42" s="157">
        <v>2011</v>
      </c>
      <c r="S42" s="201">
        <f t="shared" si="7"/>
        <v>21557.326716785243</v>
      </c>
      <c r="T42" s="201">
        <f t="shared" si="7"/>
        <v>17247.908127223669</v>
      </c>
    </row>
    <row r="43" spans="2:26" x14ac:dyDescent="0.2">
      <c r="R43" s="157">
        <v>2012</v>
      </c>
      <c r="S43" s="201">
        <f t="shared" si="7"/>
        <v>22031.93804599997</v>
      </c>
      <c r="T43" s="201">
        <f t="shared" si="7"/>
        <v>18943.135640407931</v>
      </c>
      <c r="U43" s="201">
        <f>F27</f>
        <v>59.682986800000002</v>
      </c>
      <c r="V43" s="201"/>
    </row>
    <row r="44" spans="2:26" x14ac:dyDescent="0.2">
      <c r="R44" s="157">
        <v>2013</v>
      </c>
      <c r="S44" s="201">
        <f t="shared" si="7"/>
        <v>22319.562549983006</v>
      </c>
      <c r="T44" s="201">
        <f t="shared" si="7"/>
        <v>20812.461130502368</v>
      </c>
      <c r="U44" s="201">
        <f>F28</f>
        <v>196.92788000000002</v>
      </c>
      <c r="V44" s="201"/>
    </row>
    <row r="45" spans="2:26" x14ac:dyDescent="0.2">
      <c r="R45" s="157">
        <v>2014</v>
      </c>
      <c r="S45" s="201">
        <f t="shared" si="7"/>
        <v>22210.659487894649</v>
      </c>
      <c r="T45" s="201">
        <f t="shared" si="7"/>
        <v>22882.315829837717</v>
      </c>
      <c r="U45" s="201">
        <f>F29</f>
        <v>199.30359694553749</v>
      </c>
      <c r="V45" s="201">
        <f>G29</f>
        <v>257.5406575769008</v>
      </c>
    </row>
    <row r="46" spans="2:26" x14ac:dyDescent="0.2">
      <c r="R46" s="259" t="s">
        <v>136</v>
      </c>
      <c r="S46" s="201">
        <f t="shared" si="7"/>
        <v>23300.59286291938</v>
      </c>
      <c r="T46" s="201">
        <f t="shared" si="7"/>
        <v>23932.820424744084</v>
      </c>
      <c r="U46" s="201">
        <f>F30</f>
        <v>230.435323711</v>
      </c>
      <c r="V46" s="201">
        <f>G30</f>
        <v>602.36857652351034</v>
      </c>
    </row>
    <row r="48" spans="2:26" x14ac:dyDescent="0.2">
      <c r="W48" s="1380"/>
      <c r="X48" s="1380"/>
      <c r="Y48" s="1380"/>
      <c r="Z48" s="1380"/>
    </row>
    <row r="50" spans="2:26" x14ac:dyDescent="0.2">
      <c r="X50" s="633"/>
      <c r="Y50" s="633"/>
      <c r="Z50" s="633"/>
    </row>
    <row r="51" spans="2:26" x14ac:dyDescent="0.2">
      <c r="W51" s="338"/>
      <c r="X51" s="421"/>
      <c r="Y51" s="421"/>
      <c r="Z51" s="634"/>
    </row>
    <row r="52" spans="2:26" x14ac:dyDescent="0.2">
      <c r="S52" s="190" t="s">
        <v>231</v>
      </c>
      <c r="W52" s="338"/>
      <c r="X52" s="421"/>
      <c r="Y52" s="421"/>
      <c r="Z52" s="634"/>
    </row>
    <row r="53" spans="2:26" x14ac:dyDescent="0.2">
      <c r="S53" s="157" t="s">
        <v>186</v>
      </c>
      <c r="T53" s="157" t="s">
        <v>187</v>
      </c>
      <c r="U53" s="157" t="s">
        <v>184</v>
      </c>
      <c r="V53" s="157" t="s">
        <v>185</v>
      </c>
      <c r="W53" s="338"/>
      <c r="X53" s="421"/>
      <c r="Y53" s="421"/>
      <c r="Z53" s="634"/>
    </row>
    <row r="54" spans="2:26" x14ac:dyDescent="0.2">
      <c r="R54" s="157">
        <v>1995</v>
      </c>
      <c r="S54" s="201">
        <f t="shared" ref="S54:T73" si="21">I10</f>
        <v>11540.590328999999</v>
      </c>
      <c r="T54" s="201">
        <f t="shared" si="21"/>
        <v>1565.7227680000001</v>
      </c>
    </row>
    <row r="55" spans="2:26" x14ac:dyDescent="0.2">
      <c r="R55" s="157">
        <v>1996</v>
      </c>
      <c r="S55" s="201">
        <f t="shared" si="21"/>
        <v>11847.925377</v>
      </c>
      <c r="T55" s="201">
        <f t="shared" si="21"/>
        <v>1459.2416440000002</v>
      </c>
    </row>
    <row r="56" spans="2:26" x14ac:dyDescent="0.2">
      <c r="R56" s="157">
        <v>1997</v>
      </c>
      <c r="S56" s="201">
        <f t="shared" si="21"/>
        <v>12264.791790000001</v>
      </c>
      <c r="T56" s="201">
        <f t="shared" si="21"/>
        <v>3083.2094300000008</v>
      </c>
    </row>
    <row r="57" spans="2:26" x14ac:dyDescent="0.2">
      <c r="R57" s="157">
        <v>1998</v>
      </c>
      <c r="S57" s="201">
        <f t="shared" si="21"/>
        <v>13367.193777000002</v>
      </c>
      <c r="T57" s="201">
        <f t="shared" si="21"/>
        <v>3448.2166299999999</v>
      </c>
    </row>
    <row r="58" spans="2:26" x14ac:dyDescent="0.2">
      <c r="R58" s="157">
        <v>1999</v>
      </c>
      <c r="S58" s="201">
        <f t="shared" si="21"/>
        <v>14110.592026</v>
      </c>
      <c r="T58" s="201">
        <f t="shared" si="21"/>
        <v>3255.0052719999999</v>
      </c>
    </row>
    <row r="59" spans="2:26" ht="226.5" x14ac:dyDescent="0.3">
      <c r="B59" s="1424" t="s">
        <v>316</v>
      </c>
      <c r="R59" s="157">
        <v>2000</v>
      </c>
      <c r="S59" s="201">
        <f t="shared" si="21"/>
        <v>15747.323264999999</v>
      </c>
      <c r="T59" s="201">
        <f t="shared" si="21"/>
        <v>2579.7287539999998</v>
      </c>
    </row>
    <row r="60" spans="2:26" x14ac:dyDescent="0.2">
      <c r="R60" s="157">
        <v>2001</v>
      </c>
      <c r="S60" s="201">
        <f t="shared" si="21"/>
        <v>17188.330773999998</v>
      </c>
      <c r="T60" s="201">
        <f t="shared" si="21"/>
        <v>2024.9494680000003</v>
      </c>
    </row>
    <row r="61" spans="2:26" x14ac:dyDescent="0.2">
      <c r="R61" s="157">
        <v>2002</v>
      </c>
      <c r="S61" s="201">
        <f t="shared" si="21"/>
        <v>17638.158238000004</v>
      </c>
      <c r="T61" s="201">
        <f t="shared" si="21"/>
        <v>2780.1240350000003</v>
      </c>
    </row>
    <row r="62" spans="2:26" x14ac:dyDescent="0.2">
      <c r="R62" s="157">
        <v>2003</v>
      </c>
      <c r="S62" s="201">
        <f t="shared" si="21"/>
        <v>18118.333137999995</v>
      </c>
      <c r="T62" s="201">
        <f t="shared" si="21"/>
        <v>3241.9033919999997</v>
      </c>
    </row>
    <row r="63" spans="2:26" x14ac:dyDescent="0.2">
      <c r="R63" s="157">
        <v>2004</v>
      </c>
      <c r="S63" s="201">
        <f t="shared" si="21"/>
        <v>17100.664633000004</v>
      </c>
      <c r="T63" s="201">
        <f t="shared" si="21"/>
        <v>5518.0477580000006</v>
      </c>
    </row>
    <row r="64" spans="2:26" x14ac:dyDescent="0.2">
      <c r="R64" s="157">
        <v>2005</v>
      </c>
      <c r="S64" s="201">
        <f t="shared" si="21"/>
        <v>17567.105377792748</v>
      </c>
      <c r="T64" s="201">
        <f t="shared" si="21"/>
        <v>6242.5431669999998</v>
      </c>
    </row>
    <row r="65" spans="18:22" x14ac:dyDescent="0.2">
      <c r="R65" s="157">
        <v>2006</v>
      </c>
      <c r="S65" s="201">
        <f t="shared" si="21"/>
        <v>19160.751642958581</v>
      </c>
      <c r="T65" s="201">
        <f t="shared" si="21"/>
        <v>6451.7857470000008</v>
      </c>
    </row>
    <row r="66" spans="18:22" x14ac:dyDescent="0.2">
      <c r="R66" s="216">
        <v>2007</v>
      </c>
      <c r="S66" s="201">
        <f t="shared" si="21"/>
        <v>19107.193966340001</v>
      </c>
      <c r="T66" s="201">
        <f t="shared" si="21"/>
        <v>9092.0707240000011</v>
      </c>
    </row>
    <row r="67" spans="18:22" x14ac:dyDescent="0.2">
      <c r="R67" s="157">
        <v>2008</v>
      </c>
      <c r="S67" s="201">
        <f t="shared" si="21"/>
        <v>18607.792106999997</v>
      </c>
      <c r="T67" s="201">
        <f t="shared" si="21"/>
        <v>11965.692749000002</v>
      </c>
    </row>
    <row r="68" spans="18:22" x14ac:dyDescent="0.2">
      <c r="R68" s="157">
        <v>2009</v>
      </c>
      <c r="S68" s="201">
        <f t="shared" si="21"/>
        <v>19419.221612000001</v>
      </c>
      <c r="T68" s="201">
        <f t="shared" si="21"/>
        <v>11501.454770999999</v>
      </c>
    </row>
    <row r="69" spans="18:22" x14ac:dyDescent="0.2">
      <c r="R69" s="157">
        <v>2010</v>
      </c>
      <c r="S69" s="201">
        <f t="shared" si="21"/>
        <v>19567.404609199999</v>
      </c>
      <c r="T69" s="201">
        <f t="shared" si="21"/>
        <v>13977.184797999998</v>
      </c>
    </row>
    <row r="70" spans="18:22" x14ac:dyDescent="0.2">
      <c r="R70" s="157">
        <v>2011</v>
      </c>
      <c r="S70" s="201">
        <f t="shared" si="21"/>
        <v>21027.418404235243</v>
      </c>
      <c r="T70" s="201">
        <f t="shared" si="21"/>
        <v>15219.887485999998</v>
      </c>
    </row>
    <row r="71" spans="18:22" x14ac:dyDescent="0.2">
      <c r="R71" s="157">
        <v>2012</v>
      </c>
      <c r="S71" s="201">
        <f t="shared" si="21"/>
        <v>21490.80766299997</v>
      </c>
      <c r="T71" s="201">
        <f t="shared" si="21"/>
        <v>16809.312290999984</v>
      </c>
      <c r="U71" s="201">
        <f>K27</f>
        <v>59.682986800000002</v>
      </c>
    </row>
    <row r="72" spans="18:22" x14ac:dyDescent="0.2">
      <c r="R72" s="157">
        <v>2013</v>
      </c>
      <c r="S72" s="201">
        <f t="shared" si="21"/>
        <v>21709.384683427139</v>
      </c>
      <c r="T72" s="201">
        <f t="shared" si="21"/>
        <v>18757.127455751826</v>
      </c>
      <c r="U72" s="201">
        <f>K28</f>
        <v>196.92788000000002</v>
      </c>
    </row>
    <row r="73" spans="18:22" x14ac:dyDescent="0.2">
      <c r="R73" s="157">
        <v>2014</v>
      </c>
      <c r="S73" s="201">
        <f t="shared" si="21"/>
        <v>21610.924675940143</v>
      </c>
      <c r="T73" s="201">
        <f t="shared" si="21"/>
        <v>20778.478798658423</v>
      </c>
      <c r="U73" s="201">
        <f>K29</f>
        <v>199.30359694553749</v>
      </c>
      <c r="V73" s="201">
        <f>L29</f>
        <v>257.5406575769008</v>
      </c>
    </row>
    <row r="74" spans="18:22" x14ac:dyDescent="0.2">
      <c r="R74" s="259" t="s">
        <v>136</v>
      </c>
      <c r="S74" s="201">
        <f>I30</f>
        <v>22710.260628688739</v>
      </c>
      <c r="T74" s="201">
        <f>J30</f>
        <v>22003.434049992189</v>
      </c>
      <c r="U74" s="201">
        <f>K30</f>
        <v>230.435323711</v>
      </c>
      <c r="V74" s="201">
        <f>L30</f>
        <v>602.36857652351034</v>
      </c>
    </row>
    <row r="77" spans="18:22" x14ac:dyDescent="0.2">
      <c r="S77" s="190" t="s">
        <v>190</v>
      </c>
    </row>
    <row r="78" spans="18:22" x14ac:dyDescent="0.2">
      <c r="S78" s="157" t="s">
        <v>186</v>
      </c>
      <c r="T78" s="157" t="s">
        <v>187</v>
      </c>
    </row>
    <row r="79" spans="18:22" x14ac:dyDescent="0.2">
      <c r="R79" s="157">
        <v>1995</v>
      </c>
      <c r="S79" s="201">
        <f t="shared" ref="S79:T97" si="22">N10</f>
        <v>1396.9631319999999</v>
      </c>
      <c r="T79" s="201">
        <f t="shared" si="22"/>
        <v>2376.8383720000002</v>
      </c>
    </row>
    <row r="80" spans="18:22" x14ac:dyDescent="0.2">
      <c r="R80" s="157">
        <v>1996</v>
      </c>
      <c r="S80" s="201">
        <f t="shared" si="22"/>
        <v>1475.6467010000001</v>
      </c>
      <c r="T80" s="201">
        <f t="shared" si="22"/>
        <v>2496.5885710000002</v>
      </c>
    </row>
    <row r="81" spans="18:20" x14ac:dyDescent="0.2">
      <c r="R81" s="157">
        <v>1997</v>
      </c>
      <c r="S81" s="201">
        <f t="shared" si="22"/>
        <v>949.73769199999992</v>
      </c>
      <c r="T81" s="201">
        <f t="shared" si="22"/>
        <v>1655.1130069999999</v>
      </c>
    </row>
    <row r="82" spans="18:20" x14ac:dyDescent="0.2">
      <c r="R82" s="157">
        <v>1998</v>
      </c>
      <c r="S82" s="201">
        <f t="shared" si="22"/>
        <v>441.09136100000001</v>
      </c>
      <c r="T82" s="201">
        <f t="shared" si="22"/>
        <v>1325.5106380000002</v>
      </c>
    </row>
    <row r="83" spans="18:20" x14ac:dyDescent="0.2">
      <c r="R83" s="157">
        <v>1999</v>
      </c>
      <c r="S83" s="201">
        <f t="shared" si="22"/>
        <v>429.98925900000006</v>
      </c>
      <c r="T83" s="201">
        <f t="shared" si="22"/>
        <v>1253.40626</v>
      </c>
    </row>
    <row r="84" spans="18:20" x14ac:dyDescent="0.2">
      <c r="R84" s="157">
        <v>2000</v>
      </c>
      <c r="S84" s="201">
        <f t="shared" si="22"/>
        <v>428.72810099999998</v>
      </c>
      <c r="T84" s="201">
        <f t="shared" si="22"/>
        <v>1166.0715179999995</v>
      </c>
    </row>
    <row r="85" spans="18:20" x14ac:dyDescent="0.2">
      <c r="R85" s="157">
        <v>2001</v>
      </c>
      <c r="S85" s="201">
        <f t="shared" si="22"/>
        <v>426.42942600000003</v>
      </c>
      <c r="T85" s="201">
        <f t="shared" si="22"/>
        <v>1144.7894669999996</v>
      </c>
    </row>
    <row r="86" spans="18:20" x14ac:dyDescent="0.2">
      <c r="R86" s="157">
        <v>2002</v>
      </c>
      <c r="S86" s="201">
        <f t="shared" si="22"/>
        <v>401.9696770000001</v>
      </c>
      <c r="T86" s="201">
        <f t="shared" si="22"/>
        <v>1160.8448220000034</v>
      </c>
    </row>
    <row r="87" spans="18:20" x14ac:dyDescent="0.2">
      <c r="R87" s="157">
        <v>2003</v>
      </c>
      <c r="S87" s="201">
        <f t="shared" si="22"/>
        <v>415.38772300000005</v>
      </c>
      <c r="T87" s="201">
        <f t="shared" si="22"/>
        <v>1146.5032210000034</v>
      </c>
    </row>
    <row r="88" spans="18:20" x14ac:dyDescent="0.2">
      <c r="R88" s="157">
        <v>2004</v>
      </c>
      <c r="S88" s="201">
        <f t="shared" si="22"/>
        <v>424.674328</v>
      </c>
      <c r="T88" s="201">
        <f t="shared" si="22"/>
        <v>1222.3989520000002</v>
      </c>
    </row>
    <row r="89" spans="18:20" x14ac:dyDescent="0.2">
      <c r="R89" s="157">
        <v>2005</v>
      </c>
      <c r="S89" s="201">
        <f t="shared" si="22"/>
        <v>409.88795820724977</v>
      </c>
      <c r="T89" s="201">
        <f t="shared" si="22"/>
        <v>1288.9739120000033</v>
      </c>
    </row>
    <row r="90" spans="18:20" x14ac:dyDescent="0.2">
      <c r="R90" s="157">
        <v>2006</v>
      </c>
      <c r="S90" s="201">
        <f t="shared" si="22"/>
        <v>433.59552104141386</v>
      </c>
      <c r="T90" s="201">
        <f t="shared" si="22"/>
        <v>1322.4694165800001</v>
      </c>
    </row>
    <row r="91" spans="18:20" x14ac:dyDescent="0.2">
      <c r="R91" s="216">
        <v>2007</v>
      </c>
      <c r="S91" s="201">
        <f t="shared" si="22"/>
        <v>441.58805366000001</v>
      </c>
      <c r="T91" s="201">
        <f t="shared" si="22"/>
        <v>1300.9679980000003</v>
      </c>
    </row>
    <row r="92" spans="18:20" x14ac:dyDescent="0.2">
      <c r="R92" s="157">
        <v>2008</v>
      </c>
      <c r="S92" s="201">
        <f t="shared" si="22"/>
        <v>451.82564200000002</v>
      </c>
      <c r="T92" s="201">
        <f t="shared" si="22"/>
        <v>1436.5693849999998</v>
      </c>
    </row>
    <row r="93" spans="18:20" x14ac:dyDescent="0.2">
      <c r="R93" s="157">
        <v>2009</v>
      </c>
      <c r="S93" s="201">
        <f t="shared" si="22"/>
        <v>484.55479200000008</v>
      </c>
      <c r="T93" s="201">
        <f t="shared" si="22"/>
        <v>1538.2782460000001</v>
      </c>
    </row>
    <row r="94" spans="18:20" x14ac:dyDescent="0.2">
      <c r="R94" s="157">
        <v>2010</v>
      </c>
      <c r="S94" s="201">
        <f t="shared" si="22"/>
        <v>484.72467099999994</v>
      </c>
      <c r="T94" s="201">
        <f t="shared" si="22"/>
        <v>1877.467463</v>
      </c>
    </row>
    <row r="95" spans="18:20" x14ac:dyDescent="0.2">
      <c r="R95" s="157">
        <v>2011</v>
      </c>
      <c r="S95" s="201">
        <f t="shared" si="22"/>
        <v>529.90831255000001</v>
      </c>
      <c r="T95" s="201">
        <f t="shared" si="22"/>
        <v>2028.0206412236719</v>
      </c>
    </row>
    <row r="96" spans="18:20" x14ac:dyDescent="0.2">
      <c r="R96" s="157">
        <v>2012</v>
      </c>
      <c r="S96" s="201">
        <f t="shared" si="22"/>
        <v>541.13038300000005</v>
      </c>
      <c r="T96" s="201">
        <f t="shared" si="22"/>
        <v>2133.8233494079464</v>
      </c>
    </row>
    <row r="97" spans="18:20" x14ac:dyDescent="0.2">
      <c r="R97" s="157">
        <v>2013</v>
      </c>
      <c r="S97" s="201">
        <f t="shared" si="22"/>
        <v>610.17786655586588</v>
      </c>
      <c r="T97" s="201">
        <f t="shared" si="22"/>
        <v>2055.3336747505405</v>
      </c>
    </row>
    <row r="98" spans="18:20" x14ac:dyDescent="0.2">
      <c r="R98" s="157">
        <v>2014</v>
      </c>
      <c r="S98" s="201">
        <f>N29</f>
        <v>599.73481195450518</v>
      </c>
      <c r="T98" s="201">
        <f>O29</f>
        <v>2103.8370311792924</v>
      </c>
    </row>
    <row r="99" spans="18:20" x14ac:dyDescent="0.2">
      <c r="R99" s="259" t="s">
        <v>136</v>
      </c>
      <c r="S99" s="201">
        <f>N30</f>
        <v>590.33223423064067</v>
      </c>
      <c r="T99" s="201">
        <f>O30</f>
        <v>1929.3863747518965</v>
      </c>
    </row>
  </sheetData>
  <mergeCells count="1">
    <mergeCell ref="W48:Z48"/>
  </mergeCells>
  <printOptions horizontalCentered="1" verticalCentered="1"/>
  <pageMargins left="0.39370078740157483" right="0.19685039370078741" top="0.51181102362204722" bottom="0.27559055118110237" header="0" footer="0"/>
  <pageSetup paperSize="9" scale="5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8"/>
  <sheetViews>
    <sheetView view="pageBreakPreview" topLeftCell="A13" zoomScaleNormal="85" zoomScaleSheetLayoutView="100" workbookViewId="0">
      <selection activeCell="B59" sqref="B59"/>
    </sheetView>
  </sheetViews>
  <sheetFormatPr baseColWidth="10" defaultRowHeight="12.75" x14ac:dyDescent="0.2"/>
  <cols>
    <col min="1" max="1" width="4.42578125" style="573" customWidth="1"/>
    <col min="2" max="2" width="22.140625" style="157" customWidth="1"/>
    <col min="3" max="3" width="11.7109375" style="157" customWidth="1"/>
    <col min="4" max="17" width="8.7109375" style="157" customWidth="1"/>
    <col min="18" max="18" width="2.85546875" style="157" customWidth="1"/>
    <col min="19" max="19" width="11.42578125" style="157"/>
    <col min="20" max="20" width="13.7109375" style="157" bestFit="1" customWidth="1"/>
    <col min="21" max="21" width="14.28515625" style="157" bestFit="1" customWidth="1"/>
    <col min="22" max="22" width="13.7109375" style="157" bestFit="1" customWidth="1"/>
    <col min="23" max="256" width="11.42578125" style="157"/>
    <col min="257" max="257" width="4.42578125" style="157" customWidth="1"/>
    <col min="258" max="258" width="22.140625" style="157" customWidth="1"/>
    <col min="259" max="259" width="11.7109375" style="157" customWidth="1"/>
    <col min="260" max="273" width="8.7109375" style="157" customWidth="1"/>
    <col min="274" max="275" width="11.42578125" style="157"/>
    <col min="276" max="276" width="13.7109375" style="157" bestFit="1" customWidth="1"/>
    <col min="277" max="277" width="14.28515625" style="157" bestFit="1" customWidth="1"/>
    <col min="278" max="278" width="13.7109375" style="157" bestFit="1" customWidth="1"/>
    <col min="279" max="512" width="11.42578125" style="157"/>
    <col min="513" max="513" width="4.42578125" style="157" customWidth="1"/>
    <col min="514" max="514" width="22.140625" style="157" customWidth="1"/>
    <col min="515" max="515" width="11.7109375" style="157" customWidth="1"/>
    <col min="516" max="529" width="8.7109375" style="157" customWidth="1"/>
    <col min="530" max="531" width="11.42578125" style="157"/>
    <col min="532" max="532" width="13.7109375" style="157" bestFit="1" customWidth="1"/>
    <col min="533" max="533" width="14.28515625" style="157" bestFit="1" customWidth="1"/>
    <col min="534" max="534" width="13.7109375" style="157" bestFit="1" customWidth="1"/>
    <col min="535" max="768" width="11.42578125" style="157"/>
    <col min="769" max="769" width="4.42578125" style="157" customWidth="1"/>
    <col min="770" max="770" width="22.140625" style="157" customWidth="1"/>
    <col min="771" max="771" width="11.7109375" style="157" customWidth="1"/>
    <col min="772" max="785" width="8.7109375" style="157" customWidth="1"/>
    <col min="786" max="787" width="11.42578125" style="157"/>
    <col min="788" max="788" width="13.7109375" style="157" bestFit="1" customWidth="1"/>
    <col min="789" max="789" width="14.28515625" style="157" bestFit="1" customWidth="1"/>
    <col min="790" max="790" width="13.7109375" style="157" bestFit="1" customWidth="1"/>
    <col min="791" max="1024" width="11.42578125" style="157"/>
    <col min="1025" max="1025" width="4.42578125" style="157" customWidth="1"/>
    <col min="1026" max="1026" width="22.140625" style="157" customWidth="1"/>
    <col min="1027" max="1027" width="11.7109375" style="157" customWidth="1"/>
    <col min="1028" max="1041" width="8.7109375" style="157" customWidth="1"/>
    <col min="1042" max="1043" width="11.42578125" style="157"/>
    <col min="1044" max="1044" width="13.7109375" style="157" bestFit="1" customWidth="1"/>
    <col min="1045" max="1045" width="14.28515625" style="157" bestFit="1" customWidth="1"/>
    <col min="1046" max="1046" width="13.7109375" style="157" bestFit="1" customWidth="1"/>
    <col min="1047" max="1280" width="11.42578125" style="157"/>
    <col min="1281" max="1281" width="4.42578125" style="157" customWidth="1"/>
    <col min="1282" max="1282" width="22.140625" style="157" customWidth="1"/>
    <col min="1283" max="1283" width="11.7109375" style="157" customWidth="1"/>
    <col min="1284" max="1297" width="8.7109375" style="157" customWidth="1"/>
    <col min="1298" max="1299" width="11.42578125" style="157"/>
    <col min="1300" max="1300" width="13.7109375" style="157" bestFit="1" customWidth="1"/>
    <col min="1301" max="1301" width="14.28515625" style="157" bestFit="1" customWidth="1"/>
    <col min="1302" max="1302" width="13.7109375" style="157" bestFit="1" customWidth="1"/>
    <col min="1303" max="1536" width="11.42578125" style="157"/>
    <col min="1537" max="1537" width="4.42578125" style="157" customWidth="1"/>
    <col min="1538" max="1538" width="22.140625" style="157" customWidth="1"/>
    <col min="1539" max="1539" width="11.7109375" style="157" customWidth="1"/>
    <col min="1540" max="1553" width="8.7109375" style="157" customWidth="1"/>
    <col min="1554" max="1555" width="11.42578125" style="157"/>
    <col min="1556" max="1556" width="13.7109375" style="157" bestFit="1" customWidth="1"/>
    <col min="1557" max="1557" width="14.28515625" style="157" bestFit="1" customWidth="1"/>
    <col min="1558" max="1558" width="13.7109375" style="157" bestFit="1" customWidth="1"/>
    <col min="1559" max="1792" width="11.42578125" style="157"/>
    <col min="1793" max="1793" width="4.42578125" style="157" customWidth="1"/>
    <col min="1794" max="1794" width="22.140625" style="157" customWidth="1"/>
    <col min="1795" max="1795" width="11.7109375" style="157" customWidth="1"/>
    <col min="1796" max="1809" width="8.7109375" style="157" customWidth="1"/>
    <col min="1810" max="1811" width="11.42578125" style="157"/>
    <col min="1812" max="1812" width="13.7109375" style="157" bestFit="1" customWidth="1"/>
    <col min="1813" max="1813" width="14.28515625" style="157" bestFit="1" customWidth="1"/>
    <col min="1814" max="1814" width="13.7109375" style="157" bestFit="1" customWidth="1"/>
    <col min="1815" max="2048" width="11.42578125" style="157"/>
    <col min="2049" max="2049" width="4.42578125" style="157" customWidth="1"/>
    <col min="2050" max="2050" width="22.140625" style="157" customWidth="1"/>
    <col min="2051" max="2051" width="11.7109375" style="157" customWidth="1"/>
    <col min="2052" max="2065" width="8.7109375" style="157" customWidth="1"/>
    <col min="2066" max="2067" width="11.42578125" style="157"/>
    <col min="2068" max="2068" width="13.7109375" style="157" bestFit="1" customWidth="1"/>
    <col min="2069" max="2069" width="14.28515625" style="157" bestFit="1" customWidth="1"/>
    <col min="2070" max="2070" width="13.7109375" style="157" bestFit="1" customWidth="1"/>
    <col min="2071" max="2304" width="11.42578125" style="157"/>
    <col min="2305" max="2305" width="4.42578125" style="157" customWidth="1"/>
    <col min="2306" max="2306" width="22.140625" style="157" customWidth="1"/>
    <col min="2307" max="2307" width="11.7109375" style="157" customWidth="1"/>
    <col min="2308" max="2321" width="8.7109375" style="157" customWidth="1"/>
    <col min="2322" max="2323" width="11.42578125" style="157"/>
    <col min="2324" max="2324" width="13.7109375" style="157" bestFit="1" customWidth="1"/>
    <col min="2325" max="2325" width="14.28515625" style="157" bestFit="1" customWidth="1"/>
    <col min="2326" max="2326" width="13.7109375" style="157" bestFit="1" customWidth="1"/>
    <col min="2327" max="2560" width="11.42578125" style="157"/>
    <col min="2561" max="2561" width="4.42578125" style="157" customWidth="1"/>
    <col min="2562" max="2562" width="22.140625" style="157" customWidth="1"/>
    <col min="2563" max="2563" width="11.7109375" style="157" customWidth="1"/>
    <col min="2564" max="2577" width="8.7109375" style="157" customWidth="1"/>
    <col min="2578" max="2579" width="11.42578125" style="157"/>
    <col min="2580" max="2580" width="13.7109375" style="157" bestFit="1" customWidth="1"/>
    <col min="2581" max="2581" width="14.28515625" style="157" bestFit="1" customWidth="1"/>
    <col min="2582" max="2582" width="13.7109375" style="157" bestFit="1" customWidth="1"/>
    <col min="2583" max="2816" width="11.42578125" style="157"/>
    <col min="2817" max="2817" width="4.42578125" style="157" customWidth="1"/>
    <col min="2818" max="2818" width="22.140625" style="157" customWidth="1"/>
    <col min="2819" max="2819" width="11.7109375" style="157" customWidth="1"/>
    <col min="2820" max="2833" width="8.7109375" style="157" customWidth="1"/>
    <col min="2834" max="2835" width="11.42578125" style="157"/>
    <col min="2836" max="2836" width="13.7109375" style="157" bestFit="1" customWidth="1"/>
    <col min="2837" max="2837" width="14.28515625" style="157" bestFit="1" customWidth="1"/>
    <col min="2838" max="2838" width="13.7109375" style="157" bestFit="1" customWidth="1"/>
    <col min="2839" max="3072" width="11.42578125" style="157"/>
    <col min="3073" max="3073" width="4.42578125" style="157" customWidth="1"/>
    <col min="3074" max="3074" width="22.140625" style="157" customWidth="1"/>
    <col min="3075" max="3075" width="11.7109375" style="157" customWidth="1"/>
    <col min="3076" max="3089" width="8.7109375" style="157" customWidth="1"/>
    <col min="3090" max="3091" width="11.42578125" style="157"/>
    <col min="3092" max="3092" width="13.7109375" style="157" bestFit="1" customWidth="1"/>
    <col min="3093" max="3093" width="14.28515625" style="157" bestFit="1" customWidth="1"/>
    <col min="3094" max="3094" width="13.7109375" style="157" bestFit="1" customWidth="1"/>
    <col min="3095" max="3328" width="11.42578125" style="157"/>
    <col min="3329" max="3329" width="4.42578125" style="157" customWidth="1"/>
    <col min="3330" max="3330" width="22.140625" style="157" customWidth="1"/>
    <col min="3331" max="3331" width="11.7109375" style="157" customWidth="1"/>
    <col min="3332" max="3345" width="8.7109375" style="157" customWidth="1"/>
    <col min="3346" max="3347" width="11.42578125" style="157"/>
    <col min="3348" max="3348" width="13.7109375" style="157" bestFit="1" customWidth="1"/>
    <col min="3349" max="3349" width="14.28515625" style="157" bestFit="1" customWidth="1"/>
    <col min="3350" max="3350" width="13.7109375" style="157" bestFit="1" customWidth="1"/>
    <col min="3351" max="3584" width="11.42578125" style="157"/>
    <col min="3585" max="3585" width="4.42578125" style="157" customWidth="1"/>
    <col min="3586" max="3586" width="22.140625" style="157" customWidth="1"/>
    <col min="3587" max="3587" width="11.7109375" style="157" customWidth="1"/>
    <col min="3588" max="3601" width="8.7109375" style="157" customWidth="1"/>
    <col min="3602" max="3603" width="11.42578125" style="157"/>
    <col min="3604" max="3604" width="13.7109375" style="157" bestFit="1" customWidth="1"/>
    <col min="3605" max="3605" width="14.28515625" style="157" bestFit="1" customWidth="1"/>
    <col min="3606" max="3606" width="13.7109375" style="157" bestFit="1" customWidth="1"/>
    <col min="3607" max="3840" width="11.42578125" style="157"/>
    <col min="3841" max="3841" width="4.42578125" style="157" customWidth="1"/>
    <col min="3842" max="3842" width="22.140625" style="157" customWidth="1"/>
    <col min="3843" max="3843" width="11.7109375" style="157" customWidth="1"/>
    <col min="3844" max="3857" width="8.7109375" style="157" customWidth="1"/>
    <col min="3858" max="3859" width="11.42578125" style="157"/>
    <col min="3860" max="3860" width="13.7109375" style="157" bestFit="1" customWidth="1"/>
    <col min="3861" max="3861" width="14.28515625" style="157" bestFit="1" customWidth="1"/>
    <col min="3862" max="3862" width="13.7109375" style="157" bestFit="1" customWidth="1"/>
    <col min="3863" max="4096" width="11.42578125" style="157"/>
    <col min="4097" max="4097" width="4.42578125" style="157" customWidth="1"/>
    <col min="4098" max="4098" width="22.140625" style="157" customWidth="1"/>
    <col min="4099" max="4099" width="11.7109375" style="157" customWidth="1"/>
    <col min="4100" max="4113" width="8.7109375" style="157" customWidth="1"/>
    <col min="4114" max="4115" width="11.42578125" style="157"/>
    <col min="4116" max="4116" width="13.7109375" style="157" bestFit="1" customWidth="1"/>
    <col min="4117" max="4117" width="14.28515625" style="157" bestFit="1" customWidth="1"/>
    <col min="4118" max="4118" width="13.7109375" style="157" bestFit="1" customWidth="1"/>
    <col min="4119" max="4352" width="11.42578125" style="157"/>
    <col min="4353" max="4353" width="4.42578125" style="157" customWidth="1"/>
    <col min="4354" max="4354" width="22.140625" style="157" customWidth="1"/>
    <col min="4355" max="4355" width="11.7109375" style="157" customWidth="1"/>
    <col min="4356" max="4369" width="8.7109375" style="157" customWidth="1"/>
    <col min="4370" max="4371" width="11.42578125" style="157"/>
    <col min="4372" max="4372" width="13.7109375" style="157" bestFit="1" customWidth="1"/>
    <col min="4373" max="4373" width="14.28515625" style="157" bestFit="1" customWidth="1"/>
    <col min="4374" max="4374" width="13.7109375" style="157" bestFit="1" customWidth="1"/>
    <col min="4375" max="4608" width="11.42578125" style="157"/>
    <col min="4609" max="4609" width="4.42578125" style="157" customWidth="1"/>
    <col min="4610" max="4610" width="22.140625" style="157" customWidth="1"/>
    <col min="4611" max="4611" width="11.7109375" style="157" customWidth="1"/>
    <col min="4612" max="4625" width="8.7109375" style="157" customWidth="1"/>
    <col min="4626" max="4627" width="11.42578125" style="157"/>
    <col min="4628" max="4628" width="13.7109375" style="157" bestFit="1" customWidth="1"/>
    <col min="4629" max="4629" width="14.28515625" style="157" bestFit="1" customWidth="1"/>
    <col min="4630" max="4630" width="13.7109375" style="157" bestFit="1" customWidth="1"/>
    <col min="4631" max="4864" width="11.42578125" style="157"/>
    <col min="4865" max="4865" width="4.42578125" style="157" customWidth="1"/>
    <col min="4866" max="4866" width="22.140625" style="157" customWidth="1"/>
    <col min="4867" max="4867" width="11.7109375" style="157" customWidth="1"/>
    <col min="4868" max="4881" width="8.7109375" style="157" customWidth="1"/>
    <col min="4882" max="4883" width="11.42578125" style="157"/>
    <col min="4884" max="4884" width="13.7109375" style="157" bestFit="1" customWidth="1"/>
    <col min="4885" max="4885" width="14.28515625" style="157" bestFit="1" customWidth="1"/>
    <col min="4886" max="4886" width="13.7109375" style="157" bestFit="1" customWidth="1"/>
    <col min="4887" max="5120" width="11.42578125" style="157"/>
    <col min="5121" max="5121" width="4.42578125" style="157" customWidth="1"/>
    <col min="5122" max="5122" width="22.140625" style="157" customWidth="1"/>
    <col min="5123" max="5123" width="11.7109375" style="157" customWidth="1"/>
    <col min="5124" max="5137" width="8.7109375" style="157" customWidth="1"/>
    <col min="5138" max="5139" width="11.42578125" style="157"/>
    <col min="5140" max="5140" width="13.7109375" style="157" bestFit="1" customWidth="1"/>
    <col min="5141" max="5141" width="14.28515625" style="157" bestFit="1" customWidth="1"/>
    <col min="5142" max="5142" width="13.7109375" style="157" bestFit="1" customWidth="1"/>
    <col min="5143" max="5376" width="11.42578125" style="157"/>
    <col min="5377" max="5377" width="4.42578125" style="157" customWidth="1"/>
    <col min="5378" max="5378" width="22.140625" style="157" customWidth="1"/>
    <col min="5379" max="5379" width="11.7109375" style="157" customWidth="1"/>
    <col min="5380" max="5393" width="8.7109375" style="157" customWidth="1"/>
    <col min="5394" max="5395" width="11.42578125" style="157"/>
    <col min="5396" max="5396" width="13.7109375" style="157" bestFit="1" customWidth="1"/>
    <col min="5397" max="5397" width="14.28515625" style="157" bestFit="1" customWidth="1"/>
    <col min="5398" max="5398" width="13.7109375" style="157" bestFit="1" customWidth="1"/>
    <col min="5399" max="5632" width="11.42578125" style="157"/>
    <col min="5633" max="5633" width="4.42578125" style="157" customWidth="1"/>
    <col min="5634" max="5634" width="22.140625" style="157" customWidth="1"/>
    <col min="5635" max="5635" width="11.7109375" style="157" customWidth="1"/>
    <col min="5636" max="5649" width="8.7109375" style="157" customWidth="1"/>
    <col min="5650" max="5651" width="11.42578125" style="157"/>
    <col min="5652" max="5652" width="13.7109375" style="157" bestFit="1" customWidth="1"/>
    <col min="5653" max="5653" width="14.28515625" style="157" bestFit="1" customWidth="1"/>
    <col min="5654" max="5654" width="13.7109375" style="157" bestFit="1" customWidth="1"/>
    <col min="5655" max="5888" width="11.42578125" style="157"/>
    <col min="5889" max="5889" width="4.42578125" style="157" customWidth="1"/>
    <col min="5890" max="5890" width="22.140625" style="157" customWidth="1"/>
    <col min="5891" max="5891" width="11.7109375" style="157" customWidth="1"/>
    <col min="5892" max="5905" width="8.7109375" style="157" customWidth="1"/>
    <col min="5906" max="5907" width="11.42578125" style="157"/>
    <col min="5908" max="5908" width="13.7109375" style="157" bestFit="1" customWidth="1"/>
    <col min="5909" max="5909" width="14.28515625" style="157" bestFit="1" customWidth="1"/>
    <col min="5910" max="5910" width="13.7109375" style="157" bestFit="1" customWidth="1"/>
    <col min="5911" max="6144" width="11.42578125" style="157"/>
    <col min="6145" max="6145" width="4.42578125" style="157" customWidth="1"/>
    <col min="6146" max="6146" width="22.140625" style="157" customWidth="1"/>
    <col min="6147" max="6147" width="11.7109375" style="157" customWidth="1"/>
    <col min="6148" max="6161" width="8.7109375" style="157" customWidth="1"/>
    <col min="6162" max="6163" width="11.42578125" style="157"/>
    <col min="6164" max="6164" width="13.7109375" style="157" bestFit="1" customWidth="1"/>
    <col min="6165" max="6165" width="14.28515625" style="157" bestFit="1" customWidth="1"/>
    <col min="6166" max="6166" width="13.7109375" style="157" bestFit="1" customWidth="1"/>
    <col min="6167" max="6400" width="11.42578125" style="157"/>
    <col min="6401" max="6401" width="4.42578125" style="157" customWidth="1"/>
    <col min="6402" max="6402" width="22.140625" style="157" customWidth="1"/>
    <col min="6403" max="6403" width="11.7109375" style="157" customWidth="1"/>
    <col min="6404" max="6417" width="8.7109375" style="157" customWidth="1"/>
    <col min="6418" max="6419" width="11.42578125" style="157"/>
    <col min="6420" max="6420" width="13.7109375" style="157" bestFit="1" customWidth="1"/>
    <col min="6421" max="6421" width="14.28515625" style="157" bestFit="1" customWidth="1"/>
    <col min="6422" max="6422" width="13.7109375" style="157" bestFit="1" customWidth="1"/>
    <col min="6423" max="6656" width="11.42578125" style="157"/>
    <col min="6657" max="6657" width="4.42578125" style="157" customWidth="1"/>
    <col min="6658" max="6658" width="22.140625" style="157" customWidth="1"/>
    <col min="6659" max="6659" width="11.7109375" style="157" customWidth="1"/>
    <col min="6660" max="6673" width="8.7109375" style="157" customWidth="1"/>
    <col min="6674" max="6675" width="11.42578125" style="157"/>
    <col min="6676" max="6676" width="13.7109375" style="157" bestFit="1" customWidth="1"/>
    <col min="6677" max="6677" width="14.28515625" style="157" bestFit="1" customWidth="1"/>
    <col min="6678" max="6678" width="13.7109375" style="157" bestFit="1" customWidth="1"/>
    <col min="6679" max="6912" width="11.42578125" style="157"/>
    <col min="6913" max="6913" width="4.42578125" style="157" customWidth="1"/>
    <col min="6914" max="6914" width="22.140625" style="157" customWidth="1"/>
    <col min="6915" max="6915" width="11.7109375" style="157" customWidth="1"/>
    <col min="6916" max="6929" width="8.7109375" style="157" customWidth="1"/>
    <col min="6930" max="6931" width="11.42578125" style="157"/>
    <col min="6932" max="6932" width="13.7109375" style="157" bestFit="1" customWidth="1"/>
    <col min="6933" max="6933" width="14.28515625" style="157" bestFit="1" customWidth="1"/>
    <col min="6934" max="6934" width="13.7109375" style="157" bestFit="1" customWidth="1"/>
    <col min="6935" max="7168" width="11.42578125" style="157"/>
    <col min="7169" max="7169" width="4.42578125" style="157" customWidth="1"/>
    <col min="7170" max="7170" width="22.140625" style="157" customWidth="1"/>
    <col min="7171" max="7171" width="11.7109375" style="157" customWidth="1"/>
    <col min="7172" max="7185" width="8.7109375" style="157" customWidth="1"/>
    <col min="7186" max="7187" width="11.42578125" style="157"/>
    <col min="7188" max="7188" width="13.7109375" style="157" bestFit="1" customWidth="1"/>
    <col min="7189" max="7189" width="14.28515625" style="157" bestFit="1" customWidth="1"/>
    <col min="7190" max="7190" width="13.7109375" style="157" bestFit="1" customWidth="1"/>
    <col min="7191" max="7424" width="11.42578125" style="157"/>
    <col min="7425" max="7425" width="4.42578125" style="157" customWidth="1"/>
    <col min="7426" max="7426" width="22.140625" style="157" customWidth="1"/>
    <col min="7427" max="7427" width="11.7109375" style="157" customWidth="1"/>
    <col min="7428" max="7441" width="8.7109375" style="157" customWidth="1"/>
    <col min="7442" max="7443" width="11.42578125" style="157"/>
    <col min="7444" max="7444" width="13.7109375" style="157" bestFit="1" customWidth="1"/>
    <col min="7445" max="7445" width="14.28515625" style="157" bestFit="1" customWidth="1"/>
    <col min="7446" max="7446" width="13.7109375" style="157" bestFit="1" customWidth="1"/>
    <col min="7447" max="7680" width="11.42578125" style="157"/>
    <col min="7681" max="7681" width="4.42578125" style="157" customWidth="1"/>
    <col min="7682" max="7682" width="22.140625" style="157" customWidth="1"/>
    <col min="7683" max="7683" width="11.7109375" style="157" customWidth="1"/>
    <col min="7684" max="7697" width="8.7109375" style="157" customWidth="1"/>
    <col min="7698" max="7699" width="11.42578125" style="157"/>
    <col min="7700" max="7700" width="13.7109375" style="157" bestFit="1" customWidth="1"/>
    <col min="7701" max="7701" width="14.28515625" style="157" bestFit="1" customWidth="1"/>
    <col min="7702" max="7702" width="13.7109375" style="157" bestFit="1" customWidth="1"/>
    <col min="7703" max="7936" width="11.42578125" style="157"/>
    <col min="7937" max="7937" width="4.42578125" style="157" customWidth="1"/>
    <col min="7938" max="7938" width="22.140625" style="157" customWidth="1"/>
    <col min="7939" max="7939" width="11.7109375" style="157" customWidth="1"/>
    <col min="7940" max="7953" width="8.7109375" style="157" customWidth="1"/>
    <col min="7954" max="7955" width="11.42578125" style="157"/>
    <col min="7956" max="7956" width="13.7109375" style="157" bestFit="1" customWidth="1"/>
    <col min="7957" max="7957" width="14.28515625" style="157" bestFit="1" customWidth="1"/>
    <col min="7958" max="7958" width="13.7109375" style="157" bestFit="1" customWidth="1"/>
    <col min="7959" max="8192" width="11.42578125" style="157"/>
    <col min="8193" max="8193" width="4.42578125" style="157" customWidth="1"/>
    <col min="8194" max="8194" width="22.140625" style="157" customWidth="1"/>
    <col min="8195" max="8195" width="11.7109375" style="157" customWidth="1"/>
    <col min="8196" max="8209" width="8.7109375" style="157" customWidth="1"/>
    <col min="8210" max="8211" width="11.42578125" style="157"/>
    <col min="8212" max="8212" width="13.7109375" style="157" bestFit="1" customWidth="1"/>
    <col min="8213" max="8213" width="14.28515625" style="157" bestFit="1" customWidth="1"/>
    <col min="8214" max="8214" width="13.7109375" style="157" bestFit="1" customWidth="1"/>
    <col min="8215" max="8448" width="11.42578125" style="157"/>
    <col min="8449" max="8449" width="4.42578125" style="157" customWidth="1"/>
    <col min="8450" max="8450" width="22.140625" style="157" customWidth="1"/>
    <col min="8451" max="8451" width="11.7109375" style="157" customWidth="1"/>
    <col min="8452" max="8465" width="8.7109375" style="157" customWidth="1"/>
    <col min="8466" max="8467" width="11.42578125" style="157"/>
    <col min="8468" max="8468" width="13.7109375" style="157" bestFit="1" customWidth="1"/>
    <col min="8469" max="8469" width="14.28515625" style="157" bestFit="1" customWidth="1"/>
    <col min="8470" max="8470" width="13.7109375" style="157" bestFit="1" customWidth="1"/>
    <col min="8471" max="8704" width="11.42578125" style="157"/>
    <col min="8705" max="8705" width="4.42578125" style="157" customWidth="1"/>
    <col min="8706" max="8706" width="22.140625" style="157" customWidth="1"/>
    <col min="8707" max="8707" width="11.7109375" style="157" customWidth="1"/>
    <col min="8708" max="8721" width="8.7109375" style="157" customWidth="1"/>
    <col min="8722" max="8723" width="11.42578125" style="157"/>
    <col min="8724" max="8724" width="13.7109375" style="157" bestFit="1" customWidth="1"/>
    <col min="8725" max="8725" width="14.28515625" style="157" bestFit="1" customWidth="1"/>
    <col min="8726" max="8726" width="13.7109375" style="157" bestFit="1" customWidth="1"/>
    <col min="8727" max="8960" width="11.42578125" style="157"/>
    <col min="8961" max="8961" width="4.42578125" style="157" customWidth="1"/>
    <col min="8962" max="8962" width="22.140625" style="157" customWidth="1"/>
    <col min="8963" max="8963" width="11.7109375" style="157" customWidth="1"/>
    <col min="8964" max="8977" width="8.7109375" style="157" customWidth="1"/>
    <col min="8978" max="8979" width="11.42578125" style="157"/>
    <col min="8980" max="8980" width="13.7109375" style="157" bestFit="1" customWidth="1"/>
    <col min="8981" max="8981" width="14.28515625" style="157" bestFit="1" customWidth="1"/>
    <col min="8982" max="8982" width="13.7109375" style="157" bestFit="1" customWidth="1"/>
    <col min="8983" max="9216" width="11.42578125" style="157"/>
    <col min="9217" max="9217" width="4.42578125" style="157" customWidth="1"/>
    <col min="9218" max="9218" width="22.140625" style="157" customWidth="1"/>
    <col min="9219" max="9219" width="11.7109375" style="157" customWidth="1"/>
    <col min="9220" max="9233" width="8.7109375" style="157" customWidth="1"/>
    <col min="9234" max="9235" width="11.42578125" style="157"/>
    <col min="9236" max="9236" width="13.7109375" style="157" bestFit="1" customWidth="1"/>
    <col min="9237" max="9237" width="14.28515625" style="157" bestFit="1" customWidth="1"/>
    <col min="9238" max="9238" width="13.7109375" style="157" bestFit="1" customWidth="1"/>
    <col min="9239" max="9472" width="11.42578125" style="157"/>
    <col min="9473" max="9473" width="4.42578125" style="157" customWidth="1"/>
    <col min="9474" max="9474" width="22.140625" style="157" customWidth="1"/>
    <col min="9475" max="9475" width="11.7109375" style="157" customWidth="1"/>
    <col min="9476" max="9489" width="8.7109375" style="157" customWidth="1"/>
    <col min="9490" max="9491" width="11.42578125" style="157"/>
    <col min="9492" max="9492" width="13.7109375" style="157" bestFit="1" customWidth="1"/>
    <col min="9493" max="9493" width="14.28515625" style="157" bestFit="1" customWidth="1"/>
    <col min="9494" max="9494" width="13.7109375" style="157" bestFit="1" customWidth="1"/>
    <col min="9495" max="9728" width="11.42578125" style="157"/>
    <col min="9729" max="9729" width="4.42578125" style="157" customWidth="1"/>
    <col min="9730" max="9730" width="22.140625" style="157" customWidth="1"/>
    <col min="9731" max="9731" width="11.7109375" style="157" customWidth="1"/>
    <col min="9732" max="9745" width="8.7109375" style="157" customWidth="1"/>
    <col min="9746" max="9747" width="11.42578125" style="157"/>
    <col min="9748" max="9748" width="13.7109375" style="157" bestFit="1" customWidth="1"/>
    <col min="9749" max="9749" width="14.28515625" style="157" bestFit="1" customWidth="1"/>
    <col min="9750" max="9750" width="13.7109375" style="157" bestFit="1" customWidth="1"/>
    <col min="9751" max="9984" width="11.42578125" style="157"/>
    <col min="9985" max="9985" width="4.42578125" style="157" customWidth="1"/>
    <col min="9986" max="9986" width="22.140625" style="157" customWidth="1"/>
    <col min="9987" max="9987" width="11.7109375" style="157" customWidth="1"/>
    <col min="9988" max="10001" width="8.7109375" style="157" customWidth="1"/>
    <col min="10002" max="10003" width="11.42578125" style="157"/>
    <col min="10004" max="10004" width="13.7109375" style="157" bestFit="1" customWidth="1"/>
    <col min="10005" max="10005" width="14.28515625" style="157" bestFit="1" customWidth="1"/>
    <col min="10006" max="10006" width="13.7109375" style="157" bestFit="1" customWidth="1"/>
    <col min="10007" max="10240" width="11.42578125" style="157"/>
    <col min="10241" max="10241" width="4.42578125" style="157" customWidth="1"/>
    <col min="10242" max="10242" width="22.140625" style="157" customWidth="1"/>
    <col min="10243" max="10243" width="11.7109375" style="157" customWidth="1"/>
    <col min="10244" max="10257" width="8.7109375" style="157" customWidth="1"/>
    <col min="10258" max="10259" width="11.42578125" style="157"/>
    <col min="10260" max="10260" width="13.7109375" style="157" bestFit="1" customWidth="1"/>
    <col min="10261" max="10261" width="14.28515625" style="157" bestFit="1" customWidth="1"/>
    <col min="10262" max="10262" width="13.7109375" style="157" bestFit="1" customWidth="1"/>
    <col min="10263" max="10496" width="11.42578125" style="157"/>
    <col min="10497" max="10497" width="4.42578125" style="157" customWidth="1"/>
    <col min="10498" max="10498" width="22.140625" style="157" customWidth="1"/>
    <col min="10499" max="10499" width="11.7109375" style="157" customWidth="1"/>
    <col min="10500" max="10513" width="8.7109375" style="157" customWidth="1"/>
    <col min="10514" max="10515" width="11.42578125" style="157"/>
    <col min="10516" max="10516" width="13.7109375" style="157" bestFit="1" customWidth="1"/>
    <col min="10517" max="10517" width="14.28515625" style="157" bestFit="1" customWidth="1"/>
    <col min="10518" max="10518" width="13.7109375" style="157" bestFit="1" customWidth="1"/>
    <col min="10519" max="10752" width="11.42578125" style="157"/>
    <col min="10753" max="10753" width="4.42578125" style="157" customWidth="1"/>
    <col min="10754" max="10754" width="22.140625" style="157" customWidth="1"/>
    <col min="10755" max="10755" width="11.7109375" style="157" customWidth="1"/>
    <col min="10756" max="10769" width="8.7109375" style="157" customWidth="1"/>
    <col min="10770" max="10771" width="11.42578125" style="157"/>
    <col min="10772" max="10772" width="13.7109375" style="157" bestFit="1" customWidth="1"/>
    <col min="10773" max="10773" width="14.28515625" style="157" bestFit="1" customWidth="1"/>
    <col min="10774" max="10774" width="13.7109375" style="157" bestFit="1" customWidth="1"/>
    <col min="10775" max="11008" width="11.42578125" style="157"/>
    <col min="11009" max="11009" width="4.42578125" style="157" customWidth="1"/>
    <col min="11010" max="11010" width="22.140625" style="157" customWidth="1"/>
    <col min="11011" max="11011" width="11.7109375" style="157" customWidth="1"/>
    <col min="11012" max="11025" width="8.7109375" style="157" customWidth="1"/>
    <col min="11026" max="11027" width="11.42578125" style="157"/>
    <col min="11028" max="11028" width="13.7109375" style="157" bestFit="1" customWidth="1"/>
    <col min="11029" max="11029" width="14.28515625" style="157" bestFit="1" customWidth="1"/>
    <col min="11030" max="11030" width="13.7109375" style="157" bestFit="1" customWidth="1"/>
    <col min="11031" max="11264" width="11.42578125" style="157"/>
    <col min="11265" max="11265" width="4.42578125" style="157" customWidth="1"/>
    <col min="11266" max="11266" width="22.140625" style="157" customWidth="1"/>
    <col min="11267" max="11267" width="11.7109375" style="157" customWidth="1"/>
    <col min="11268" max="11281" width="8.7109375" style="157" customWidth="1"/>
    <col min="11282" max="11283" width="11.42578125" style="157"/>
    <col min="11284" max="11284" width="13.7109375" style="157" bestFit="1" customWidth="1"/>
    <col min="11285" max="11285" width="14.28515625" style="157" bestFit="1" customWidth="1"/>
    <col min="11286" max="11286" width="13.7109375" style="157" bestFit="1" customWidth="1"/>
    <col min="11287" max="11520" width="11.42578125" style="157"/>
    <col min="11521" max="11521" width="4.42578125" style="157" customWidth="1"/>
    <col min="11522" max="11522" width="22.140625" style="157" customWidth="1"/>
    <col min="11523" max="11523" width="11.7109375" style="157" customWidth="1"/>
    <col min="11524" max="11537" width="8.7109375" style="157" customWidth="1"/>
    <col min="11538" max="11539" width="11.42578125" style="157"/>
    <col min="11540" max="11540" width="13.7109375" style="157" bestFit="1" customWidth="1"/>
    <col min="11541" max="11541" width="14.28515625" style="157" bestFit="1" customWidth="1"/>
    <col min="11542" max="11542" width="13.7109375" style="157" bestFit="1" customWidth="1"/>
    <col min="11543" max="11776" width="11.42578125" style="157"/>
    <col min="11777" max="11777" width="4.42578125" style="157" customWidth="1"/>
    <col min="11778" max="11778" width="22.140625" style="157" customWidth="1"/>
    <col min="11779" max="11779" width="11.7109375" style="157" customWidth="1"/>
    <col min="11780" max="11793" width="8.7109375" style="157" customWidth="1"/>
    <col min="11794" max="11795" width="11.42578125" style="157"/>
    <col min="11796" max="11796" width="13.7109375" style="157" bestFit="1" customWidth="1"/>
    <col min="11797" max="11797" width="14.28515625" style="157" bestFit="1" customWidth="1"/>
    <col min="11798" max="11798" width="13.7109375" style="157" bestFit="1" customWidth="1"/>
    <col min="11799" max="12032" width="11.42578125" style="157"/>
    <col min="12033" max="12033" width="4.42578125" style="157" customWidth="1"/>
    <col min="12034" max="12034" width="22.140625" style="157" customWidth="1"/>
    <col min="12035" max="12035" width="11.7109375" style="157" customWidth="1"/>
    <col min="12036" max="12049" width="8.7109375" style="157" customWidth="1"/>
    <col min="12050" max="12051" width="11.42578125" style="157"/>
    <col min="12052" max="12052" width="13.7109375" style="157" bestFit="1" customWidth="1"/>
    <col min="12053" max="12053" width="14.28515625" style="157" bestFit="1" customWidth="1"/>
    <col min="12054" max="12054" width="13.7109375" style="157" bestFit="1" customWidth="1"/>
    <col min="12055" max="12288" width="11.42578125" style="157"/>
    <col min="12289" max="12289" width="4.42578125" style="157" customWidth="1"/>
    <col min="12290" max="12290" width="22.140625" style="157" customWidth="1"/>
    <col min="12291" max="12291" width="11.7109375" style="157" customWidth="1"/>
    <col min="12292" max="12305" width="8.7109375" style="157" customWidth="1"/>
    <col min="12306" max="12307" width="11.42578125" style="157"/>
    <col min="12308" max="12308" width="13.7109375" style="157" bestFit="1" customWidth="1"/>
    <col min="12309" max="12309" width="14.28515625" style="157" bestFit="1" customWidth="1"/>
    <col min="12310" max="12310" width="13.7109375" style="157" bestFit="1" customWidth="1"/>
    <col min="12311" max="12544" width="11.42578125" style="157"/>
    <col min="12545" max="12545" width="4.42578125" style="157" customWidth="1"/>
    <col min="12546" max="12546" width="22.140625" style="157" customWidth="1"/>
    <col min="12547" max="12547" width="11.7109375" style="157" customWidth="1"/>
    <col min="12548" max="12561" width="8.7109375" style="157" customWidth="1"/>
    <col min="12562" max="12563" width="11.42578125" style="157"/>
    <col min="12564" max="12564" width="13.7109375" style="157" bestFit="1" customWidth="1"/>
    <col min="12565" max="12565" width="14.28515625" style="157" bestFit="1" customWidth="1"/>
    <col min="12566" max="12566" width="13.7109375" style="157" bestFit="1" customWidth="1"/>
    <col min="12567" max="12800" width="11.42578125" style="157"/>
    <col min="12801" max="12801" width="4.42578125" style="157" customWidth="1"/>
    <col min="12802" max="12802" width="22.140625" style="157" customWidth="1"/>
    <col min="12803" max="12803" width="11.7109375" style="157" customWidth="1"/>
    <col min="12804" max="12817" width="8.7109375" style="157" customWidth="1"/>
    <col min="12818" max="12819" width="11.42578125" style="157"/>
    <col min="12820" max="12820" width="13.7109375" style="157" bestFit="1" customWidth="1"/>
    <col min="12821" max="12821" width="14.28515625" style="157" bestFit="1" customWidth="1"/>
    <col min="12822" max="12822" width="13.7109375" style="157" bestFit="1" customWidth="1"/>
    <col min="12823" max="13056" width="11.42578125" style="157"/>
    <col min="13057" max="13057" width="4.42578125" style="157" customWidth="1"/>
    <col min="13058" max="13058" width="22.140625" style="157" customWidth="1"/>
    <col min="13059" max="13059" width="11.7109375" style="157" customWidth="1"/>
    <col min="13060" max="13073" width="8.7109375" style="157" customWidth="1"/>
    <col min="13074" max="13075" width="11.42578125" style="157"/>
    <col min="13076" max="13076" width="13.7109375" style="157" bestFit="1" customWidth="1"/>
    <col min="13077" max="13077" width="14.28515625" style="157" bestFit="1" customWidth="1"/>
    <col min="13078" max="13078" width="13.7109375" style="157" bestFit="1" customWidth="1"/>
    <col min="13079" max="13312" width="11.42578125" style="157"/>
    <col min="13313" max="13313" width="4.42578125" style="157" customWidth="1"/>
    <col min="13314" max="13314" width="22.140625" style="157" customWidth="1"/>
    <col min="13315" max="13315" width="11.7109375" style="157" customWidth="1"/>
    <col min="13316" max="13329" width="8.7109375" style="157" customWidth="1"/>
    <col min="13330" max="13331" width="11.42578125" style="157"/>
    <col min="13332" max="13332" width="13.7109375" style="157" bestFit="1" customWidth="1"/>
    <col min="13333" max="13333" width="14.28515625" style="157" bestFit="1" customWidth="1"/>
    <col min="13334" max="13334" width="13.7109375" style="157" bestFit="1" customWidth="1"/>
    <col min="13335" max="13568" width="11.42578125" style="157"/>
    <col min="13569" max="13569" width="4.42578125" style="157" customWidth="1"/>
    <col min="13570" max="13570" width="22.140625" style="157" customWidth="1"/>
    <col min="13571" max="13571" width="11.7109375" style="157" customWidth="1"/>
    <col min="13572" max="13585" width="8.7109375" style="157" customWidth="1"/>
    <col min="13586" max="13587" width="11.42578125" style="157"/>
    <col min="13588" max="13588" width="13.7109375" style="157" bestFit="1" customWidth="1"/>
    <col min="13589" max="13589" width="14.28515625" style="157" bestFit="1" customWidth="1"/>
    <col min="13590" max="13590" width="13.7109375" style="157" bestFit="1" customWidth="1"/>
    <col min="13591" max="13824" width="11.42578125" style="157"/>
    <col min="13825" max="13825" width="4.42578125" style="157" customWidth="1"/>
    <col min="13826" max="13826" width="22.140625" style="157" customWidth="1"/>
    <col min="13827" max="13827" width="11.7109375" style="157" customWidth="1"/>
    <col min="13828" max="13841" width="8.7109375" style="157" customWidth="1"/>
    <col min="13842" max="13843" width="11.42578125" style="157"/>
    <col min="13844" max="13844" width="13.7109375" style="157" bestFit="1" customWidth="1"/>
    <col min="13845" max="13845" width="14.28515625" style="157" bestFit="1" customWidth="1"/>
    <col min="13846" max="13846" width="13.7109375" style="157" bestFit="1" customWidth="1"/>
    <col min="13847" max="14080" width="11.42578125" style="157"/>
    <col min="14081" max="14081" width="4.42578125" style="157" customWidth="1"/>
    <col min="14082" max="14082" width="22.140625" style="157" customWidth="1"/>
    <col min="14083" max="14083" width="11.7109375" style="157" customWidth="1"/>
    <col min="14084" max="14097" width="8.7109375" style="157" customWidth="1"/>
    <col min="14098" max="14099" width="11.42578125" style="157"/>
    <col min="14100" max="14100" width="13.7109375" style="157" bestFit="1" customWidth="1"/>
    <col min="14101" max="14101" width="14.28515625" style="157" bestFit="1" customWidth="1"/>
    <col min="14102" max="14102" width="13.7109375" style="157" bestFit="1" customWidth="1"/>
    <col min="14103" max="14336" width="11.42578125" style="157"/>
    <col min="14337" max="14337" width="4.42578125" style="157" customWidth="1"/>
    <col min="14338" max="14338" width="22.140625" style="157" customWidth="1"/>
    <col min="14339" max="14339" width="11.7109375" style="157" customWidth="1"/>
    <col min="14340" max="14353" width="8.7109375" style="157" customWidth="1"/>
    <col min="14354" max="14355" width="11.42578125" style="157"/>
    <col min="14356" max="14356" width="13.7109375" style="157" bestFit="1" customWidth="1"/>
    <col min="14357" max="14357" width="14.28515625" style="157" bestFit="1" customWidth="1"/>
    <col min="14358" max="14358" width="13.7109375" style="157" bestFit="1" customWidth="1"/>
    <col min="14359" max="14592" width="11.42578125" style="157"/>
    <col min="14593" max="14593" width="4.42578125" style="157" customWidth="1"/>
    <col min="14594" max="14594" width="22.140625" style="157" customWidth="1"/>
    <col min="14595" max="14595" width="11.7109375" style="157" customWidth="1"/>
    <col min="14596" max="14609" width="8.7109375" style="157" customWidth="1"/>
    <col min="14610" max="14611" width="11.42578125" style="157"/>
    <col min="14612" max="14612" width="13.7109375" style="157" bestFit="1" customWidth="1"/>
    <col min="14613" max="14613" width="14.28515625" style="157" bestFit="1" customWidth="1"/>
    <col min="14614" max="14614" width="13.7109375" style="157" bestFit="1" customWidth="1"/>
    <col min="14615" max="14848" width="11.42578125" style="157"/>
    <col min="14849" max="14849" width="4.42578125" style="157" customWidth="1"/>
    <col min="14850" max="14850" width="22.140625" style="157" customWidth="1"/>
    <col min="14851" max="14851" width="11.7109375" style="157" customWidth="1"/>
    <col min="14852" max="14865" width="8.7109375" style="157" customWidth="1"/>
    <col min="14866" max="14867" width="11.42578125" style="157"/>
    <col min="14868" max="14868" width="13.7109375" style="157" bestFit="1" customWidth="1"/>
    <col min="14869" max="14869" width="14.28515625" style="157" bestFit="1" customWidth="1"/>
    <col min="14870" max="14870" width="13.7109375" style="157" bestFit="1" customWidth="1"/>
    <col min="14871" max="15104" width="11.42578125" style="157"/>
    <col min="15105" max="15105" width="4.42578125" style="157" customWidth="1"/>
    <col min="15106" max="15106" width="22.140625" style="157" customWidth="1"/>
    <col min="15107" max="15107" width="11.7109375" style="157" customWidth="1"/>
    <col min="15108" max="15121" width="8.7109375" style="157" customWidth="1"/>
    <col min="15122" max="15123" width="11.42578125" style="157"/>
    <col min="15124" max="15124" width="13.7109375" style="157" bestFit="1" customWidth="1"/>
    <col min="15125" max="15125" width="14.28515625" style="157" bestFit="1" customWidth="1"/>
    <col min="15126" max="15126" width="13.7109375" style="157" bestFit="1" customWidth="1"/>
    <col min="15127" max="15360" width="11.42578125" style="157"/>
    <col min="15361" max="15361" width="4.42578125" style="157" customWidth="1"/>
    <col min="15362" max="15362" width="22.140625" style="157" customWidth="1"/>
    <col min="15363" max="15363" width="11.7109375" style="157" customWidth="1"/>
    <col min="15364" max="15377" width="8.7109375" style="157" customWidth="1"/>
    <col min="15378" max="15379" width="11.42578125" style="157"/>
    <col min="15380" max="15380" width="13.7109375" style="157" bestFit="1" customWidth="1"/>
    <col min="15381" max="15381" width="14.28515625" style="157" bestFit="1" customWidth="1"/>
    <col min="15382" max="15382" width="13.7109375" style="157" bestFit="1" customWidth="1"/>
    <col min="15383" max="15616" width="11.42578125" style="157"/>
    <col min="15617" max="15617" width="4.42578125" style="157" customWidth="1"/>
    <col min="15618" max="15618" width="22.140625" style="157" customWidth="1"/>
    <col min="15619" max="15619" width="11.7109375" style="157" customWidth="1"/>
    <col min="15620" max="15633" width="8.7109375" style="157" customWidth="1"/>
    <col min="15634" max="15635" width="11.42578125" style="157"/>
    <col min="15636" max="15636" width="13.7109375" style="157" bestFit="1" customWidth="1"/>
    <col min="15637" max="15637" width="14.28515625" style="157" bestFit="1" customWidth="1"/>
    <col min="15638" max="15638" width="13.7109375" style="157" bestFit="1" customWidth="1"/>
    <col min="15639" max="15872" width="11.42578125" style="157"/>
    <col min="15873" max="15873" width="4.42578125" style="157" customWidth="1"/>
    <col min="15874" max="15874" width="22.140625" style="157" customWidth="1"/>
    <col min="15875" max="15875" width="11.7109375" style="157" customWidth="1"/>
    <col min="15876" max="15889" width="8.7109375" style="157" customWidth="1"/>
    <col min="15890" max="15891" width="11.42578125" style="157"/>
    <col min="15892" max="15892" width="13.7109375" style="157" bestFit="1" customWidth="1"/>
    <col min="15893" max="15893" width="14.28515625" style="157" bestFit="1" customWidth="1"/>
    <col min="15894" max="15894" width="13.7109375" style="157" bestFit="1" customWidth="1"/>
    <col min="15895" max="16128" width="11.42578125" style="157"/>
    <col min="16129" max="16129" width="4.42578125" style="157" customWidth="1"/>
    <col min="16130" max="16130" width="22.140625" style="157" customWidth="1"/>
    <col min="16131" max="16131" width="11.7109375" style="157" customWidth="1"/>
    <col min="16132" max="16145" width="8.7109375" style="157" customWidth="1"/>
    <col min="16146" max="16147" width="11.42578125" style="157"/>
    <col min="16148" max="16148" width="13.7109375" style="157" bestFit="1" customWidth="1"/>
    <col min="16149" max="16149" width="14.28515625" style="157" bestFit="1" customWidth="1"/>
    <col min="16150" max="16150" width="13.7109375" style="157" bestFit="1" customWidth="1"/>
    <col min="16151" max="16384" width="11.42578125" style="157"/>
  </cols>
  <sheetData>
    <row r="1" spans="1:17" s="573" customFormat="1" x14ac:dyDescent="0.2"/>
    <row r="2" spans="1:17" s="573" customFormat="1" ht="20.25" x14ac:dyDescent="0.3">
      <c r="A2" s="635"/>
    </row>
    <row r="3" spans="1:17" s="573" customFormat="1" ht="15" customHeight="1" x14ac:dyDescent="0.3">
      <c r="B3" s="635"/>
    </row>
    <row r="4" spans="1:17" s="573" customFormat="1" ht="15" customHeight="1" x14ac:dyDescent="0.2"/>
    <row r="5" spans="1:17" s="573" customFormat="1" ht="18" x14ac:dyDescent="0.25">
      <c r="B5" s="570" t="s">
        <v>232</v>
      </c>
      <c r="C5" s="571"/>
      <c r="D5" s="571"/>
      <c r="E5" s="571"/>
      <c r="F5" s="571"/>
      <c r="G5" s="571"/>
      <c r="H5" s="571"/>
      <c r="I5" s="571"/>
      <c r="J5" s="572"/>
      <c r="K5" s="572"/>
      <c r="L5" s="572"/>
      <c r="M5" s="572"/>
      <c r="N5" s="572"/>
      <c r="O5" s="572"/>
      <c r="P5" s="572"/>
      <c r="Q5" s="572"/>
    </row>
    <row r="6" spans="1:17" s="573" customFormat="1" ht="11.25" customHeight="1" thickBot="1" x14ac:dyDescent="0.25"/>
    <row r="7" spans="1:17" ht="15" customHeight="1" x14ac:dyDescent="0.2">
      <c r="B7" s="1339"/>
      <c r="C7" s="1339"/>
      <c r="D7" s="1626" t="s">
        <v>151</v>
      </c>
      <c r="E7" s="1627"/>
      <c r="F7" s="1627"/>
      <c r="G7" s="1628"/>
      <c r="H7" s="1627" t="s">
        <v>180</v>
      </c>
      <c r="I7" s="1627"/>
      <c r="J7" s="1629"/>
      <c r="K7" s="1629"/>
      <c r="L7" s="1630"/>
      <c r="M7" s="1627" t="s">
        <v>181</v>
      </c>
      <c r="N7" s="1629"/>
      <c r="O7" s="1629"/>
      <c r="P7" s="1629"/>
      <c r="Q7" s="1631"/>
    </row>
    <row r="8" spans="1:17" ht="13.5" thickBot="1" x14ac:dyDescent="0.25">
      <c r="B8" s="829" t="s">
        <v>132</v>
      </c>
      <c r="C8" s="829" t="s">
        <v>151</v>
      </c>
      <c r="D8" s="830" t="s">
        <v>193</v>
      </c>
      <c r="E8" s="832" t="s">
        <v>194</v>
      </c>
      <c r="F8" s="1632" t="s">
        <v>195</v>
      </c>
      <c r="G8" s="1632" t="s">
        <v>196</v>
      </c>
      <c r="H8" s="1632" t="s">
        <v>151</v>
      </c>
      <c r="I8" s="832" t="s">
        <v>193</v>
      </c>
      <c r="J8" s="832" t="s">
        <v>194</v>
      </c>
      <c r="K8" s="832" t="s">
        <v>195</v>
      </c>
      <c r="L8" s="832" t="s">
        <v>196</v>
      </c>
      <c r="M8" s="834" t="s">
        <v>151</v>
      </c>
      <c r="N8" s="831" t="s">
        <v>193</v>
      </c>
      <c r="O8" s="831" t="s">
        <v>194</v>
      </c>
      <c r="P8" s="831" t="s">
        <v>195</v>
      </c>
      <c r="Q8" s="1633" t="s">
        <v>196</v>
      </c>
    </row>
    <row r="9" spans="1:17" x14ac:dyDescent="0.2">
      <c r="B9" s="574"/>
      <c r="C9" s="575"/>
      <c r="D9" s="576"/>
      <c r="E9" s="577"/>
      <c r="F9" s="578"/>
      <c r="G9" s="579"/>
      <c r="H9" s="580"/>
      <c r="I9" s="284"/>
      <c r="J9" s="284"/>
      <c r="K9" s="284"/>
      <c r="L9" s="285"/>
      <c r="M9" s="286"/>
      <c r="N9" s="284"/>
      <c r="O9" s="284"/>
      <c r="P9" s="284"/>
      <c r="Q9" s="288"/>
    </row>
    <row r="10" spans="1:17" x14ac:dyDescent="0.2">
      <c r="B10" s="581">
        <v>1995</v>
      </c>
      <c r="C10" s="582">
        <f t="shared" ref="C10:C15" si="0">SUM(D10:G10)</f>
        <v>16880.114601000001</v>
      </c>
      <c r="D10" s="583"/>
      <c r="E10" s="584">
        <f t="shared" ref="E10:E15" si="1">(J10+O10)</f>
        <v>12350.392384999999</v>
      </c>
      <c r="F10" s="585">
        <f>K10+P10</f>
        <v>2224.1583129999999</v>
      </c>
      <c r="G10" s="586">
        <f>L10+Q10</f>
        <v>2305.5639030000002</v>
      </c>
      <c r="H10" s="587">
        <f>SUM(I10:L10)</f>
        <v>13106.313096999998</v>
      </c>
      <c r="I10" s="300"/>
      <c r="J10" s="300">
        <f>+[4]Desagregado!D8</f>
        <v>11079.863100999999</v>
      </c>
      <c r="K10" s="300">
        <f>+[4]Desagregado!I8</f>
        <v>1347.0061020000001</v>
      </c>
      <c r="L10" s="301">
        <f>+[4]Desagregado!L8</f>
        <v>679.443894</v>
      </c>
      <c r="M10" s="588"/>
      <c r="N10" s="300"/>
      <c r="O10" s="300">
        <f>+[4]Desagregado!D52</f>
        <v>1270.529284</v>
      </c>
      <c r="P10" s="300">
        <f>+[4]Desagregado!G52</f>
        <v>877.15221099999997</v>
      </c>
      <c r="Q10" s="303">
        <f>+[4]Desagregado!J52</f>
        <v>1626.1200090000002</v>
      </c>
    </row>
    <row r="11" spans="1:17" x14ac:dyDescent="0.2">
      <c r="B11" s="574">
        <v>1996</v>
      </c>
      <c r="C11" s="592">
        <f t="shared" si="0"/>
        <v>17279.812292999999</v>
      </c>
      <c r="D11" s="576"/>
      <c r="E11" s="577">
        <f t="shared" si="1"/>
        <v>12544.471256000001</v>
      </c>
      <c r="F11" s="578">
        <f>K11+P11</f>
        <v>2511.2305689999998</v>
      </c>
      <c r="G11" s="593">
        <f t="shared" ref="G11:G28" si="2">L11+Q11</f>
        <v>2224.1104679999999</v>
      </c>
      <c r="H11" s="578">
        <f t="shared" ref="H11:H28" si="3">SUM(I11:L11)</f>
        <v>13307.577020999999</v>
      </c>
      <c r="I11" s="284"/>
      <c r="J11" s="284">
        <f>+[4]Desagregado!D9</f>
        <v>11114.304966</v>
      </c>
      <c r="K11" s="284">
        <f>+[4]Desagregado!I9</f>
        <v>1571.1488599999998</v>
      </c>
      <c r="L11" s="594">
        <f>+[4]Desagregado!L9</f>
        <v>622.1231949999999</v>
      </c>
      <c r="M11" s="283"/>
      <c r="N11" s="284"/>
      <c r="O11" s="284">
        <f>+[4]Desagregado!D53</f>
        <v>1430.1662900000001</v>
      </c>
      <c r="P11" s="284">
        <f>+[4]Desagregado!G53</f>
        <v>940.08170900000005</v>
      </c>
      <c r="Q11" s="288">
        <f>+[4]Desagregado!J53</f>
        <v>1601.987273</v>
      </c>
    </row>
    <row r="12" spans="1:17" x14ac:dyDescent="0.2">
      <c r="B12" s="581">
        <v>1997</v>
      </c>
      <c r="C12" s="595">
        <f t="shared" si="0"/>
        <v>17953.407574999997</v>
      </c>
      <c r="D12" s="583"/>
      <c r="E12" s="584">
        <f t="shared" si="1"/>
        <v>13122.068599999999</v>
      </c>
      <c r="F12" s="585">
        <f>K12+P12</f>
        <v>2722.108283</v>
      </c>
      <c r="G12" s="586">
        <f t="shared" si="2"/>
        <v>2109.2306920000001</v>
      </c>
      <c r="H12" s="587">
        <f t="shared" si="3"/>
        <v>15348.556876000001</v>
      </c>
      <c r="I12" s="300"/>
      <c r="J12" s="300">
        <f>+[4]Desagregado!D10</f>
        <v>12278.077456999999</v>
      </c>
      <c r="K12" s="300">
        <f>+[4]Desagregado!I10</f>
        <v>2428.93273</v>
      </c>
      <c r="L12" s="301">
        <f>+[4]Desagregado!L10</f>
        <v>641.54668900000013</v>
      </c>
      <c r="M12" s="588"/>
      <c r="N12" s="300"/>
      <c r="O12" s="300">
        <f>+[4]Desagregado!D54</f>
        <v>843.99114299999997</v>
      </c>
      <c r="P12" s="300">
        <f>+[4]Desagregado!G54</f>
        <v>293.17555299999998</v>
      </c>
      <c r="Q12" s="303">
        <f>+[4]Desagregado!J54</f>
        <v>1467.6840029999998</v>
      </c>
    </row>
    <row r="13" spans="1:17" x14ac:dyDescent="0.2">
      <c r="B13" s="574">
        <v>1998</v>
      </c>
      <c r="C13" s="575">
        <f t="shared" si="0"/>
        <v>18582.538846000003</v>
      </c>
      <c r="D13" s="576"/>
      <c r="E13" s="577">
        <f t="shared" si="1"/>
        <v>13724.100323000002</v>
      </c>
      <c r="F13" s="578">
        <f>K13+P13</f>
        <v>2703.1393589999998</v>
      </c>
      <c r="G13" s="593">
        <f t="shared" si="2"/>
        <v>2155.299164</v>
      </c>
      <c r="H13" s="580">
        <f t="shared" si="3"/>
        <v>16815.936847000001</v>
      </c>
      <c r="I13" s="284"/>
      <c r="J13" s="284">
        <f>+[4]Desagregado!D11</f>
        <v>13526.540201000002</v>
      </c>
      <c r="K13" s="284">
        <f>+[4]Desagregado!I11</f>
        <v>2661.583983</v>
      </c>
      <c r="L13" s="292">
        <f>+[4]Desagregado!L11</f>
        <v>627.81266299999982</v>
      </c>
      <c r="M13" s="286"/>
      <c r="N13" s="284"/>
      <c r="O13" s="284">
        <f>+[4]Desagregado!D55</f>
        <v>197.56012199999998</v>
      </c>
      <c r="P13" s="284">
        <f>+[4]Desagregado!G55</f>
        <v>41.555376000000003</v>
      </c>
      <c r="Q13" s="288">
        <f>+[4]Desagregado!J55</f>
        <v>1527.4865010000001</v>
      </c>
    </row>
    <row r="14" spans="1:17" x14ac:dyDescent="0.2">
      <c r="B14" s="581">
        <v>1999</v>
      </c>
      <c r="C14" s="595">
        <f t="shared" si="0"/>
        <v>19049.617397000002</v>
      </c>
      <c r="D14" s="583"/>
      <c r="E14" s="584">
        <f t="shared" si="1"/>
        <v>14016.392114</v>
      </c>
      <c r="F14" s="585">
        <f>K14+P14</f>
        <v>2936.148103</v>
      </c>
      <c r="G14" s="586">
        <f t="shared" si="2"/>
        <v>2097.0771800000002</v>
      </c>
      <c r="H14" s="587">
        <f t="shared" si="3"/>
        <v>17366.221878</v>
      </c>
      <c r="I14" s="300"/>
      <c r="J14" s="300">
        <f>+[4]Desagregado!D12</f>
        <v>13890.757992000001</v>
      </c>
      <c r="K14" s="300">
        <f>+[4]Desagregado!I12</f>
        <v>2868.6487069999998</v>
      </c>
      <c r="L14" s="301">
        <f>+[4]Desagregado!L12</f>
        <v>606.81517900000006</v>
      </c>
      <c r="M14" s="588"/>
      <c r="N14" s="300"/>
      <c r="O14" s="300">
        <f>+[4]Desagregado!D56</f>
        <v>125.634122</v>
      </c>
      <c r="P14" s="300">
        <f>+[4]Desagregado!G56</f>
        <v>67.499396000000019</v>
      </c>
      <c r="Q14" s="303">
        <f>+[4]Desagregado!J56</f>
        <v>1490.2620010000001</v>
      </c>
    </row>
    <row r="15" spans="1:17" x14ac:dyDescent="0.2">
      <c r="B15" s="574">
        <v>2000</v>
      </c>
      <c r="C15" s="592">
        <f t="shared" si="0"/>
        <v>19922.697337999998</v>
      </c>
      <c r="D15" s="576"/>
      <c r="E15" s="577">
        <f t="shared" si="1"/>
        <v>14754.526630999999</v>
      </c>
      <c r="F15" s="578">
        <f>K15+P15</f>
        <v>3116.4113620000003</v>
      </c>
      <c r="G15" s="593">
        <f t="shared" si="2"/>
        <v>2051.7593449999995</v>
      </c>
      <c r="H15" s="580">
        <f t="shared" si="3"/>
        <v>18327.897719000001</v>
      </c>
      <c r="I15" s="284"/>
      <c r="J15" s="284">
        <f>+[4]Desagregado!D13</f>
        <v>14635.889037999999</v>
      </c>
      <c r="K15" s="284">
        <f>+[4]Desagregado!I13</f>
        <v>3091.9220970000001</v>
      </c>
      <c r="L15" s="292">
        <f>+[4]Desagregado!L13</f>
        <v>600.0865839999999</v>
      </c>
      <c r="M15" s="286"/>
      <c r="N15" s="284"/>
      <c r="O15" s="284">
        <f>+[4]Desagregado!D57</f>
        <v>118.63759300000001</v>
      </c>
      <c r="P15" s="284">
        <f>+[4]Desagregado!G57</f>
        <v>24.489265</v>
      </c>
      <c r="Q15" s="288">
        <f>+[4]Desagregado!J57</f>
        <v>1451.6727609999994</v>
      </c>
    </row>
    <row r="16" spans="1:17" x14ac:dyDescent="0.2">
      <c r="B16" s="299">
        <v>2001</v>
      </c>
      <c r="C16" s="582">
        <f t="shared" ref="C16:C28" si="4">SUM(D16:G16)</f>
        <v>20785.725534999994</v>
      </c>
      <c r="D16" s="583">
        <f>(I16+N16)</f>
        <v>18754.582593999996</v>
      </c>
      <c r="E16" s="584"/>
      <c r="F16" s="585"/>
      <c r="G16" s="586">
        <f t="shared" si="2"/>
        <v>2031.1429409999996</v>
      </c>
      <c r="H16" s="587">
        <f t="shared" si="3"/>
        <v>19214.506641999997</v>
      </c>
      <c r="I16" s="300">
        <f>+[4]Desagregado!D16</f>
        <v>18630.491470999998</v>
      </c>
      <c r="J16" s="300"/>
      <c r="K16" s="300"/>
      <c r="L16" s="301">
        <f>+[4]Desagregado!L16</f>
        <v>584.01517100000001</v>
      </c>
      <c r="M16" s="588">
        <f t="shared" ref="M16:M28" si="5">SUM(N16:Q16)</f>
        <v>1571.2188929999995</v>
      </c>
      <c r="N16" s="300">
        <f>+[4]Desagregado!D60</f>
        <v>124.09112300000001</v>
      </c>
      <c r="O16" s="300"/>
      <c r="P16" s="300"/>
      <c r="Q16" s="303">
        <f>+[4]Desagregado!J60</f>
        <v>1447.1277699999996</v>
      </c>
    </row>
    <row r="17" spans="1:22" x14ac:dyDescent="0.2">
      <c r="B17" s="289">
        <v>2002</v>
      </c>
      <c r="C17" s="592">
        <f t="shared" si="4"/>
        <v>21982.323172000008</v>
      </c>
      <c r="D17" s="576">
        <f t="shared" ref="D17:D28" si="6">(I17+N17)</f>
        <v>20017.881547000005</v>
      </c>
      <c r="E17" s="577"/>
      <c r="F17" s="577"/>
      <c r="G17" s="596">
        <f t="shared" si="2"/>
        <v>1964.4416250000036</v>
      </c>
      <c r="H17" s="578">
        <f t="shared" si="3"/>
        <v>20419.508673000004</v>
      </c>
      <c r="I17" s="290">
        <f>+[4]Desagregado!D17</f>
        <v>19906.120506000003</v>
      </c>
      <c r="J17" s="290"/>
      <c r="K17" s="290"/>
      <c r="L17" s="292">
        <f>+[4]Desagregado!L17</f>
        <v>513.38816700000007</v>
      </c>
      <c r="M17" s="286">
        <f t="shared" si="5"/>
        <v>1562.8144990000035</v>
      </c>
      <c r="N17" s="284">
        <f>+[4]Desagregado!D61</f>
        <v>111.76104100000001</v>
      </c>
      <c r="O17" s="284"/>
      <c r="P17" s="284"/>
      <c r="Q17" s="288">
        <f>+[4]Desagregado!J61</f>
        <v>1451.0534580000035</v>
      </c>
    </row>
    <row r="18" spans="1:22" x14ac:dyDescent="0.2">
      <c r="B18" s="299">
        <v>2003</v>
      </c>
      <c r="C18" s="582">
        <f t="shared" si="4"/>
        <v>22923.353874</v>
      </c>
      <c r="D18" s="583">
        <f t="shared" si="6"/>
        <v>20998.783541999997</v>
      </c>
      <c r="E18" s="584"/>
      <c r="F18" s="584"/>
      <c r="G18" s="597">
        <f t="shared" si="2"/>
        <v>1924.5703320000036</v>
      </c>
      <c r="H18" s="585">
        <f t="shared" si="3"/>
        <v>21361.462929999994</v>
      </c>
      <c r="I18" s="302">
        <f>+[4]Desagregado!D18</f>
        <v>20890.822373999996</v>
      </c>
      <c r="J18" s="302"/>
      <c r="K18" s="302"/>
      <c r="L18" s="301">
        <f>+[4]Desagregado!L18</f>
        <v>470.64055600000029</v>
      </c>
      <c r="M18" s="588">
        <f t="shared" si="5"/>
        <v>1561.8909440000034</v>
      </c>
      <c r="N18" s="300">
        <f>+[4]Desagregado!D62</f>
        <v>107.96116799999999</v>
      </c>
      <c r="O18" s="300"/>
      <c r="P18" s="300"/>
      <c r="Q18" s="303">
        <f>+[4]Desagregado!J62</f>
        <v>1453.9297760000034</v>
      </c>
    </row>
    <row r="19" spans="1:22" x14ac:dyDescent="0.2">
      <c r="B19" s="289">
        <v>2004</v>
      </c>
      <c r="C19" s="592">
        <f t="shared" si="4"/>
        <v>24267.012071000005</v>
      </c>
      <c r="D19" s="576">
        <f t="shared" si="6"/>
        <v>22287.983366000004</v>
      </c>
      <c r="E19" s="577"/>
      <c r="F19" s="577"/>
      <c r="G19" s="596">
        <f t="shared" si="2"/>
        <v>1979.0287050000002</v>
      </c>
      <c r="H19" s="578">
        <f t="shared" si="3"/>
        <v>22619.938791000004</v>
      </c>
      <c r="I19" s="290">
        <f>+[4]Desagregado!D19</f>
        <v>22091.989912000005</v>
      </c>
      <c r="J19" s="290"/>
      <c r="K19" s="290"/>
      <c r="L19" s="292">
        <f>+[4]Desagregado!L19</f>
        <v>527.94887900000003</v>
      </c>
      <c r="M19" s="286">
        <f t="shared" si="5"/>
        <v>1647.0732800000001</v>
      </c>
      <c r="N19" s="284">
        <f>+[4]Desagregado!D63</f>
        <v>195.99345399999999</v>
      </c>
      <c r="O19" s="284"/>
      <c r="P19" s="284"/>
      <c r="Q19" s="288">
        <f>+[4]Desagregado!J63</f>
        <v>1451.0798260000001</v>
      </c>
    </row>
    <row r="20" spans="1:22" x14ac:dyDescent="0.2">
      <c r="B20" s="299">
        <v>2005</v>
      </c>
      <c r="C20" s="582">
        <f t="shared" si="4"/>
        <v>25509.736815000004</v>
      </c>
      <c r="D20" s="583">
        <f t="shared" si="6"/>
        <v>23433.609762</v>
      </c>
      <c r="E20" s="584"/>
      <c r="F20" s="584"/>
      <c r="G20" s="597">
        <f t="shared" si="2"/>
        <v>2076.1270530000033</v>
      </c>
      <c r="H20" s="585">
        <f t="shared" si="3"/>
        <v>23810.874944792748</v>
      </c>
      <c r="I20" s="302">
        <f>+[4]Desagregado!D20</f>
        <v>23233.479606792749</v>
      </c>
      <c r="J20" s="302"/>
      <c r="K20" s="302"/>
      <c r="L20" s="301">
        <f>+[4]Desagregado!L20</f>
        <v>577.39533800000004</v>
      </c>
      <c r="M20" s="588">
        <f t="shared" si="5"/>
        <v>1698.8618702072531</v>
      </c>
      <c r="N20" s="300">
        <f>+[4]Desagregado!D64</f>
        <v>200.13015520724974</v>
      </c>
      <c r="O20" s="300"/>
      <c r="P20" s="300"/>
      <c r="Q20" s="303">
        <f>+[4]Desagregado!J64</f>
        <v>1498.7317150000033</v>
      </c>
    </row>
    <row r="21" spans="1:22" x14ac:dyDescent="0.2">
      <c r="B21" s="304">
        <v>2006</v>
      </c>
      <c r="C21" s="592">
        <f>SUM(D21:G21)</f>
        <v>27369.828727579996</v>
      </c>
      <c r="D21" s="576">
        <f t="shared" si="6"/>
        <v>25257.180576999996</v>
      </c>
      <c r="E21" s="577"/>
      <c r="F21" s="577"/>
      <c r="G21" s="596">
        <f t="shared" si="2"/>
        <v>2112.6481505800002</v>
      </c>
      <c r="H21" s="578">
        <f t="shared" si="3"/>
        <v>25613.763789958582</v>
      </c>
      <c r="I21" s="290">
        <f>+[4]Desagregado!D21</f>
        <v>25037.083984958583</v>
      </c>
      <c r="J21" s="290"/>
      <c r="K21" s="290"/>
      <c r="L21" s="292">
        <f>+[4]Desagregado!L21</f>
        <v>576.67980499999999</v>
      </c>
      <c r="M21" s="286">
        <f t="shared" si="5"/>
        <v>1756.0649376214139</v>
      </c>
      <c r="N21" s="284">
        <f>+[4]Desagregado!D65</f>
        <v>220.09659204141394</v>
      </c>
      <c r="O21" s="284"/>
      <c r="P21" s="284"/>
      <c r="Q21" s="288">
        <f>+[4]Desagregado!J65</f>
        <v>1535.96834558</v>
      </c>
    </row>
    <row r="22" spans="1:22" x14ac:dyDescent="0.2">
      <c r="B22" s="330">
        <v>2007</v>
      </c>
      <c r="C22" s="595">
        <f t="shared" si="4"/>
        <v>29943.047141999999</v>
      </c>
      <c r="D22" s="583">
        <f t="shared" si="6"/>
        <v>27806.212583</v>
      </c>
      <c r="E22" s="583"/>
      <c r="F22" s="583"/>
      <c r="G22" s="597">
        <f t="shared" si="2"/>
        <v>2136.8345590000004</v>
      </c>
      <c r="H22" s="585">
        <f t="shared" si="3"/>
        <v>28200.491090340001</v>
      </c>
      <c r="I22" s="302">
        <f>+[4]Desagregado!D22</f>
        <v>27593.789342340002</v>
      </c>
      <c r="J22" s="302"/>
      <c r="K22" s="302"/>
      <c r="L22" s="301">
        <f>+[4]Desagregado!L22</f>
        <v>606.70174800000007</v>
      </c>
      <c r="M22" s="588">
        <f t="shared" si="5"/>
        <v>1742.5560516600003</v>
      </c>
      <c r="N22" s="300">
        <f>+[4]Desagregado!D66</f>
        <v>212.42324065999998</v>
      </c>
      <c r="O22" s="300"/>
      <c r="P22" s="300"/>
      <c r="Q22" s="303">
        <f>+[4]Desagregado!J66</f>
        <v>1530.1328110000004</v>
      </c>
      <c r="U22" s="157" t="s">
        <v>193</v>
      </c>
      <c r="V22" s="157" t="s">
        <v>196</v>
      </c>
    </row>
    <row r="23" spans="1:22" x14ac:dyDescent="0.2">
      <c r="B23" s="327">
        <v>2008</v>
      </c>
      <c r="C23" s="598">
        <f t="shared" si="4"/>
        <v>32463.106282999997</v>
      </c>
      <c r="D23" s="599">
        <f t="shared" si="6"/>
        <v>30103.595441999998</v>
      </c>
      <c r="E23" s="599"/>
      <c r="F23" s="599"/>
      <c r="G23" s="600">
        <f t="shared" si="2"/>
        <v>2359.5108409999998</v>
      </c>
      <c r="H23" s="601">
        <f t="shared" si="3"/>
        <v>30574.711255999999</v>
      </c>
      <c r="I23" s="298">
        <f>+[4]Desagregado!D23</f>
        <v>29905.853190999998</v>
      </c>
      <c r="J23" s="298"/>
      <c r="K23" s="298"/>
      <c r="L23" s="297">
        <f>+[4]Desagregado!L23</f>
        <v>668.8580649999999</v>
      </c>
      <c r="M23" s="421">
        <f t="shared" si="5"/>
        <v>1888.395027</v>
      </c>
      <c r="N23" s="296">
        <f>+[4]Desagregado!D67</f>
        <v>197.74225100000001</v>
      </c>
      <c r="O23" s="296"/>
      <c r="P23" s="296"/>
      <c r="Q23" s="306">
        <f>+[4]Desagregado!J67</f>
        <v>1690.6527759999999</v>
      </c>
      <c r="T23" s="157">
        <v>1995</v>
      </c>
      <c r="U23" s="201">
        <f>D10</f>
        <v>0</v>
      </c>
      <c r="V23" s="201">
        <f>G10</f>
        <v>2305.5639030000002</v>
      </c>
    </row>
    <row r="24" spans="1:22" x14ac:dyDescent="0.2">
      <c r="B24" s="330">
        <v>2009</v>
      </c>
      <c r="C24" s="595">
        <f t="shared" si="4"/>
        <v>32944.735821000002</v>
      </c>
      <c r="D24" s="583">
        <f t="shared" si="6"/>
        <v>30493.066697000002</v>
      </c>
      <c r="E24" s="583"/>
      <c r="F24" s="583"/>
      <c r="G24" s="597">
        <f t="shared" si="2"/>
        <v>2451.669124</v>
      </c>
      <c r="H24" s="585">
        <f t="shared" si="3"/>
        <v>30921.902783000001</v>
      </c>
      <c r="I24" s="302">
        <f>+[4]Desagregado!D24</f>
        <v>30289.076649000002</v>
      </c>
      <c r="J24" s="302"/>
      <c r="K24" s="302"/>
      <c r="L24" s="301">
        <f>+[4]Desagregado!L24</f>
        <v>632.82613400000002</v>
      </c>
      <c r="M24" s="588">
        <f t="shared" si="5"/>
        <v>2022.8330380000002</v>
      </c>
      <c r="N24" s="300">
        <f>+[4]Desagregado!D68</f>
        <v>203.990048</v>
      </c>
      <c r="O24" s="300"/>
      <c r="P24" s="300"/>
      <c r="Q24" s="303">
        <f>+[4]Desagregado!J68</f>
        <v>1818.8429900000001</v>
      </c>
      <c r="T24" s="157">
        <v>1996</v>
      </c>
      <c r="U24" s="201">
        <f>D11</f>
        <v>0</v>
      </c>
      <c r="V24" s="201">
        <f>G11</f>
        <v>2224.1104679999999</v>
      </c>
    </row>
    <row r="25" spans="1:22" x14ac:dyDescent="0.2">
      <c r="B25" s="327">
        <v>2010</v>
      </c>
      <c r="C25" s="598">
        <f t="shared" si="4"/>
        <v>35908.007941199998</v>
      </c>
      <c r="D25" s="599">
        <f t="shared" si="6"/>
        <v>33326.486475999998</v>
      </c>
      <c r="E25" s="599"/>
      <c r="F25" s="599"/>
      <c r="G25" s="600">
        <f t="shared" si="2"/>
        <v>2581.5214652</v>
      </c>
      <c r="H25" s="601">
        <f t="shared" si="3"/>
        <v>33545.815807200001</v>
      </c>
      <c r="I25" s="298">
        <f>+[4]Desagregado!D25</f>
        <v>33073.914225</v>
      </c>
      <c r="J25" s="296"/>
      <c r="K25" s="296"/>
      <c r="L25" s="297">
        <f>+[4]Desagregado!L25</f>
        <v>471.90158220000001</v>
      </c>
      <c r="M25" s="421">
        <f t="shared" si="5"/>
        <v>2362.1921339999999</v>
      </c>
      <c r="N25" s="296">
        <f>+[4]Desagregado!D69</f>
        <v>252.57225099999999</v>
      </c>
      <c r="O25" s="296"/>
      <c r="P25" s="296"/>
      <c r="Q25" s="306">
        <f>+[4]Desagregado!J69</f>
        <v>2109.6198829999998</v>
      </c>
      <c r="T25" s="157">
        <v>1997</v>
      </c>
      <c r="U25" s="201">
        <f>D12</f>
        <v>0</v>
      </c>
      <c r="V25" s="201">
        <f>G12</f>
        <v>2109.2306920000001</v>
      </c>
    </row>
    <row r="26" spans="1:22" s="162" customFormat="1" x14ac:dyDescent="0.2">
      <c r="A26" s="573"/>
      <c r="B26" s="330">
        <v>2011</v>
      </c>
      <c r="C26" s="595">
        <f t="shared" si="4"/>
        <v>38806.461244008911</v>
      </c>
      <c r="D26" s="583">
        <f t="shared" si="6"/>
        <v>36076.210898600002</v>
      </c>
      <c r="E26" s="583"/>
      <c r="F26" s="583"/>
      <c r="G26" s="597">
        <f t="shared" si="2"/>
        <v>2730.2503454089119</v>
      </c>
      <c r="H26" s="585">
        <f t="shared" si="3"/>
        <v>36248.532290235242</v>
      </c>
      <c r="I26" s="302">
        <f>+[4]Desagregado!D26</f>
        <v>35769.459710000003</v>
      </c>
      <c r="J26" s="300"/>
      <c r="K26" s="300"/>
      <c r="L26" s="301">
        <f>+[4]Desagregado!L26</f>
        <v>479.07258023523991</v>
      </c>
      <c r="M26" s="588">
        <f t="shared" si="5"/>
        <v>2557.9289537736722</v>
      </c>
      <c r="N26" s="300">
        <f>+[4]Desagregado!D70</f>
        <v>306.75118860000003</v>
      </c>
      <c r="O26" s="300"/>
      <c r="P26" s="300"/>
      <c r="Q26" s="303">
        <f>+[4]Desagregado!J70</f>
        <v>2251.177765173672</v>
      </c>
      <c r="T26" s="157">
        <v>1998</v>
      </c>
      <c r="U26" s="201">
        <f>D13</f>
        <v>0</v>
      </c>
      <c r="V26" s="201">
        <f>G13</f>
        <v>2155.299164</v>
      </c>
    </row>
    <row r="27" spans="1:22" s="162" customFormat="1" x14ac:dyDescent="0.2">
      <c r="A27" s="573"/>
      <c r="B27" s="327">
        <v>2012</v>
      </c>
      <c r="C27" s="598">
        <f t="shared" si="4"/>
        <v>41035.983073207899</v>
      </c>
      <c r="D27" s="599">
        <f t="shared" si="6"/>
        <v>38199.929373799954</v>
      </c>
      <c r="E27" s="599"/>
      <c r="F27" s="600"/>
      <c r="G27" s="600">
        <f t="shared" si="2"/>
        <v>2836.0536994079462</v>
      </c>
      <c r="H27" s="601">
        <f t="shared" si="3"/>
        <v>38361.029340799956</v>
      </c>
      <c r="I27" s="298">
        <f>+[4]Desagregado!D27</f>
        <v>37886.352608799956</v>
      </c>
      <c r="J27" s="296"/>
      <c r="K27" s="296"/>
      <c r="L27" s="297">
        <f>+[4]Desagregado!L27</f>
        <v>474.67673200000002</v>
      </c>
      <c r="M27" s="421">
        <f t="shared" si="5"/>
        <v>2674.9537324079461</v>
      </c>
      <c r="N27" s="296">
        <f>+[4]Desagregado!D71</f>
        <v>313.57676499999991</v>
      </c>
      <c r="O27" s="296"/>
      <c r="P27" s="296"/>
      <c r="Q27" s="306">
        <f>+[4]Desagregado!J71</f>
        <v>2361.3769674079463</v>
      </c>
      <c r="T27" s="157"/>
      <c r="U27" s="201"/>
      <c r="V27" s="201"/>
    </row>
    <row r="28" spans="1:22" s="162" customFormat="1" x14ac:dyDescent="0.2">
      <c r="A28" s="573"/>
      <c r="B28" s="330">
        <v>2013</v>
      </c>
      <c r="C28" s="595">
        <f t="shared" si="4"/>
        <v>43330.177960485373</v>
      </c>
      <c r="D28" s="583">
        <f t="shared" si="6"/>
        <v>40481.748241767418</v>
      </c>
      <c r="E28" s="583"/>
      <c r="F28" s="597"/>
      <c r="G28" s="597">
        <f t="shared" si="2"/>
        <v>2848.4297187179518</v>
      </c>
      <c r="H28" s="585">
        <f t="shared" si="3"/>
        <v>40664.66641917896</v>
      </c>
      <c r="I28" s="302">
        <f>+[4]Desagregado!D28</f>
        <v>40158.779292273408</v>
      </c>
      <c r="J28" s="300"/>
      <c r="K28" s="300"/>
      <c r="L28" s="301">
        <f>+[4]Desagregado!L28</f>
        <v>505.88712690555536</v>
      </c>
      <c r="M28" s="588">
        <f t="shared" si="5"/>
        <v>2665.5115413064068</v>
      </c>
      <c r="N28" s="300">
        <f>+[4]Desagregado!D72</f>
        <v>322.96894949401008</v>
      </c>
      <c r="O28" s="300"/>
      <c r="P28" s="300"/>
      <c r="Q28" s="303">
        <f>+[4]Desagregado!J72</f>
        <v>2342.5425918123965</v>
      </c>
      <c r="T28" s="157">
        <v>1999</v>
      </c>
      <c r="U28" s="201">
        <f t="shared" ref="U28:U44" si="7">D14</f>
        <v>0</v>
      </c>
      <c r="V28" s="201">
        <f t="shared" ref="V28:V44" si="8">G14</f>
        <v>2097.0771800000002</v>
      </c>
    </row>
    <row r="29" spans="1:22" s="162" customFormat="1" x14ac:dyDescent="0.2">
      <c r="A29" s="573"/>
      <c r="B29" s="327">
        <v>2014</v>
      </c>
      <c r="C29" s="598">
        <f>SUM(D29:G29)</f>
        <v>45549.819572254804</v>
      </c>
      <c r="D29" s="599">
        <f>(I29+N29)</f>
        <v>42624.418012779774</v>
      </c>
      <c r="E29" s="599"/>
      <c r="F29" s="600"/>
      <c r="G29" s="600">
        <f>L29+Q29</f>
        <v>2925.4015594750294</v>
      </c>
      <c r="H29" s="601">
        <f>SUM(I29:L29)</f>
        <v>42846.247729121009</v>
      </c>
      <c r="I29" s="298">
        <f>+[4]Desagregado!D29</f>
        <v>42313.748256544015</v>
      </c>
      <c r="J29" s="296"/>
      <c r="K29" s="296"/>
      <c r="L29" s="297">
        <f>+[4]Desagregado!L29</f>
        <v>532.49947257699353</v>
      </c>
      <c r="M29" s="421">
        <f>SUM(N29:Q29)</f>
        <v>2703.5718431337973</v>
      </c>
      <c r="N29" s="296">
        <f>+[4]Desagregado!D73</f>
        <v>310.66975623576116</v>
      </c>
      <c r="O29" s="296"/>
      <c r="P29" s="296"/>
      <c r="Q29" s="306">
        <f>+[4]Desagregado!J73</f>
        <v>2392.902086898036</v>
      </c>
      <c r="T29" s="157">
        <v>2000</v>
      </c>
      <c r="U29" s="201">
        <f t="shared" si="7"/>
        <v>0</v>
      </c>
      <c r="V29" s="201">
        <f t="shared" si="8"/>
        <v>2051.7593449999995</v>
      </c>
    </row>
    <row r="30" spans="1:22" s="162" customFormat="1" x14ac:dyDescent="0.2">
      <c r="A30" s="573"/>
      <c r="B30" s="330" t="s">
        <v>136</v>
      </c>
      <c r="C30" s="595">
        <f>SUM(D30:G30)</f>
        <v>48066.217187897979</v>
      </c>
      <c r="D30" s="583">
        <f>(I30+N30)</f>
        <v>45279.892669932269</v>
      </c>
      <c r="E30" s="583"/>
      <c r="F30" s="597"/>
      <c r="G30" s="597">
        <f>L30+Q30</f>
        <v>2786.3245179657088</v>
      </c>
      <c r="H30" s="585">
        <f>SUM(I30:L30)</f>
        <v>45546.498578915438</v>
      </c>
      <c r="I30" s="302">
        <f>+[4]Desagregado!D30</f>
        <v>44973.15195379639</v>
      </c>
      <c r="J30" s="300"/>
      <c r="K30" s="300"/>
      <c r="L30" s="301">
        <f>+[4]Desagregado!L30</f>
        <v>573.34662511904776</v>
      </c>
      <c r="M30" s="588">
        <f>SUM(N30:Q30)</f>
        <v>2519.7186089825373</v>
      </c>
      <c r="N30" s="300">
        <f>+[4]Desagregado!D74</f>
        <v>306.74071613587591</v>
      </c>
      <c r="O30" s="300"/>
      <c r="P30" s="300"/>
      <c r="Q30" s="303">
        <f>+[4]Desagregado!J74</f>
        <v>2212.9778928466612</v>
      </c>
      <c r="T30" s="157">
        <v>2001</v>
      </c>
      <c r="U30" s="201">
        <f t="shared" si="7"/>
        <v>18754.582593999996</v>
      </c>
      <c r="V30" s="201">
        <f t="shared" si="8"/>
        <v>2031.1429409999996</v>
      </c>
    </row>
    <row r="31" spans="1:22" s="602" customFormat="1" ht="13.5" thickBot="1" x14ac:dyDescent="0.25">
      <c r="A31" s="573"/>
      <c r="B31" s="327"/>
      <c r="C31" s="598"/>
      <c r="D31" s="599"/>
      <c r="E31" s="599"/>
      <c r="F31" s="600"/>
      <c r="G31" s="600"/>
      <c r="H31" s="601"/>
      <c r="I31" s="298"/>
      <c r="J31" s="296"/>
      <c r="K31" s="296"/>
      <c r="L31" s="297"/>
      <c r="M31" s="421"/>
      <c r="N31" s="296"/>
      <c r="O31" s="296"/>
      <c r="P31" s="296"/>
      <c r="Q31" s="306"/>
      <c r="R31" s="162"/>
      <c r="T31" s="157">
        <v>2002</v>
      </c>
      <c r="U31" s="201">
        <f t="shared" si="7"/>
        <v>20017.881547000005</v>
      </c>
      <c r="V31" s="201">
        <f t="shared" si="8"/>
        <v>1964.4416250000036</v>
      </c>
    </row>
    <row r="32" spans="1:22" ht="12.75" customHeight="1" x14ac:dyDescent="0.2">
      <c r="B32" s="604" t="s">
        <v>137</v>
      </c>
      <c r="C32" s="605">
        <f>+C30/C29-1</f>
        <v>5.5244952433926908E-2</v>
      </c>
      <c r="D32" s="609">
        <f>+D30/D29-1</f>
        <v>6.2299376295444686E-2</v>
      </c>
      <c r="E32" s="607"/>
      <c r="F32" s="607"/>
      <c r="G32" s="607">
        <f t="shared" ref="G32:I32" si="9">+G30/G29-1</f>
        <v>-4.7541179794229116E-2</v>
      </c>
      <c r="H32" s="605">
        <f t="shared" si="9"/>
        <v>6.3021874561005387E-2</v>
      </c>
      <c r="I32" s="609">
        <f t="shared" si="9"/>
        <v>6.2849636508887752E-2</v>
      </c>
      <c r="J32" s="607"/>
      <c r="K32" s="607"/>
      <c r="L32" s="607">
        <f t="shared" ref="L32:N32" si="10">+L30/L29-1</f>
        <v>7.670834366159518E-2</v>
      </c>
      <c r="M32" s="605">
        <f t="shared" si="10"/>
        <v>-6.800382783175829E-2</v>
      </c>
      <c r="N32" s="609">
        <f t="shared" si="10"/>
        <v>-1.2646999011077131E-2</v>
      </c>
      <c r="O32" s="636"/>
      <c r="P32" s="636"/>
      <c r="Q32" s="607">
        <f>+Q30/Q29-1</f>
        <v>-7.5190788221767169E-2</v>
      </c>
      <c r="T32" s="157">
        <v>2003</v>
      </c>
      <c r="U32" s="201">
        <f t="shared" si="7"/>
        <v>20998.783541999997</v>
      </c>
      <c r="V32" s="201">
        <f t="shared" si="8"/>
        <v>1924.5703320000036</v>
      </c>
    </row>
    <row r="33" spans="2:22" ht="12.75" customHeight="1" x14ac:dyDescent="0.2">
      <c r="B33" s="611" t="s">
        <v>138</v>
      </c>
      <c r="C33" s="612">
        <f>((C30/C25)^(1/5))-1</f>
        <v>6.005824039919494E-2</v>
      </c>
      <c r="D33" s="613">
        <f>((D30/D25)^(1/5))-1</f>
        <v>6.3220084238131635E-2</v>
      </c>
      <c r="E33" s="614"/>
      <c r="F33" s="614"/>
      <c r="G33" s="614">
        <f t="shared" ref="G33:I33" si="11">((G30/G25)^(1/5))-1</f>
        <v>1.5386046933429709E-2</v>
      </c>
      <c r="H33" s="612">
        <f t="shared" si="11"/>
        <v>6.3073586300502082E-2</v>
      </c>
      <c r="I33" s="613">
        <f t="shared" si="11"/>
        <v>6.3392385282011077E-2</v>
      </c>
      <c r="J33" s="614"/>
      <c r="K33" s="614"/>
      <c r="L33" s="614">
        <f t="shared" ref="L33:N33" si="12">((L30/L25)^(1/5))-1</f>
        <v>3.9712260766396446E-2</v>
      </c>
      <c r="M33" s="612">
        <f t="shared" si="12"/>
        <v>1.2995147257457873E-2</v>
      </c>
      <c r="N33" s="613">
        <f t="shared" si="12"/>
        <v>3.9626062808148399E-2</v>
      </c>
      <c r="O33" s="637"/>
      <c r="P33" s="637"/>
      <c r="Q33" s="614">
        <f>((Q30/Q25)^(1/5))-1</f>
        <v>9.6121609670893893E-3</v>
      </c>
      <c r="T33" s="157">
        <v>2004</v>
      </c>
      <c r="U33" s="201">
        <f t="shared" si="7"/>
        <v>22287.983366000004</v>
      </c>
      <c r="V33" s="201">
        <f t="shared" si="8"/>
        <v>1979.0287050000002</v>
      </c>
    </row>
    <row r="34" spans="2:22" ht="12.75" customHeight="1" x14ac:dyDescent="0.2">
      <c r="B34" s="619" t="s">
        <v>144</v>
      </c>
      <c r="C34" s="620">
        <f>(C30/C20)-1</f>
        <v>0.8842302269318012</v>
      </c>
      <c r="D34" s="621">
        <f>(D30/D20)-1</f>
        <v>0.93226281097154118</v>
      </c>
      <c r="E34" s="622"/>
      <c r="F34" s="622"/>
      <c r="G34" s="622">
        <f t="shared" ref="G34:I34" si="13">(G30/G20)-1</f>
        <v>0.34207803609103316</v>
      </c>
      <c r="H34" s="620">
        <f t="shared" si="13"/>
        <v>0.91284439083058988</v>
      </c>
      <c r="I34" s="621">
        <f t="shared" si="13"/>
        <v>0.93570453995395653</v>
      </c>
      <c r="J34" s="622"/>
      <c r="K34" s="622"/>
      <c r="L34" s="622">
        <f t="shared" ref="L34:N34" si="14">(L30/L20)-1</f>
        <v>-7.012029045777135E-3</v>
      </c>
      <c r="M34" s="620">
        <f t="shared" si="14"/>
        <v>0.48318038868877755</v>
      </c>
      <c r="N34" s="621">
        <f t="shared" si="14"/>
        <v>0.53270613225789476</v>
      </c>
      <c r="O34" s="638"/>
      <c r="P34" s="638"/>
      <c r="Q34" s="622">
        <f>(Q30/Q20)-1</f>
        <v>0.47656706713960229</v>
      </c>
      <c r="T34" s="157">
        <v>2005</v>
      </c>
      <c r="U34" s="201">
        <f t="shared" si="7"/>
        <v>23433.609762</v>
      </c>
      <c r="V34" s="201">
        <f t="shared" si="8"/>
        <v>2076.1270530000033</v>
      </c>
    </row>
    <row r="35" spans="2:22" ht="12.75" customHeight="1" thickBot="1" x14ac:dyDescent="0.25">
      <c r="B35" s="625" t="s">
        <v>140</v>
      </c>
      <c r="C35" s="626">
        <f>((C30/C20)^(1/10))-1</f>
        <v>6.5401727527485187E-2</v>
      </c>
      <c r="D35" s="627">
        <f>((D30/D20)^(1/10))-1</f>
        <v>6.80869763011136E-2</v>
      </c>
      <c r="E35" s="628"/>
      <c r="F35" s="628"/>
      <c r="G35" s="628">
        <f t="shared" ref="G35:I35" si="15">((G30/G20)^(1/10))-1</f>
        <v>2.9859019494069106E-2</v>
      </c>
      <c r="H35" s="626">
        <f t="shared" si="15"/>
        <v>6.7008708990692112E-2</v>
      </c>
      <c r="I35" s="627">
        <f t="shared" si="15"/>
        <v>6.8277070666227457E-2</v>
      </c>
      <c r="J35" s="628"/>
      <c r="K35" s="628"/>
      <c r="L35" s="628">
        <f t="shared" ref="L35:N35" si="16">((L30/L20)^(1/10))-1</f>
        <v>-7.0342536559764302E-4</v>
      </c>
      <c r="M35" s="626">
        <f t="shared" si="16"/>
        <v>4.020610285845394E-2</v>
      </c>
      <c r="N35" s="627">
        <f t="shared" si="16"/>
        <v>4.3628401351160973E-2</v>
      </c>
      <c r="O35" s="639"/>
      <c r="P35" s="639"/>
      <c r="Q35" s="628">
        <f>((Q30/Q20)^(1/10))-1</f>
        <v>3.9741354287578412E-2</v>
      </c>
      <c r="T35" s="157">
        <v>2006</v>
      </c>
      <c r="U35" s="201">
        <f t="shared" si="7"/>
        <v>25257.180576999996</v>
      </c>
      <c r="V35" s="201">
        <f t="shared" si="8"/>
        <v>2112.6481505800002</v>
      </c>
    </row>
    <row r="36" spans="2:22" ht="12" customHeight="1" x14ac:dyDescent="0.2">
      <c r="B36" s="631"/>
      <c r="C36" s="617"/>
      <c r="D36" s="617"/>
      <c r="E36" s="617"/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T36" s="640">
        <v>2007</v>
      </c>
      <c r="U36" s="641">
        <f t="shared" si="7"/>
        <v>27806.212583</v>
      </c>
      <c r="V36" s="641">
        <f t="shared" si="8"/>
        <v>2136.8345590000004</v>
      </c>
    </row>
    <row r="37" spans="2:22" s="573" customFormat="1" x14ac:dyDescent="0.2">
      <c r="B37" s="464" t="s">
        <v>323</v>
      </c>
      <c r="C37" s="642"/>
      <c r="T37" s="573">
        <v>2008</v>
      </c>
      <c r="U37" s="641">
        <f t="shared" si="7"/>
        <v>30103.595441999998</v>
      </c>
      <c r="V37" s="641">
        <f t="shared" si="8"/>
        <v>2359.5108409999998</v>
      </c>
    </row>
    <row r="38" spans="2:22" s="573" customFormat="1" x14ac:dyDescent="0.2">
      <c r="B38" s="643"/>
      <c r="C38" s="642"/>
      <c r="T38" s="573">
        <v>2009</v>
      </c>
      <c r="U38" s="641">
        <f t="shared" si="7"/>
        <v>30493.066697000002</v>
      </c>
      <c r="V38" s="641">
        <f t="shared" si="8"/>
        <v>2451.669124</v>
      </c>
    </row>
    <row r="39" spans="2:22" s="573" customFormat="1" x14ac:dyDescent="0.2">
      <c r="B39" s="644"/>
      <c r="T39" s="573">
        <v>2010</v>
      </c>
      <c r="U39" s="641">
        <f t="shared" si="7"/>
        <v>33326.486475999998</v>
      </c>
      <c r="V39" s="641">
        <f t="shared" si="8"/>
        <v>2581.5214652</v>
      </c>
    </row>
    <row r="40" spans="2:22" s="573" customFormat="1" x14ac:dyDescent="0.2">
      <c r="T40" s="573">
        <v>2011</v>
      </c>
      <c r="U40" s="641">
        <f t="shared" si="7"/>
        <v>36076.210898600002</v>
      </c>
      <c r="V40" s="641">
        <f t="shared" si="8"/>
        <v>2730.2503454089119</v>
      </c>
    </row>
    <row r="41" spans="2:22" s="573" customFormat="1" x14ac:dyDescent="0.2">
      <c r="T41" s="573">
        <v>2012</v>
      </c>
      <c r="U41" s="641">
        <f t="shared" si="7"/>
        <v>38199.929373799954</v>
      </c>
      <c r="V41" s="641">
        <f t="shared" si="8"/>
        <v>2836.0536994079462</v>
      </c>
    </row>
    <row r="42" spans="2:22" s="573" customFormat="1" x14ac:dyDescent="0.2">
      <c r="T42" s="573">
        <v>2013</v>
      </c>
      <c r="U42" s="641">
        <f t="shared" si="7"/>
        <v>40481.748241767418</v>
      </c>
      <c r="V42" s="641">
        <f t="shared" si="8"/>
        <v>2848.4297187179518</v>
      </c>
    </row>
    <row r="43" spans="2:22" s="573" customFormat="1" x14ac:dyDescent="0.2">
      <c r="T43" s="573">
        <v>2014</v>
      </c>
      <c r="U43" s="641">
        <f t="shared" si="7"/>
        <v>42624.418012779774</v>
      </c>
      <c r="V43" s="641">
        <f t="shared" si="8"/>
        <v>2925.4015594750294</v>
      </c>
    </row>
    <row r="44" spans="2:22" s="573" customFormat="1" x14ac:dyDescent="0.2">
      <c r="T44" s="573">
        <v>2015</v>
      </c>
      <c r="U44" s="641">
        <f t="shared" si="7"/>
        <v>45279.892669932269</v>
      </c>
      <c r="V44" s="641">
        <f t="shared" si="8"/>
        <v>2786.3245179657088</v>
      </c>
    </row>
    <row r="45" spans="2:22" s="573" customFormat="1" x14ac:dyDescent="0.2"/>
    <row r="46" spans="2:22" s="573" customFormat="1" x14ac:dyDescent="0.2"/>
    <row r="47" spans="2:22" s="573" customFormat="1" x14ac:dyDescent="0.2"/>
    <row r="48" spans="2:22" s="573" customFormat="1" x14ac:dyDescent="0.2"/>
    <row r="49" spans="2:22" s="573" customFormat="1" x14ac:dyDescent="0.2"/>
    <row r="50" spans="2:22" s="573" customFormat="1" x14ac:dyDescent="0.2"/>
    <row r="51" spans="2:22" s="573" customFormat="1" x14ac:dyDescent="0.2">
      <c r="U51" s="573" t="s">
        <v>188</v>
      </c>
    </row>
    <row r="52" spans="2:22" s="573" customFormat="1" x14ac:dyDescent="0.2">
      <c r="U52" s="573" t="s">
        <v>193</v>
      </c>
      <c r="V52" s="573" t="s">
        <v>196</v>
      </c>
    </row>
    <row r="53" spans="2:22" s="573" customFormat="1" x14ac:dyDescent="0.2">
      <c r="T53" s="573">
        <v>1995</v>
      </c>
      <c r="U53" s="641">
        <f t="shared" ref="U53:U72" si="17">I10</f>
        <v>0</v>
      </c>
      <c r="V53" s="641">
        <f t="shared" ref="V53:V72" si="18">L10</f>
        <v>679.443894</v>
      </c>
    </row>
    <row r="54" spans="2:22" s="573" customFormat="1" x14ac:dyDescent="0.2">
      <c r="T54" s="573">
        <v>1996</v>
      </c>
      <c r="U54" s="641">
        <f t="shared" si="17"/>
        <v>0</v>
      </c>
      <c r="V54" s="641">
        <f t="shared" si="18"/>
        <v>622.1231949999999</v>
      </c>
    </row>
    <row r="55" spans="2:22" s="573" customFormat="1" x14ac:dyDescent="0.2">
      <c r="T55" s="573">
        <v>1997</v>
      </c>
      <c r="U55" s="641">
        <f t="shared" si="17"/>
        <v>0</v>
      </c>
      <c r="V55" s="641">
        <f t="shared" si="18"/>
        <v>641.54668900000013</v>
      </c>
    </row>
    <row r="56" spans="2:22" s="573" customFormat="1" x14ac:dyDescent="0.2">
      <c r="T56" s="573">
        <v>1998</v>
      </c>
      <c r="U56" s="641">
        <f t="shared" si="17"/>
        <v>0</v>
      </c>
      <c r="V56" s="641">
        <f t="shared" si="18"/>
        <v>627.81266299999982</v>
      </c>
    </row>
    <row r="57" spans="2:22" s="573" customFormat="1" x14ac:dyDescent="0.2">
      <c r="T57" s="573">
        <v>1999</v>
      </c>
      <c r="U57" s="641">
        <f t="shared" si="17"/>
        <v>0</v>
      </c>
      <c r="V57" s="641">
        <f t="shared" si="18"/>
        <v>606.81517900000006</v>
      </c>
    </row>
    <row r="58" spans="2:22" s="573" customFormat="1" x14ac:dyDescent="0.2">
      <c r="T58" s="573">
        <v>2000</v>
      </c>
      <c r="U58" s="641">
        <f t="shared" si="17"/>
        <v>0</v>
      </c>
      <c r="V58" s="641">
        <f t="shared" si="18"/>
        <v>600.0865839999999</v>
      </c>
    </row>
    <row r="59" spans="2:22" s="573" customFormat="1" ht="23.25" x14ac:dyDescent="0.35">
      <c r="B59" s="1425"/>
      <c r="T59" s="573">
        <v>2001</v>
      </c>
      <c r="U59" s="641">
        <f t="shared" si="17"/>
        <v>18630.491470999998</v>
      </c>
      <c r="V59" s="641">
        <f t="shared" si="18"/>
        <v>584.01517100000001</v>
      </c>
    </row>
    <row r="60" spans="2:22" s="573" customFormat="1" x14ac:dyDescent="0.2">
      <c r="T60" s="573">
        <v>2002</v>
      </c>
      <c r="U60" s="641">
        <f t="shared" si="17"/>
        <v>19906.120506000003</v>
      </c>
      <c r="V60" s="641">
        <f t="shared" si="18"/>
        <v>513.38816700000007</v>
      </c>
    </row>
    <row r="61" spans="2:22" s="573" customFormat="1" x14ac:dyDescent="0.2">
      <c r="T61" s="573">
        <v>2003</v>
      </c>
      <c r="U61" s="641">
        <f t="shared" si="17"/>
        <v>20890.822373999996</v>
      </c>
      <c r="V61" s="641">
        <f t="shared" si="18"/>
        <v>470.64055600000029</v>
      </c>
    </row>
    <row r="62" spans="2:22" s="573" customFormat="1" x14ac:dyDescent="0.2">
      <c r="T62" s="573">
        <v>2004</v>
      </c>
      <c r="U62" s="641">
        <f t="shared" si="17"/>
        <v>22091.989912000005</v>
      </c>
      <c r="V62" s="641">
        <f t="shared" si="18"/>
        <v>527.94887900000003</v>
      </c>
    </row>
    <row r="63" spans="2:22" s="573" customFormat="1" x14ac:dyDescent="0.2">
      <c r="T63" s="573">
        <v>2005</v>
      </c>
      <c r="U63" s="641">
        <f t="shared" si="17"/>
        <v>23233.479606792749</v>
      </c>
      <c r="V63" s="641">
        <f t="shared" si="18"/>
        <v>577.39533800000004</v>
      </c>
    </row>
    <row r="64" spans="2:22" s="573" customFormat="1" x14ac:dyDescent="0.2">
      <c r="T64" s="573">
        <v>2006</v>
      </c>
      <c r="U64" s="641">
        <f t="shared" si="17"/>
        <v>25037.083984958583</v>
      </c>
      <c r="V64" s="641">
        <f t="shared" si="18"/>
        <v>576.67980499999999</v>
      </c>
    </row>
    <row r="65" spans="20:22" s="573" customFormat="1" x14ac:dyDescent="0.2">
      <c r="T65" s="640">
        <v>2007</v>
      </c>
      <c r="U65" s="641">
        <f t="shared" si="17"/>
        <v>27593.789342340002</v>
      </c>
      <c r="V65" s="641">
        <f t="shared" si="18"/>
        <v>606.70174800000007</v>
      </c>
    </row>
    <row r="66" spans="20:22" s="573" customFormat="1" x14ac:dyDescent="0.2">
      <c r="T66" s="573">
        <v>2008</v>
      </c>
      <c r="U66" s="641">
        <f t="shared" si="17"/>
        <v>29905.853190999998</v>
      </c>
      <c r="V66" s="641">
        <f t="shared" si="18"/>
        <v>668.8580649999999</v>
      </c>
    </row>
    <row r="67" spans="20:22" s="573" customFormat="1" x14ac:dyDescent="0.2">
      <c r="T67" s="573">
        <v>2009</v>
      </c>
      <c r="U67" s="641">
        <f t="shared" si="17"/>
        <v>30289.076649000002</v>
      </c>
      <c r="V67" s="641">
        <f t="shared" si="18"/>
        <v>632.82613400000002</v>
      </c>
    </row>
    <row r="68" spans="20:22" s="573" customFormat="1" x14ac:dyDescent="0.2">
      <c r="T68" s="573">
        <v>2010</v>
      </c>
      <c r="U68" s="641">
        <f t="shared" si="17"/>
        <v>33073.914225</v>
      </c>
      <c r="V68" s="641">
        <f t="shared" si="18"/>
        <v>471.90158220000001</v>
      </c>
    </row>
    <row r="69" spans="20:22" s="573" customFormat="1" x14ac:dyDescent="0.2">
      <c r="T69" s="573">
        <v>2011</v>
      </c>
      <c r="U69" s="641">
        <f t="shared" si="17"/>
        <v>35769.459710000003</v>
      </c>
      <c r="V69" s="641">
        <f t="shared" si="18"/>
        <v>479.07258023523991</v>
      </c>
    </row>
    <row r="70" spans="20:22" s="573" customFormat="1" x14ac:dyDescent="0.2">
      <c r="T70" s="573">
        <v>2012</v>
      </c>
      <c r="U70" s="641">
        <f t="shared" si="17"/>
        <v>37886.352608799956</v>
      </c>
      <c r="V70" s="641">
        <f t="shared" si="18"/>
        <v>474.67673200000002</v>
      </c>
    </row>
    <row r="71" spans="20:22" s="573" customFormat="1" x14ac:dyDescent="0.2">
      <c r="T71" s="573">
        <v>2013</v>
      </c>
      <c r="U71" s="641">
        <f t="shared" si="17"/>
        <v>40158.779292273408</v>
      </c>
      <c r="V71" s="641">
        <f t="shared" si="18"/>
        <v>505.88712690555536</v>
      </c>
    </row>
    <row r="72" spans="20:22" s="573" customFormat="1" x14ac:dyDescent="0.2">
      <c r="T72" s="573">
        <v>2014</v>
      </c>
      <c r="U72" s="641">
        <f t="shared" si="17"/>
        <v>42313.748256544015</v>
      </c>
      <c r="V72" s="641">
        <f t="shared" si="18"/>
        <v>532.49947257699353</v>
      </c>
    </row>
    <row r="73" spans="20:22" s="573" customFormat="1" x14ac:dyDescent="0.2">
      <c r="T73" s="573">
        <v>2015</v>
      </c>
      <c r="U73" s="641">
        <f>I30</f>
        <v>44973.15195379639</v>
      </c>
      <c r="V73" s="641">
        <f>L30</f>
        <v>573.34662511904776</v>
      </c>
    </row>
    <row r="74" spans="20:22" s="573" customFormat="1" x14ac:dyDescent="0.2"/>
    <row r="75" spans="20:22" s="573" customFormat="1" x14ac:dyDescent="0.2"/>
    <row r="76" spans="20:22" s="573" customFormat="1" x14ac:dyDescent="0.2">
      <c r="U76" s="573" t="s">
        <v>190</v>
      </c>
    </row>
    <row r="77" spans="20:22" s="573" customFormat="1" x14ac:dyDescent="0.2">
      <c r="U77" s="573" t="s">
        <v>193</v>
      </c>
      <c r="V77" s="573" t="s">
        <v>196</v>
      </c>
    </row>
    <row r="78" spans="20:22" s="573" customFormat="1" x14ac:dyDescent="0.2">
      <c r="T78" s="573">
        <v>1995</v>
      </c>
      <c r="U78" s="641">
        <f t="shared" ref="U78:U96" si="19">N10</f>
        <v>0</v>
      </c>
      <c r="V78" s="641">
        <f t="shared" ref="V78:V96" si="20">Q10</f>
        <v>1626.1200090000002</v>
      </c>
    </row>
    <row r="79" spans="20:22" s="573" customFormat="1" x14ac:dyDescent="0.2">
      <c r="T79" s="573">
        <v>1996</v>
      </c>
      <c r="U79" s="641">
        <f t="shared" si="19"/>
        <v>0</v>
      </c>
      <c r="V79" s="641">
        <f t="shared" si="20"/>
        <v>1601.987273</v>
      </c>
    </row>
    <row r="80" spans="20:22" s="573" customFormat="1" x14ac:dyDescent="0.2">
      <c r="T80" s="573">
        <v>1997</v>
      </c>
      <c r="U80" s="641">
        <f t="shared" si="19"/>
        <v>0</v>
      </c>
      <c r="V80" s="641">
        <f t="shared" si="20"/>
        <v>1467.6840029999998</v>
      </c>
    </row>
    <row r="81" spans="20:22" s="573" customFormat="1" x14ac:dyDescent="0.2">
      <c r="T81" s="573">
        <v>1998</v>
      </c>
      <c r="U81" s="641">
        <f t="shared" si="19"/>
        <v>0</v>
      </c>
      <c r="V81" s="641">
        <f t="shared" si="20"/>
        <v>1527.4865010000001</v>
      </c>
    </row>
    <row r="82" spans="20:22" s="573" customFormat="1" x14ac:dyDescent="0.2">
      <c r="T82" s="573">
        <v>1999</v>
      </c>
      <c r="U82" s="641">
        <f t="shared" si="19"/>
        <v>0</v>
      </c>
      <c r="V82" s="641">
        <f t="shared" si="20"/>
        <v>1490.2620010000001</v>
      </c>
    </row>
    <row r="83" spans="20:22" s="573" customFormat="1" x14ac:dyDescent="0.2">
      <c r="T83" s="573">
        <v>2000</v>
      </c>
      <c r="U83" s="641">
        <f t="shared" si="19"/>
        <v>0</v>
      </c>
      <c r="V83" s="641">
        <f t="shared" si="20"/>
        <v>1451.6727609999994</v>
      </c>
    </row>
    <row r="84" spans="20:22" s="573" customFormat="1" x14ac:dyDescent="0.2">
      <c r="T84" s="573">
        <v>2001</v>
      </c>
      <c r="U84" s="641">
        <f t="shared" si="19"/>
        <v>124.09112300000001</v>
      </c>
      <c r="V84" s="641">
        <f t="shared" si="20"/>
        <v>1447.1277699999996</v>
      </c>
    </row>
    <row r="85" spans="20:22" s="573" customFormat="1" x14ac:dyDescent="0.2">
      <c r="T85" s="573">
        <v>2002</v>
      </c>
      <c r="U85" s="641">
        <f t="shared" si="19"/>
        <v>111.76104100000001</v>
      </c>
      <c r="V85" s="641">
        <f t="shared" si="20"/>
        <v>1451.0534580000035</v>
      </c>
    </row>
    <row r="86" spans="20:22" s="573" customFormat="1" x14ac:dyDescent="0.2">
      <c r="T86" s="573">
        <v>2003</v>
      </c>
      <c r="U86" s="641">
        <f t="shared" si="19"/>
        <v>107.96116799999999</v>
      </c>
      <c r="V86" s="641">
        <f t="shared" si="20"/>
        <v>1453.9297760000034</v>
      </c>
    </row>
    <row r="87" spans="20:22" s="573" customFormat="1" x14ac:dyDescent="0.2">
      <c r="T87" s="573">
        <v>2004</v>
      </c>
      <c r="U87" s="641">
        <f t="shared" si="19"/>
        <v>195.99345399999999</v>
      </c>
      <c r="V87" s="641">
        <f t="shared" si="20"/>
        <v>1451.0798260000001</v>
      </c>
    </row>
    <row r="88" spans="20:22" s="573" customFormat="1" x14ac:dyDescent="0.2">
      <c r="T88" s="573">
        <v>2005</v>
      </c>
      <c r="U88" s="641">
        <f t="shared" si="19"/>
        <v>200.13015520724974</v>
      </c>
      <c r="V88" s="641">
        <f t="shared" si="20"/>
        <v>1498.7317150000033</v>
      </c>
    </row>
    <row r="89" spans="20:22" s="573" customFormat="1" x14ac:dyDescent="0.2">
      <c r="T89" s="573">
        <v>2006</v>
      </c>
      <c r="U89" s="641">
        <f t="shared" si="19"/>
        <v>220.09659204141394</v>
      </c>
      <c r="V89" s="641">
        <f t="shared" si="20"/>
        <v>1535.96834558</v>
      </c>
    </row>
    <row r="90" spans="20:22" s="573" customFormat="1" x14ac:dyDescent="0.2">
      <c r="T90" s="640">
        <v>2007</v>
      </c>
      <c r="U90" s="641">
        <f t="shared" si="19"/>
        <v>212.42324065999998</v>
      </c>
      <c r="V90" s="641">
        <f t="shared" si="20"/>
        <v>1530.1328110000004</v>
      </c>
    </row>
    <row r="91" spans="20:22" s="573" customFormat="1" x14ac:dyDescent="0.2">
      <c r="T91" s="573">
        <v>2008</v>
      </c>
      <c r="U91" s="641">
        <f t="shared" si="19"/>
        <v>197.74225100000001</v>
      </c>
      <c r="V91" s="641">
        <f t="shared" si="20"/>
        <v>1690.6527759999999</v>
      </c>
    </row>
    <row r="92" spans="20:22" s="573" customFormat="1" x14ac:dyDescent="0.2">
      <c r="T92" s="573">
        <v>2009</v>
      </c>
      <c r="U92" s="641">
        <f t="shared" si="19"/>
        <v>203.990048</v>
      </c>
      <c r="V92" s="641">
        <f t="shared" si="20"/>
        <v>1818.8429900000001</v>
      </c>
    </row>
    <row r="93" spans="20:22" s="573" customFormat="1" x14ac:dyDescent="0.2">
      <c r="T93" s="573">
        <v>2010</v>
      </c>
      <c r="U93" s="641">
        <f t="shared" si="19"/>
        <v>252.57225099999999</v>
      </c>
      <c r="V93" s="641">
        <f t="shared" si="20"/>
        <v>2109.6198829999998</v>
      </c>
    </row>
    <row r="94" spans="20:22" s="573" customFormat="1" x14ac:dyDescent="0.2">
      <c r="T94" s="573">
        <v>2011</v>
      </c>
      <c r="U94" s="641">
        <f t="shared" si="19"/>
        <v>306.75118860000003</v>
      </c>
      <c r="V94" s="641">
        <f t="shared" si="20"/>
        <v>2251.177765173672</v>
      </c>
    </row>
    <row r="95" spans="20:22" s="573" customFormat="1" x14ac:dyDescent="0.2">
      <c r="T95" s="573">
        <v>2012</v>
      </c>
      <c r="U95" s="641">
        <f t="shared" si="19"/>
        <v>313.57676499999991</v>
      </c>
      <c r="V95" s="641">
        <f t="shared" si="20"/>
        <v>2361.3769674079463</v>
      </c>
    </row>
    <row r="96" spans="20:22" x14ac:dyDescent="0.2">
      <c r="T96" s="157">
        <v>2013</v>
      </c>
      <c r="U96" s="201">
        <f t="shared" si="19"/>
        <v>322.96894949401008</v>
      </c>
      <c r="V96" s="201">
        <f t="shared" si="20"/>
        <v>2342.5425918123965</v>
      </c>
    </row>
    <row r="97" spans="20:22" x14ac:dyDescent="0.2">
      <c r="T97" s="157">
        <v>2014</v>
      </c>
      <c r="U97" s="201">
        <f>N29</f>
        <v>310.66975623576116</v>
      </c>
      <c r="V97" s="201">
        <f>Q29</f>
        <v>2392.902086898036</v>
      </c>
    </row>
    <row r="98" spans="20:22" x14ac:dyDescent="0.2">
      <c r="T98" s="157">
        <v>2015</v>
      </c>
      <c r="U98" s="201">
        <f>N30</f>
        <v>306.74071613587591</v>
      </c>
      <c r="V98" s="201">
        <f>Q30</f>
        <v>2212.9778928466612</v>
      </c>
    </row>
  </sheetData>
  <printOptions horizontalCentered="1" verticalCentered="1"/>
  <pageMargins left="0.39370078740157483" right="0.19685039370078741" top="0.51181102362204722" bottom="0.27559055118110237" header="0" footer="0"/>
  <pageSetup paperSize="9" scale="5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5"/>
  <sheetViews>
    <sheetView view="pageBreakPreview" topLeftCell="A46" zoomScale="130" zoomScaleNormal="100" zoomScaleSheetLayoutView="130" workbookViewId="0">
      <selection activeCell="C59" sqref="C59"/>
    </sheetView>
  </sheetViews>
  <sheetFormatPr baseColWidth="10" defaultRowHeight="12.75" x14ac:dyDescent="0.2"/>
  <cols>
    <col min="1" max="1" width="5" style="573" customWidth="1"/>
    <col min="2" max="2" width="20" style="157" customWidth="1"/>
    <col min="3" max="3" width="12.42578125" style="157" customWidth="1"/>
    <col min="4" max="8" width="15.140625" style="157" customWidth="1"/>
    <col min="9" max="11" width="11.42578125" style="157"/>
    <col min="12" max="14" width="12.140625" style="157" customWidth="1"/>
    <col min="15" max="15" width="9.7109375" style="157" customWidth="1"/>
    <col min="16" max="16" width="3.42578125" style="157" customWidth="1"/>
    <col min="17" max="17" width="3.5703125" style="157" customWidth="1"/>
    <col min="18" max="18" width="25.42578125" style="337" customWidth="1"/>
    <col min="19" max="21" width="9.7109375" style="337" customWidth="1"/>
    <col min="22" max="22" width="3.42578125" style="337" customWidth="1"/>
    <col min="23" max="23" width="8.140625" style="337" customWidth="1"/>
    <col min="24" max="24" width="14.85546875" style="337" customWidth="1"/>
    <col min="25" max="25" width="9.5703125" style="337" customWidth="1"/>
    <col min="26" max="26" width="14.85546875" style="337" customWidth="1"/>
    <col min="27" max="27" width="13.85546875" style="337" bestFit="1" customWidth="1"/>
    <col min="28" max="28" width="12.85546875" style="157" bestFit="1" customWidth="1"/>
    <col min="29" max="29" width="13.85546875" style="157" bestFit="1" customWidth="1"/>
    <col min="30" max="30" width="13" style="157" customWidth="1"/>
    <col min="31" max="32" width="9.7109375" style="157" customWidth="1"/>
    <col min="33" max="35" width="11.42578125" style="157"/>
    <col min="36" max="36" width="8.7109375" style="157" customWidth="1"/>
    <col min="37" max="39" width="11.42578125" style="157"/>
    <col min="40" max="40" width="8.5703125" style="157" customWidth="1"/>
    <col min="41" max="256" width="11.42578125" style="157"/>
    <col min="257" max="257" width="5" style="157" customWidth="1"/>
    <col min="258" max="258" width="20" style="157" customWidth="1"/>
    <col min="259" max="259" width="12.42578125" style="157" customWidth="1"/>
    <col min="260" max="264" width="15.140625" style="157" customWidth="1"/>
    <col min="265" max="267" width="11.42578125" style="157"/>
    <col min="268" max="270" width="12.140625" style="157" customWidth="1"/>
    <col min="271" max="271" width="9.7109375" style="157" customWidth="1"/>
    <col min="272" max="272" width="3.42578125" style="157" customWidth="1"/>
    <col min="273" max="273" width="3.5703125" style="157" customWidth="1"/>
    <col min="274" max="274" width="25.42578125" style="157" customWidth="1"/>
    <col min="275" max="277" width="9.7109375" style="157" customWidth="1"/>
    <col min="278" max="278" width="3.42578125" style="157" customWidth="1"/>
    <col min="279" max="279" width="8.140625" style="157" customWidth="1"/>
    <col min="280" max="280" width="14.85546875" style="157" customWidth="1"/>
    <col min="281" max="281" width="9.5703125" style="157" customWidth="1"/>
    <col min="282" max="282" width="14.85546875" style="157" customWidth="1"/>
    <col min="283" max="283" width="13.85546875" style="157" bestFit="1" customWidth="1"/>
    <col min="284" max="284" width="12.85546875" style="157" bestFit="1" customWidth="1"/>
    <col min="285" max="285" width="13.85546875" style="157" bestFit="1" customWidth="1"/>
    <col min="286" max="286" width="13" style="157" customWidth="1"/>
    <col min="287" max="288" width="9.7109375" style="157" customWidth="1"/>
    <col min="289" max="291" width="11.42578125" style="157"/>
    <col min="292" max="292" width="8.7109375" style="157" customWidth="1"/>
    <col min="293" max="295" width="11.42578125" style="157"/>
    <col min="296" max="296" width="8.5703125" style="157" customWidth="1"/>
    <col min="297" max="512" width="11.42578125" style="157"/>
    <col min="513" max="513" width="5" style="157" customWidth="1"/>
    <col min="514" max="514" width="20" style="157" customWidth="1"/>
    <col min="515" max="515" width="12.42578125" style="157" customWidth="1"/>
    <col min="516" max="520" width="15.140625" style="157" customWidth="1"/>
    <col min="521" max="523" width="11.42578125" style="157"/>
    <col min="524" max="526" width="12.140625" style="157" customWidth="1"/>
    <col min="527" max="527" width="9.7109375" style="157" customWidth="1"/>
    <col min="528" max="528" width="3.42578125" style="157" customWidth="1"/>
    <col min="529" max="529" width="3.5703125" style="157" customWidth="1"/>
    <col min="530" max="530" width="25.42578125" style="157" customWidth="1"/>
    <col min="531" max="533" width="9.7109375" style="157" customWidth="1"/>
    <col min="534" max="534" width="3.42578125" style="157" customWidth="1"/>
    <col min="535" max="535" width="8.140625" style="157" customWidth="1"/>
    <col min="536" max="536" width="14.85546875" style="157" customWidth="1"/>
    <col min="537" max="537" width="9.5703125" style="157" customWidth="1"/>
    <col min="538" max="538" width="14.85546875" style="157" customWidth="1"/>
    <col min="539" max="539" width="13.85546875" style="157" bestFit="1" customWidth="1"/>
    <col min="540" max="540" width="12.85546875" style="157" bestFit="1" customWidth="1"/>
    <col min="541" max="541" width="13.85546875" style="157" bestFit="1" customWidth="1"/>
    <col min="542" max="542" width="13" style="157" customWidth="1"/>
    <col min="543" max="544" width="9.7109375" style="157" customWidth="1"/>
    <col min="545" max="547" width="11.42578125" style="157"/>
    <col min="548" max="548" width="8.7109375" style="157" customWidth="1"/>
    <col min="549" max="551" width="11.42578125" style="157"/>
    <col min="552" max="552" width="8.5703125" style="157" customWidth="1"/>
    <col min="553" max="768" width="11.42578125" style="157"/>
    <col min="769" max="769" width="5" style="157" customWidth="1"/>
    <col min="770" max="770" width="20" style="157" customWidth="1"/>
    <col min="771" max="771" width="12.42578125" style="157" customWidth="1"/>
    <col min="772" max="776" width="15.140625" style="157" customWidth="1"/>
    <col min="777" max="779" width="11.42578125" style="157"/>
    <col min="780" max="782" width="12.140625" style="157" customWidth="1"/>
    <col min="783" max="783" width="9.7109375" style="157" customWidth="1"/>
    <col min="784" max="784" width="3.42578125" style="157" customWidth="1"/>
    <col min="785" max="785" width="3.5703125" style="157" customWidth="1"/>
    <col min="786" max="786" width="25.42578125" style="157" customWidth="1"/>
    <col min="787" max="789" width="9.7109375" style="157" customWidth="1"/>
    <col min="790" max="790" width="3.42578125" style="157" customWidth="1"/>
    <col min="791" max="791" width="8.140625" style="157" customWidth="1"/>
    <col min="792" max="792" width="14.85546875" style="157" customWidth="1"/>
    <col min="793" max="793" width="9.5703125" style="157" customWidth="1"/>
    <col min="794" max="794" width="14.85546875" style="157" customWidth="1"/>
    <col min="795" max="795" width="13.85546875" style="157" bestFit="1" customWidth="1"/>
    <col min="796" max="796" width="12.85546875" style="157" bestFit="1" customWidth="1"/>
    <col min="797" max="797" width="13.85546875" style="157" bestFit="1" customWidth="1"/>
    <col min="798" max="798" width="13" style="157" customWidth="1"/>
    <col min="799" max="800" width="9.7109375" style="157" customWidth="1"/>
    <col min="801" max="803" width="11.42578125" style="157"/>
    <col min="804" max="804" width="8.7109375" style="157" customWidth="1"/>
    <col min="805" max="807" width="11.42578125" style="157"/>
    <col min="808" max="808" width="8.5703125" style="157" customWidth="1"/>
    <col min="809" max="1024" width="11.42578125" style="157"/>
    <col min="1025" max="1025" width="5" style="157" customWidth="1"/>
    <col min="1026" max="1026" width="20" style="157" customWidth="1"/>
    <col min="1027" max="1027" width="12.42578125" style="157" customWidth="1"/>
    <col min="1028" max="1032" width="15.140625" style="157" customWidth="1"/>
    <col min="1033" max="1035" width="11.42578125" style="157"/>
    <col min="1036" max="1038" width="12.140625" style="157" customWidth="1"/>
    <col min="1039" max="1039" width="9.7109375" style="157" customWidth="1"/>
    <col min="1040" max="1040" width="3.42578125" style="157" customWidth="1"/>
    <col min="1041" max="1041" width="3.5703125" style="157" customWidth="1"/>
    <col min="1042" max="1042" width="25.42578125" style="157" customWidth="1"/>
    <col min="1043" max="1045" width="9.7109375" style="157" customWidth="1"/>
    <col min="1046" max="1046" width="3.42578125" style="157" customWidth="1"/>
    <col min="1047" max="1047" width="8.140625" style="157" customWidth="1"/>
    <col min="1048" max="1048" width="14.85546875" style="157" customWidth="1"/>
    <col min="1049" max="1049" width="9.5703125" style="157" customWidth="1"/>
    <col min="1050" max="1050" width="14.85546875" style="157" customWidth="1"/>
    <col min="1051" max="1051" width="13.85546875" style="157" bestFit="1" customWidth="1"/>
    <col min="1052" max="1052" width="12.85546875" style="157" bestFit="1" customWidth="1"/>
    <col min="1053" max="1053" width="13.85546875" style="157" bestFit="1" customWidth="1"/>
    <col min="1054" max="1054" width="13" style="157" customWidth="1"/>
    <col min="1055" max="1056" width="9.7109375" style="157" customWidth="1"/>
    <col min="1057" max="1059" width="11.42578125" style="157"/>
    <col min="1060" max="1060" width="8.7109375" style="157" customWidth="1"/>
    <col min="1061" max="1063" width="11.42578125" style="157"/>
    <col min="1064" max="1064" width="8.5703125" style="157" customWidth="1"/>
    <col min="1065" max="1280" width="11.42578125" style="157"/>
    <col min="1281" max="1281" width="5" style="157" customWidth="1"/>
    <col min="1282" max="1282" width="20" style="157" customWidth="1"/>
    <col min="1283" max="1283" width="12.42578125" style="157" customWidth="1"/>
    <col min="1284" max="1288" width="15.140625" style="157" customWidth="1"/>
    <col min="1289" max="1291" width="11.42578125" style="157"/>
    <col min="1292" max="1294" width="12.140625" style="157" customWidth="1"/>
    <col min="1295" max="1295" width="9.7109375" style="157" customWidth="1"/>
    <col min="1296" max="1296" width="3.42578125" style="157" customWidth="1"/>
    <col min="1297" max="1297" width="3.5703125" style="157" customWidth="1"/>
    <col min="1298" max="1298" width="25.42578125" style="157" customWidth="1"/>
    <col min="1299" max="1301" width="9.7109375" style="157" customWidth="1"/>
    <col min="1302" max="1302" width="3.42578125" style="157" customWidth="1"/>
    <col min="1303" max="1303" width="8.140625" style="157" customWidth="1"/>
    <col min="1304" max="1304" width="14.85546875" style="157" customWidth="1"/>
    <col min="1305" max="1305" width="9.5703125" style="157" customWidth="1"/>
    <col min="1306" max="1306" width="14.85546875" style="157" customWidth="1"/>
    <col min="1307" max="1307" width="13.85546875" style="157" bestFit="1" customWidth="1"/>
    <col min="1308" max="1308" width="12.85546875" style="157" bestFit="1" customWidth="1"/>
    <col min="1309" max="1309" width="13.85546875" style="157" bestFit="1" customWidth="1"/>
    <col min="1310" max="1310" width="13" style="157" customWidth="1"/>
    <col min="1311" max="1312" width="9.7109375" style="157" customWidth="1"/>
    <col min="1313" max="1315" width="11.42578125" style="157"/>
    <col min="1316" max="1316" width="8.7109375" style="157" customWidth="1"/>
    <col min="1317" max="1319" width="11.42578125" style="157"/>
    <col min="1320" max="1320" width="8.5703125" style="157" customWidth="1"/>
    <col min="1321" max="1536" width="11.42578125" style="157"/>
    <col min="1537" max="1537" width="5" style="157" customWidth="1"/>
    <col min="1538" max="1538" width="20" style="157" customWidth="1"/>
    <col min="1539" max="1539" width="12.42578125" style="157" customWidth="1"/>
    <col min="1540" max="1544" width="15.140625" style="157" customWidth="1"/>
    <col min="1545" max="1547" width="11.42578125" style="157"/>
    <col min="1548" max="1550" width="12.140625" style="157" customWidth="1"/>
    <col min="1551" max="1551" width="9.7109375" style="157" customWidth="1"/>
    <col min="1552" max="1552" width="3.42578125" style="157" customWidth="1"/>
    <col min="1553" max="1553" width="3.5703125" style="157" customWidth="1"/>
    <col min="1554" max="1554" width="25.42578125" style="157" customWidth="1"/>
    <col min="1555" max="1557" width="9.7109375" style="157" customWidth="1"/>
    <col min="1558" max="1558" width="3.42578125" style="157" customWidth="1"/>
    <col min="1559" max="1559" width="8.140625" style="157" customWidth="1"/>
    <col min="1560" max="1560" width="14.85546875" style="157" customWidth="1"/>
    <col min="1561" max="1561" width="9.5703125" style="157" customWidth="1"/>
    <col min="1562" max="1562" width="14.85546875" style="157" customWidth="1"/>
    <col min="1563" max="1563" width="13.85546875" style="157" bestFit="1" customWidth="1"/>
    <col min="1564" max="1564" width="12.85546875" style="157" bestFit="1" customWidth="1"/>
    <col min="1565" max="1565" width="13.85546875" style="157" bestFit="1" customWidth="1"/>
    <col min="1566" max="1566" width="13" style="157" customWidth="1"/>
    <col min="1567" max="1568" width="9.7109375" style="157" customWidth="1"/>
    <col min="1569" max="1571" width="11.42578125" style="157"/>
    <col min="1572" max="1572" width="8.7109375" style="157" customWidth="1"/>
    <col min="1573" max="1575" width="11.42578125" style="157"/>
    <col min="1576" max="1576" width="8.5703125" style="157" customWidth="1"/>
    <col min="1577" max="1792" width="11.42578125" style="157"/>
    <col min="1793" max="1793" width="5" style="157" customWidth="1"/>
    <col min="1794" max="1794" width="20" style="157" customWidth="1"/>
    <col min="1795" max="1795" width="12.42578125" style="157" customWidth="1"/>
    <col min="1796" max="1800" width="15.140625" style="157" customWidth="1"/>
    <col min="1801" max="1803" width="11.42578125" style="157"/>
    <col min="1804" max="1806" width="12.140625" style="157" customWidth="1"/>
    <col min="1807" max="1807" width="9.7109375" style="157" customWidth="1"/>
    <col min="1808" max="1808" width="3.42578125" style="157" customWidth="1"/>
    <col min="1809" max="1809" width="3.5703125" style="157" customWidth="1"/>
    <col min="1810" max="1810" width="25.42578125" style="157" customWidth="1"/>
    <col min="1811" max="1813" width="9.7109375" style="157" customWidth="1"/>
    <col min="1814" max="1814" width="3.42578125" style="157" customWidth="1"/>
    <col min="1815" max="1815" width="8.140625" style="157" customWidth="1"/>
    <col min="1816" max="1816" width="14.85546875" style="157" customWidth="1"/>
    <col min="1817" max="1817" width="9.5703125" style="157" customWidth="1"/>
    <col min="1818" max="1818" width="14.85546875" style="157" customWidth="1"/>
    <col min="1819" max="1819" width="13.85546875" style="157" bestFit="1" customWidth="1"/>
    <col min="1820" max="1820" width="12.85546875" style="157" bestFit="1" customWidth="1"/>
    <col min="1821" max="1821" width="13.85546875" style="157" bestFit="1" customWidth="1"/>
    <col min="1822" max="1822" width="13" style="157" customWidth="1"/>
    <col min="1823" max="1824" width="9.7109375" style="157" customWidth="1"/>
    <col min="1825" max="1827" width="11.42578125" style="157"/>
    <col min="1828" max="1828" width="8.7109375" style="157" customWidth="1"/>
    <col min="1829" max="1831" width="11.42578125" style="157"/>
    <col min="1832" max="1832" width="8.5703125" style="157" customWidth="1"/>
    <col min="1833" max="2048" width="11.42578125" style="157"/>
    <col min="2049" max="2049" width="5" style="157" customWidth="1"/>
    <col min="2050" max="2050" width="20" style="157" customWidth="1"/>
    <col min="2051" max="2051" width="12.42578125" style="157" customWidth="1"/>
    <col min="2052" max="2056" width="15.140625" style="157" customWidth="1"/>
    <col min="2057" max="2059" width="11.42578125" style="157"/>
    <col min="2060" max="2062" width="12.140625" style="157" customWidth="1"/>
    <col min="2063" max="2063" width="9.7109375" style="157" customWidth="1"/>
    <col min="2064" max="2064" width="3.42578125" style="157" customWidth="1"/>
    <col min="2065" max="2065" width="3.5703125" style="157" customWidth="1"/>
    <col min="2066" max="2066" width="25.42578125" style="157" customWidth="1"/>
    <col min="2067" max="2069" width="9.7109375" style="157" customWidth="1"/>
    <col min="2070" max="2070" width="3.42578125" style="157" customWidth="1"/>
    <col min="2071" max="2071" width="8.140625" style="157" customWidth="1"/>
    <col min="2072" max="2072" width="14.85546875" style="157" customWidth="1"/>
    <col min="2073" max="2073" width="9.5703125" style="157" customWidth="1"/>
    <col min="2074" max="2074" width="14.85546875" style="157" customWidth="1"/>
    <col min="2075" max="2075" width="13.85546875" style="157" bestFit="1" customWidth="1"/>
    <col min="2076" max="2076" width="12.85546875" style="157" bestFit="1" customWidth="1"/>
    <col min="2077" max="2077" width="13.85546875" style="157" bestFit="1" customWidth="1"/>
    <col min="2078" max="2078" width="13" style="157" customWidth="1"/>
    <col min="2079" max="2080" width="9.7109375" style="157" customWidth="1"/>
    <col min="2081" max="2083" width="11.42578125" style="157"/>
    <col min="2084" max="2084" width="8.7109375" style="157" customWidth="1"/>
    <col min="2085" max="2087" width="11.42578125" style="157"/>
    <col min="2088" max="2088" width="8.5703125" style="157" customWidth="1"/>
    <col min="2089" max="2304" width="11.42578125" style="157"/>
    <col min="2305" max="2305" width="5" style="157" customWidth="1"/>
    <col min="2306" max="2306" width="20" style="157" customWidth="1"/>
    <col min="2307" max="2307" width="12.42578125" style="157" customWidth="1"/>
    <col min="2308" max="2312" width="15.140625" style="157" customWidth="1"/>
    <col min="2313" max="2315" width="11.42578125" style="157"/>
    <col min="2316" max="2318" width="12.140625" style="157" customWidth="1"/>
    <col min="2319" max="2319" width="9.7109375" style="157" customWidth="1"/>
    <col min="2320" max="2320" width="3.42578125" style="157" customWidth="1"/>
    <col min="2321" max="2321" width="3.5703125" style="157" customWidth="1"/>
    <col min="2322" max="2322" width="25.42578125" style="157" customWidth="1"/>
    <col min="2323" max="2325" width="9.7109375" style="157" customWidth="1"/>
    <col min="2326" max="2326" width="3.42578125" style="157" customWidth="1"/>
    <col min="2327" max="2327" width="8.140625" style="157" customWidth="1"/>
    <col min="2328" max="2328" width="14.85546875" style="157" customWidth="1"/>
    <col min="2329" max="2329" width="9.5703125" style="157" customWidth="1"/>
    <col min="2330" max="2330" width="14.85546875" style="157" customWidth="1"/>
    <col min="2331" max="2331" width="13.85546875" style="157" bestFit="1" customWidth="1"/>
    <col min="2332" max="2332" width="12.85546875" style="157" bestFit="1" customWidth="1"/>
    <col min="2333" max="2333" width="13.85546875" style="157" bestFit="1" customWidth="1"/>
    <col min="2334" max="2334" width="13" style="157" customWidth="1"/>
    <col min="2335" max="2336" width="9.7109375" style="157" customWidth="1"/>
    <col min="2337" max="2339" width="11.42578125" style="157"/>
    <col min="2340" max="2340" width="8.7109375" style="157" customWidth="1"/>
    <col min="2341" max="2343" width="11.42578125" style="157"/>
    <col min="2344" max="2344" width="8.5703125" style="157" customWidth="1"/>
    <col min="2345" max="2560" width="11.42578125" style="157"/>
    <col min="2561" max="2561" width="5" style="157" customWidth="1"/>
    <col min="2562" max="2562" width="20" style="157" customWidth="1"/>
    <col min="2563" max="2563" width="12.42578125" style="157" customWidth="1"/>
    <col min="2564" max="2568" width="15.140625" style="157" customWidth="1"/>
    <col min="2569" max="2571" width="11.42578125" style="157"/>
    <col min="2572" max="2574" width="12.140625" style="157" customWidth="1"/>
    <col min="2575" max="2575" width="9.7109375" style="157" customWidth="1"/>
    <col min="2576" max="2576" width="3.42578125" style="157" customWidth="1"/>
    <col min="2577" max="2577" width="3.5703125" style="157" customWidth="1"/>
    <col min="2578" max="2578" width="25.42578125" style="157" customWidth="1"/>
    <col min="2579" max="2581" width="9.7109375" style="157" customWidth="1"/>
    <col min="2582" max="2582" width="3.42578125" style="157" customWidth="1"/>
    <col min="2583" max="2583" width="8.140625" style="157" customWidth="1"/>
    <col min="2584" max="2584" width="14.85546875" style="157" customWidth="1"/>
    <col min="2585" max="2585" width="9.5703125" style="157" customWidth="1"/>
    <col min="2586" max="2586" width="14.85546875" style="157" customWidth="1"/>
    <col min="2587" max="2587" width="13.85546875" style="157" bestFit="1" customWidth="1"/>
    <col min="2588" max="2588" width="12.85546875" style="157" bestFit="1" customWidth="1"/>
    <col min="2589" max="2589" width="13.85546875" style="157" bestFit="1" customWidth="1"/>
    <col min="2590" max="2590" width="13" style="157" customWidth="1"/>
    <col min="2591" max="2592" width="9.7109375" style="157" customWidth="1"/>
    <col min="2593" max="2595" width="11.42578125" style="157"/>
    <col min="2596" max="2596" width="8.7109375" style="157" customWidth="1"/>
    <col min="2597" max="2599" width="11.42578125" style="157"/>
    <col min="2600" max="2600" width="8.5703125" style="157" customWidth="1"/>
    <col min="2601" max="2816" width="11.42578125" style="157"/>
    <col min="2817" max="2817" width="5" style="157" customWidth="1"/>
    <col min="2818" max="2818" width="20" style="157" customWidth="1"/>
    <col min="2819" max="2819" width="12.42578125" style="157" customWidth="1"/>
    <col min="2820" max="2824" width="15.140625" style="157" customWidth="1"/>
    <col min="2825" max="2827" width="11.42578125" style="157"/>
    <col min="2828" max="2830" width="12.140625" style="157" customWidth="1"/>
    <col min="2831" max="2831" width="9.7109375" style="157" customWidth="1"/>
    <col min="2832" max="2832" width="3.42578125" style="157" customWidth="1"/>
    <col min="2833" max="2833" width="3.5703125" style="157" customWidth="1"/>
    <col min="2834" max="2834" width="25.42578125" style="157" customWidth="1"/>
    <col min="2835" max="2837" width="9.7109375" style="157" customWidth="1"/>
    <col min="2838" max="2838" width="3.42578125" style="157" customWidth="1"/>
    <col min="2839" max="2839" width="8.140625" style="157" customWidth="1"/>
    <col min="2840" max="2840" width="14.85546875" style="157" customWidth="1"/>
    <col min="2841" max="2841" width="9.5703125" style="157" customWidth="1"/>
    <col min="2842" max="2842" width="14.85546875" style="157" customWidth="1"/>
    <col min="2843" max="2843" width="13.85546875" style="157" bestFit="1" customWidth="1"/>
    <col min="2844" max="2844" width="12.85546875" style="157" bestFit="1" customWidth="1"/>
    <col min="2845" max="2845" width="13.85546875" style="157" bestFit="1" customWidth="1"/>
    <col min="2846" max="2846" width="13" style="157" customWidth="1"/>
    <col min="2847" max="2848" width="9.7109375" style="157" customWidth="1"/>
    <col min="2849" max="2851" width="11.42578125" style="157"/>
    <col min="2852" max="2852" width="8.7109375" style="157" customWidth="1"/>
    <col min="2853" max="2855" width="11.42578125" style="157"/>
    <col min="2856" max="2856" width="8.5703125" style="157" customWidth="1"/>
    <col min="2857" max="3072" width="11.42578125" style="157"/>
    <col min="3073" max="3073" width="5" style="157" customWidth="1"/>
    <col min="3074" max="3074" width="20" style="157" customWidth="1"/>
    <col min="3075" max="3075" width="12.42578125" style="157" customWidth="1"/>
    <col min="3076" max="3080" width="15.140625" style="157" customWidth="1"/>
    <col min="3081" max="3083" width="11.42578125" style="157"/>
    <col min="3084" max="3086" width="12.140625" style="157" customWidth="1"/>
    <col min="3087" max="3087" width="9.7109375" style="157" customWidth="1"/>
    <col min="3088" max="3088" width="3.42578125" style="157" customWidth="1"/>
    <col min="3089" max="3089" width="3.5703125" style="157" customWidth="1"/>
    <col min="3090" max="3090" width="25.42578125" style="157" customWidth="1"/>
    <col min="3091" max="3093" width="9.7109375" style="157" customWidth="1"/>
    <col min="3094" max="3094" width="3.42578125" style="157" customWidth="1"/>
    <col min="3095" max="3095" width="8.140625" style="157" customWidth="1"/>
    <col min="3096" max="3096" width="14.85546875" style="157" customWidth="1"/>
    <col min="3097" max="3097" width="9.5703125" style="157" customWidth="1"/>
    <col min="3098" max="3098" width="14.85546875" style="157" customWidth="1"/>
    <col min="3099" max="3099" width="13.85546875" style="157" bestFit="1" customWidth="1"/>
    <col min="3100" max="3100" width="12.85546875" style="157" bestFit="1" customWidth="1"/>
    <col min="3101" max="3101" width="13.85546875" style="157" bestFit="1" customWidth="1"/>
    <col min="3102" max="3102" width="13" style="157" customWidth="1"/>
    <col min="3103" max="3104" width="9.7109375" style="157" customWidth="1"/>
    <col min="3105" max="3107" width="11.42578125" style="157"/>
    <col min="3108" max="3108" width="8.7109375" style="157" customWidth="1"/>
    <col min="3109" max="3111" width="11.42578125" style="157"/>
    <col min="3112" max="3112" width="8.5703125" style="157" customWidth="1"/>
    <col min="3113" max="3328" width="11.42578125" style="157"/>
    <col min="3329" max="3329" width="5" style="157" customWidth="1"/>
    <col min="3330" max="3330" width="20" style="157" customWidth="1"/>
    <col min="3331" max="3331" width="12.42578125" style="157" customWidth="1"/>
    <col min="3332" max="3336" width="15.140625" style="157" customWidth="1"/>
    <col min="3337" max="3339" width="11.42578125" style="157"/>
    <col min="3340" max="3342" width="12.140625" style="157" customWidth="1"/>
    <col min="3343" max="3343" width="9.7109375" style="157" customWidth="1"/>
    <col min="3344" max="3344" width="3.42578125" style="157" customWidth="1"/>
    <col min="3345" max="3345" width="3.5703125" style="157" customWidth="1"/>
    <col min="3346" max="3346" width="25.42578125" style="157" customWidth="1"/>
    <col min="3347" max="3349" width="9.7109375" style="157" customWidth="1"/>
    <col min="3350" max="3350" width="3.42578125" style="157" customWidth="1"/>
    <col min="3351" max="3351" width="8.140625" style="157" customWidth="1"/>
    <col min="3352" max="3352" width="14.85546875" style="157" customWidth="1"/>
    <col min="3353" max="3353" width="9.5703125" style="157" customWidth="1"/>
    <col min="3354" max="3354" width="14.85546875" style="157" customWidth="1"/>
    <col min="3355" max="3355" width="13.85546875" style="157" bestFit="1" customWidth="1"/>
    <col min="3356" max="3356" width="12.85546875" style="157" bestFit="1" customWidth="1"/>
    <col min="3357" max="3357" width="13.85546875" style="157" bestFit="1" customWidth="1"/>
    <col min="3358" max="3358" width="13" style="157" customWidth="1"/>
    <col min="3359" max="3360" width="9.7109375" style="157" customWidth="1"/>
    <col min="3361" max="3363" width="11.42578125" style="157"/>
    <col min="3364" max="3364" width="8.7109375" style="157" customWidth="1"/>
    <col min="3365" max="3367" width="11.42578125" style="157"/>
    <col min="3368" max="3368" width="8.5703125" style="157" customWidth="1"/>
    <col min="3369" max="3584" width="11.42578125" style="157"/>
    <col min="3585" max="3585" width="5" style="157" customWidth="1"/>
    <col min="3586" max="3586" width="20" style="157" customWidth="1"/>
    <col min="3587" max="3587" width="12.42578125" style="157" customWidth="1"/>
    <col min="3588" max="3592" width="15.140625" style="157" customWidth="1"/>
    <col min="3593" max="3595" width="11.42578125" style="157"/>
    <col min="3596" max="3598" width="12.140625" style="157" customWidth="1"/>
    <col min="3599" max="3599" width="9.7109375" style="157" customWidth="1"/>
    <col min="3600" max="3600" width="3.42578125" style="157" customWidth="1"/>
    <col min="3601" max="3601" width="3.5703125" style="157" customWidth="1"/>
    <col min="3602" max="3602" width="25.42578125" style="157" customWidth="1"/>
    <col min="3603" max="3605" width="9.7109375" style="157" customWidth="1"/>
    <col min="3606" max="3606" width="3.42578125" style="157" customWidth="1"/>
    <col min="3607" max="3607" width="8.140625" style="157" customWidth="1"/>
    <col min="3608" max="3608" width="14.85546875" style="157" customWidth="1"/>
    <col min="3609" max="3609" width="9.5703125" style="157" customWidth="1"/>
    <col min="3610" max="3610" width="14.85546875" style="157" customWidth="1"/>
    <col min="3611" max="3611" width="13.85546875" style="157" bestFit="1" customWidth="1"/>
    <col min="3612" max="3612" width="12.85546875" style="157" bestFit="1" customWidth="1"/>
    <col min="3613" max="3613" width="13.85546875" style="157" bestFit="1" customWidth="1"/>
    <col min="3614" max="3614" width="13" style="157" customWidth="1"/>
    <col min="3615" max="3616" width="9.7109375" style="157" customWidth="1"/>
    <col min="3617" max="3619" width="11.42578125" style="157"/>
    <col min="3620" max="3620" width="8.7109375" style="157" customWidth="1"/>
    <col min="3621" max="3623" width="11.42578125" style="157"/>
    <col min="3624" max="3624" width="8.5703125" style="157" customWidth="1"/>
    <col min="3625" max="3840" width="11.42578125" style="157"/>
    <col min="3841" max="3841" width="5" style="157" customWidth="1"/>
    <col min="3842" max="3842" width="20" style="157" customWidth="1"/>
    <col min="3843" max="3843" width="12.42578125" style="157" customWidth="1"/>
    <col min="3844" max="3848" width="15.140625" style="157" customWidth="1"/>
    <col min="3849" max="3851" width="11.42578125" style="157"/>
    <col min="3852" max="3854" width="12.140625" style="157" customWidth="1"/>
    <col min="3855" max="3855" width="9.7109375" style="157" customWidth="1"/>
    <col min="3856" max="3856" width="3.42578125" style="157" customWidth="1"/>
    <col min="3857" max="3857" width="3.5703125" style="157" customWidth="1"/>
    <col min="3858" max="3858" width="25.42578125" style="157" customWidth="1"/>
    <col min="3859" max="3861" width="9.7109375" style="157" customWidth="1"/>
    <col min="3862" max="3862" width="3.42578125" style="157" customWidth="1"/>
    <col min="3863" max="3863" width="8.140625" style="157" customWidth="1"/>
    <col min="3864" max="3864" width="14.85546875" style="157" customWidth="1"/>
    <col min="3865" max="3865" width="9.5703125" style="157" customWidth="1"/>
    <col min="3866" max="3866" width="14.85546875" style="157" customWidth="1"/>
    <col min="3867" max="3867" width="13.85546875" style="157" bestFit="1" customWidth="1"/>
    <col min="3868" max="3868" width="12.85546875" style="157" bestFit="1" customWidth="1"/>
    <col min="3869" max="3869" width="13.85546875" style="157" bestFit="1" customWidth="1"/>
    <col min="3870" max="3870" width="13" style="157" customWidth="1"/>
    <col min="3871" max="3872" width="9.7109375" style="157" customWidth="1"/>
    <col min="3873" max="3875" width="11.42578125" style="157"/>
    <col min="3876" max="3876" width="8.7109375" style="157" customWidth="1"/>
    <col min="3877" max="3879" width="11.42578125" style="157"/>
    <col min="3880" max="3880" width="8.5703125" style="157" customWidth="1"/>
    <col min="3881" max="4096" width="11.42578125" style="157"/>
    <col min="4097" max="4097" width="5" style="157" customWidth="1"/>
    <col min="4098" max="4098" width="20" style="157" customWidth="1"/>
    <col min="4099" max="4099" width="12.42578125" style="157" customWidth="1"/>
    <col min="4100" max="4104" width="15.140625" style="157" customWidth="1"/>
    <col min="4105" max="4107" width="11.42578125" style="157"/>
    <col min="4108" max="4110" width="12.140625" style="157" customWidth="1"/>
    <col min="4111" max="4111" width="9.7109375" style="157" customWidth="1"/>
    <col min="4112" max="4112" width="3.42578125" style="157" customWidth="1"/>
    <col min="4113" max="4113" width="3.5703125" style="157" customWidth="1"/>
    <col min="4114" max="4114" width="25.42578125" style="157" customWidth="1"/>
    <col min="4115" max="4117" width="9.7109375" style="157" customWidth="1"/>
    <col min="4118" max="4118" width="3.42578125" style="157" customWidth="1"/>
    <col min="4119" max="4119" width="8.140625" style="157" customWidth="1"/>
    <col min="4120" max="4120" width="14.85546875" style="157" customWidth="1"/>
    <col min="4121" max="4121" width="9.5703125" style="157" customWidth="1"/>
    <col min="4122" max="4122" width="14.85546875" style="157" customWidth="1"/>
    <col min="4123" max="4123" width="13.85546875" style="157" bestFit="1" customWidth="1"/>
    <col min="4124" max="4124" width="12.85546875" style="157" bestFit="1" customWidth="1"/>
    <col min="4125" max="4125" width="13.85546875" style="157" bestFit="1" customWidth="1"/>
    <col min="4126" max="4126" width="13" style="157" customWidth="1"/>
    <col min="4127" max="4128" width="9.7109375" style="157" customWidth="1"/>
    <col min="4129" max="4131" width="11.42578125" style="157"/>
    <col min="4132" max="4132" width="8.7109375" style="157" customWidth="1"/>
    <col min="4133" max="4135" width="11.42578125" style="157"/>
    <col min="4136" max="4136" width="8.5703125" style="157" customWidth="1"/>
    <col min="4137" max="4352" width="11.42578125" style="157"/>
    <col min="4353" max="4353" width="5" style="157" customWidth="1"/>
    <col min="4354" max="4354" width="20" style="157" customWidth="1"/>
    <col min="4355" max="4355" width="12.42578125" style="157" customWidth="1"/>
    <col min="4356" max="4360" width="15.140625" style="157" customWidth="1"/>
    <col min="4361" max="4363" width="11.42578125" style="157"/>
    <col min="4364" max="4366" width="12.140625" style="157" customWidth="1"/>
    <col min="4367" max="4367" width="9.7109375" style="157" customWidth="1"/>
    <col min="4368" max="4368" width="3.42578125" style="157" customWidth="1"/>
    <col min="4369" max="4369" width="3.5703125" style="157" customWidth="1"/>
    <col min="4370" max="4370" width="25.42578125" style="157" customWidth="1"/>
    <col min="4371" max="4373" width="9.7109375" style="157" customWidth="1"/>
    <col min="4374" max="4374" width="3.42578125" style="157" customWidth="1"/>
    <col min="4375" max="4375" width="8.140625" style="157" customWidth="1"/>
    <col min="4376" max="4376" width="14.85546875" style="157" customWidth="1"/>
    <col min="4377" max="4377" width="9.5703125" style="157" customWidth="1"/>
    <col min="4378" max="4378" width="14.85546875" style="157" customWidth="1"/>
    <col min="4379" max="4379" width="13.85546875" style="157" bestFit="1" customWidth="1"/>
    <col min="4380" max="4380" width="12.85546875" style="157" bestFit="1" customWidth="1"/>
    <col min="4381" max="4381" width="13.85546875" style="157" bestFit="1" customWidth="1"/>
    <col min="4382" max="4382" width="13" style="157" customWidth="1"/>
    <col min="4383" max="4384" width="9.7109375" style="157" customWidth="1"/>
    <col min="4385" max="4387" width="11.42578125" style="157"/>
    <col min="4388" max="4388" width="8.7109375" style="157" customWidth="1"/>
    <col min="4389" max="4391" width="11.42578125" style="157"/>
    <col min="4392" max="4392" width="8.5703125" style="157" customWidth="1"/>
    <col min="4393" max="4608" width="11.42578125" style="157"/>
    <col min="4609" max="4609" width="5" style="157" customWidth="1"/>
    <col min="4610" max="4610" width="20" style="157" customWidth="1"/>
    <col min="4611" max="4611" width="12.42578125" style="157" customWidth="1"/>
    <col min="4612" max="4616" width="15.140625" style="157" customWidth="1"/>
    <col min="4617" max="4619" width="11.42578125" style="157"/>
    <col min="4620" max="4622" width="12.140625" style="157" customWidth="1"/>
    <col min="4623" max="4623" width="9.7109375" style="157" customWidth="1"/>
    <col min="4624" max="4624" width="3.42578125" style="157" customWidth="1"/>
    <col min="4625" max="4625" width="3.5703125" style="157" customWidth="1"/>
    <col min="4626" max="4626" width="25.42578125" style="157" customWidth="1"/>
    <col min="4627" max="4629" width="9.7109375" style="157" customWidth="1"/>
    <col min="4630" max="4630" width="3.42578125" style="157" customWidth="1"/>
    <col min="4631" max="4631" width="8.140625" style="157" customWidth="1"/>
    <col min="4632" max="4632" width="14.85546875" style="157" customWidth="1"/>
    <col min="4633" max="4633" width="9.5703125" style="157" customWidth="1"/>
    <col min="4634" max="4634" width="14.85546875" style="157" customWidth="1"/>
    <col min="4635" max="4635" width="13.85546875" style="157" bestFit="1" customWidth="1"/>
    <col min="4636" max="4636" width="12.85546875" style="157" bestFit="1" customWidth="1"/>
    <col min="4637" max="4637" width="13.85546875" style="157" bestFit="1" customWidth="1"/>
    <col min="4638" max="4638" width="13" style="157" customWidth="1"/>
    <col min="4639" max="4640" width="9.7109375" style="157" customWidth="1"/>
    <col min="4641" max="4643" width="11.42578125" style="157"/>
    <col min="4644" max="4644" width="8.7109375" style="157" customWidth="1"/>
    <col min="4645" max="4647" width="11.42578125" style="157"/>
    <col min="4648" max="4648" width="8.5703125" style="157" customWidth="1"/>
    <col min="4649" max="4864" width="11.42578125" style="157"/>
    <col min="4865" max="4865" width="5" style="157" customWidth="1"/>
    <col min="4866" max="4866" width="20" style="157" customWidth="1"/>
    <col min="4867" max="4867" width="12.42578125" style="157" customWidth="1"/>
    <col min="4868" max="4872" width="15.140625" style="157" customWidth="1"/>
    <col min="4873" max="4875" width="11.42578125" style="157"/>
    <col min="4876" max="4878" width="12.140625" style="157" customWidth="1"/>
    <col min="4879" max="4879" width="9.7109375" style="157" customWidth="1"/>
    <col min="4880" max="4880" width="3.42578125" style="157" customWidth="1"/>
    <col min="4881" max="4881" width="3.5703125" style="157" customWidth="1"/>
    <col min="4882" max="4882" width="25.42578125" style="157" customWidth="1"/>
    <col min="4883" max="4885" width="9.7109375" style="157" customWidth="1"/>
    <col min="4886" max="4886" width="3.42578125" style="157" customWidth="1"/>
    <col min="4887" max="4887" width="8.140625" style="157" customWidth="1"/>
    <col min="4888" max="4888" width="14.85546875" style="157" customWidth="1"/>
    <col min="4889" max="4889" width="9.5703125" style="157" customWidth="1"/>
    <col min="4890" max="4890" width="14.85546875" style="157" customWidth="1"/>
    <col min="4891" max="4891" width="13.85546875" style="157" bestFit="1" customWidth="1"/>
    <col min="4892" max="4892" width="12.85546875" style="157" bestFit="1" customWidth="1"/>
    <col min="4893" max="4893" width="13.85546875" style="157" bestFit="1" customWidth="1"/>
    <col min="4894" max="4894" width="13" style="157" customWidth="1"/>
    <col min="4895" max="4896" width="9.7109375" style="157" customWidth="1"/>
    <col min="4897" max="4899" width="11.42578125" style="157"/>
    <col min="4900" max="4900" width="8.7109375" style="157" customWidth="1"/>
    <col min="4901" max="4903" width="11.42578125" style="157"/>
    <col min="4904" max="4904" width="8.5703125" style="157" customWidth="1"/>
    <col min="4905" max="5120" width="11.42578125" style="157"/>
    <col min="5121" max="5121" width="5" style="157" customWidth="1"/>
    <col min="5122" max="5122" width="20" style="157" customWidth="1"/>
    <col min="5123" max="5123" width="12.42578125" style="157" customWidth="1"/>
    <col min="5124" max="5128" width="15.140625" style="157" customWidth="1"/>
    <col min="5129" max="5131" width="11.42578125" style="157"/>
    <col min="5132" max="5134" width="12.140625" style="157" customWidth="1"/>
    <col min="5135" max="5135" width="9.7109375" style="157" customWidth="1"/>
    <col min="5136" max="5136" width="3.42578125" style="157" customWidth="1"/>
    <col min="5137" max="5137" width="3.5703125" style="157" customWidth="1"/>
    <col min="5138" max="5138" width="25.42578125" style="157" customWidth="1"/>
    <col min="5139" max="5141" width="9.7109375" style="157" customWidth="1"/>
    <col min="5142" max="5142" width="3.42578125" style="157" customWidth="1"/>
    <col min="5143" max="5143" width="8.140625" style="157" customWidth="1"/>
    <col min="5144" max="5144" width="14.85546875" style="157" customWidth="1"/>
    <col min="5145" max="5145" width="9.5703125" style="157" customWidth="1"/>
    <col min="5146" max="5146" width="14.85546875" style="157" customWidth="1"/>
    <col min="5147" max="5147" width="13.85546875" style="157" bestFit="1" customWidth="1"/>
    <col min="5148" max="5148" width="12.85546875" style="157" bestFit="1" customWidth="1"/>
    <col min="5149" max="5149" width="13.85546875" style="157" bestFit="1" customWidth="1"/>
    <col min="5150" max="5150" width="13" style="157" customWidth="1"/>
    <col min="5151" max="5152" width="9.7109375" style="157" customWidth="1"/>
    <col min="5153" max="5155" width="11.42578125" style="157"/>
    <col min="5156" max="5156" width="8.7109375" style="157" customWidth="1"/>
    <col min="5157" max="5159" width="11.42578125" style="157"/>
    <col min="5160" max="5160" width="8.5703125" style="157" customWidth="1"/>
    <col min="5161" max="5376" width="11.42578125" style="157"/>
    <col min="5377" max="5377" width="5" style="157" customWidth="1"/>
    <col min="5378" max="5378" width="20" style="157" customWidth="1"/>
    <col min="5379" max="5379" width="12.42578125" style="157" customWidth="1"/>
    <col min="5380" max="5384" width="15.140625" style="157" customWidth="1"/>
    <col min="5385" max="5387" width="11.42578125" style="157"/>
    <col min="5388" max="5390" width="12.140625" style="157" customWidth="1"/>
    <col min="5391" max="5391" width="9.7109375" style="157" customWidth="1"/>
    <col min="5392" max="5392" width="3.42578125" style="157" customWidth="1"/>
    <col min="5393" max="5393" width="3.5703125" style="157" customWidth="1"/>
    <col min="5394" max="5394" width="25.42578125" style="157" customWidth="1"/>
    <col min="5395" max="5397" width="9.7109375" style="157" customWidth="1"/>
    <col min="5398" max="5398" width="3.42578125" style="157" customWidth="1"/>
    <col min="5399" max="5399" width="8.140625" style="157" customWidth="1"/>
    <col min="5400" max="5400" width="14.85546875" style="157" customWidth="1"/>
    <col min="5401" max="5401" width="9.5703125" style="157" customWidth="1"/>
    <col min="5402" max="5402" width="14.85546875" style="157" customWidth="1"/>
    <col min="5403" max="5403" width="13.85546875" style="157" bestFit="1" customWidth="1"/>
    <col min="5404" max="5404" width="12.85546875" style="157" bestFit="1" customWidth="1"/>
    <col min="5405" max="5405" width="13.85546875" style="157" bestFit="1" customWidth="1"/>
    <col min="5406" max="5406" width="13" style="157" customWidth="1"/>
    <col min="5407" max="5408" width="9.7109375" style="157" customWidth="1"/>
    <col min="5409" max="5411" width="11.42578125" style="157"/>
    <col min="5412" max="5412" width="8.7109375" style="157" customWidth="1"/>
    <col min="5413" max="5415" width="11.42578125" style="157"/>
    <col min="5416" max="5416" width="8.5703125" style="157" customWidth="1"/>
    <col min="5417" max="5632" width="11.42578125" style="157"/>
    <col min="5633" max="5633" width="5" style="157" customWidth="1"/>
    <col min="5634" max="5634" width="20" style="157" customWidth="1"/>
    <col min="5635" max="5635" width="12.42578125" style="157" customWidth="1"/>
    <col min="5636" max="5640" width="15.140625" style="157" customWidth="1"/>
    <col min="5641" max="5643" width="11.42578125" style="157"/>
    <col min="5644" max="5646" width="12.140625" style="157" customWidth="1"/>
    <col min="5647" max="5647" width="9.7109375" style="157" customWidth="1"/>
    <col min="5648" max="5648" width="3.42578125" style="157" customWidth="1"/>
    <col min="5649" max="5649" width="3.5703125" style="157" customWidth="1"/>
    <col min="5650" max="5650" width="25.42578125" style="157" customWidth="1"/>
    <col min="5651" max="5653" width="9.7109375" style="157" customWidth="1"/>
    <col min="5654" max="5654" width="3.42578125" style="157" customWidth="1"/>
    <col min="5655" max="5655" width="8.140625" style="157" customWidth="1"/>
    <col min="5656" max="5656" width="14.85546875" style="157" customWidth="1"/>
    <col min="5657" max="5657" width="9.5703125" style="157" customWidth="1"/>
    <col min="5658" max="5658" width="14.85546875" style="157" customWidth="1"/>
    <col min="5659" max="5659" width="13.85546875" style="157" bestFit="1" customWidth="1"/>
    <col min="5660" max="5660" width="12.85546875" style="157" bestFit="1" customWidth="1"/>
    <col min="5661" max="5661" width="13.85546875" style="157" bestFit="1" customWidth="1"/>
    <col min="5662" max="5662" width="13" style="157" customWidth="1"/>
    <col min="5663" max="5664" width="9.7109375" style="157" customWidth="1"/>
    <col min="5665" max="5667" width="11.42578125" style="157"/>
    <col min="5668" max="5668" width="8.7109375" style="157" customWidth="1"/>
    <col min="5669" max="5671" width="11.42578125" style="157"/>
    <col min="5672" max="5672" width="8.5703125" style="157" customWidth="1"/>
    <col min="5673" max="5888" width="11.42578125" style="157"/>
    <col min="5889" max="5889" width="5" style="157" customWidth="1"/>
    <col min="5890" max="5890" width="20" style="157" customWidth="1"/>
    <col min="5891" max="5891" width="12.42578125" style="157" customWidth="1"/>
    <col min="5892" max="5896" width="15.140625" style="157" customWidth="1"/>
    <col min="5897" max="5899" width="11.42578125" style="157"/>
    <col min="5900" max="5902" width="12.140625" style="157" customWidth="1"/>
    <col min="5903" max="5903" width="9.7109375" style="157" customWidth="1"/>
    <col min="5904" max="5904" width="3.42578125" style="157" customWidth="1"/>
    <col min="5905" max="5905" width="3.5703125" style="157" customWidth="1"/>
    <col min="5906" max="5906" width="25.42578125" style="157" customWidth="1"/>
    <col min="5907" max="5909" width="9.7109375" style="157" customWidth="1"/>
    <col min="5910" max="5910" width="3.42578125" style="157" customWidth="1"/>
    <col min="5911" max="5911" width="8.140625" style="157" customWidth="1"/>
    <col min="5912" max="5912" width="14.85546875" style="157" customWidth="1"/>
    <col min="5913" max="5913" width="9.5703125" style="157" customWidth="1"/>
    <col min="5914" max="5914" width="14.85546875" style="157" customWidth="1"/>
    <col min="5915" max="5915" width="13.85546875" style="157" bestFit="1" customWidth="1"/>
    <col min="5916" max="5916" width="12.85546875" style="157" bestFit="1" customWidth="1"/>
    <col min="5917" max="5917" width="13.85546875" style="157" bestFit="1" customWidth="1"/>
    <col min="5918" max="5918" width="13" style="157" customWidth="1"/>
    <col min="5919" max="5920" width="9.7109375" style="157" customWidth="1"/>
    <col min="5921" max="5923" width="11.42578125" style="157"/>
    <col min="5924" max="5924" width="8.7109375" style="157" customWidth="1"/>
    <col min="5925" max="5927" width="11.42578125" style="157"/>
    <col min="5928" max="5928" width="8.5703125" style="157" customWidth="1"/>
    <col min="5929" max="6144" width="11.42578125" style="157"/>
    <col min="6145" max="6145" width="5" style="157" customWidth="1"/>
    <col min="6146" max="6146" width="20" style="157" customWidth="1"/>
    <col min="6147" max="6147" width="12.42578125" style="157" customWidth="1"/>
    <col min="6148" max="6152" width="15.140625" style="157" customWidth="1"/>
    <col min="6153" max="6155" width="11.42578125" style="157"/>
    <col min="6156" max="6158" width="12.140625" style="157" customWidth="1"/>
    <col min="6159" max="6159" width="9.7109375" style="157" customWidth="1"/>
    <col min="6160" max="6160" width="3.42578125" style="157" customWidth="1"/>
    <col min="6161" max="6161" width="3.5703125" style="157" customWidth="1"/>
    <col min="6162" max="6162" width="25.42578125" style="157" customWidth="1"/>
    <col min="6163" max="6165" width="9.7109375" style="157" customWidth="1"/>
    <col min="6166" max="6166" width="3.42578125" style="157" customWidth="1"/>
    <col min="6167" max="6167" width="8.140625" style="157" customWidth="1"/>
    <col min="6168" max="6168" width="14.85546875" style="157" customWidth="1"/>
    <col min="6169" max="6169" width="9.5703125" style="157" customWidth="1"/>
    <col min="6170" max="6170" width="14.85546875" style="157" customWidth="1"/>
    <col min="6171" max="6171" width="13.85546875" style="157" bestFit="1" customWidth="1"/>
    <col min="6172" max="6172" width="12.85546875" style="157" bestFit="1" customWidth="1"/>
    <col min="6173" max="6173" width="13.85546875" style="157" bestFit="1" customWidth="1"/>
    <col min="6174" max="6174" width="13" style="157" customWidth="1"/>
    <col min="6175" max="6176" width="9.7109375" style="157" customWidth="1"/>
    <col min="6177" max="6179" width="11.42578125" style="157"/>
    <col min="6180" max="6180" width="8.7109375" style="157" customWidth="1"/>
    <col min="6181" max="6183" width="11.42578125" style="157"/>
    <col min="6184" max="6184" width="8.5703125" style="157" customWidth="1"/>
    <col min="6185" max="6400" width="11.42578125" style="157"/>
    <col min="6401" max="6401" width="5" style="157" customWidth="1"/>
    <col min="6402" max="6402" width="20" style="157" customWidth="1"/>
    <col min="6403" max="6403" width="12.42578125" style="157" customWidth="1"/>
    <col min="6404" max="6408" width="15.140625" style="157" customWidth="1"/>
    <col min="6409" max="6411" width="11.42578125" style="157"/>
    <col min="6412" max="6414" width="12.140625" style="157" customWidth="1"/>
    <col min="6415" max="6415" width="9.7109375" style="157" customWidth="1"/>
    <col min="6416" max="6416" width="3.42578125" style="157" customWidth="1"/>
    <col min="6417" max="6417" width="3.5703125" style="157" customWidth="1"/>
    <col min="6418" max="6418" width="25.42578125" style="157" customWidth="1"/>
    <col min="6419" max="6421" width="9.7109375" style="157" customWidth="1"/>
    <col min="6422" max="6422" width="3.42578125" style="157" customWidth="1"/>
    <col min="6423" max="6423" width="8.140625" style="157" customWidth="1"/>
    <col min="6424" max="6424" width="14.85546875" style="157" customWidth="1"/>
    <col min="6425" max="6425" width="9.5703125" style="157" customWidth="1"/>
    <col min="6426" max="6426" width="14.85546875" style="157" customWidth="1"/>
    <col min="6427" max="6427" width="13.85546875" style="157" bestFit="1" customWidth="1"/>
    <col min="6428" max="6428" width="12.85546875" style="157" bestFit="1" customWidth="1"/>
    <col min="6429" max="6429" width="13.85546875" style="157" bestFit="1" customWidth="1"/>
    <col min="6430" max="6430" width="13" style="157" customWidth="1"/>
    <col min="6431" max="6432" width="9.7109375" style="157" customWidth="1"/>
    <col min="6433" max="6435" width="11.42578125" style="157"/>
    <col min="6436" max="6436" width="8.7109375" style="157" customWidth="1"/>
    <col min="6437" max="6439" width="11.42578125" style="157"/>
    <col min="6440" max="6440" width="8.5703125" style="157" customWidth="1"/>
    <col min="6441" max="6656" width="11.42578125" style="157"/>
    <col min="6657" max="6657" width="5" style="157" customWidth="1"/>
    <col min="6658" max="6658" width="20" style="157" customWidth="1"/>
    <col min="6659" max="6659" width="12.42578125" style="157" customWidth="1"/>
    <col min="6660" max="6664" width="15.140625" style="157" customWidth="1"/>
    <col min="6665" max="6667" width="11.42578125" style="157"/>
    <col min="6668" max="6670" width="12.140625" style="157" customWidth="1"/>
    <col min="6671" max="6671" width="9.7109375" style="157" customWidth="1"/>
    <col min="6672" max="6672" width="3.42578125" style="157" customWidth="1"/>
    <col min="6673" max="6673" width="3.5703125" style="157" customWidth="1"/>
    <col min="6674" max="6674" width="25.42578125" style="157" customWidth="1"/>
    <col min="6675" max="6677" width="9.7109375" style="157" customWidth="1"/>
    <col min="6678" max="6678" width="3.42578125" style="157" customWidth="1"/>
    <col min="6679" max="6679" width="8.140625" style="157" customWidth="1"/>
    <col min="6680" max="6680" width="14.85546875" style="157" customWidth="1"/>
    <col min="6681" max="6681" width="9.5703125" style="157" customWidth="1"/>
    <col min="6682" max="6682" width="14.85546875" style="157" customWidth="1"/>
    <col min="6683" max="6683" width="13.85546875" style="157" bestFit="1" customWidth="1"/>
    <col min="6684" max="6684" width="12.85546875" style="157" bestFit="1" customWidth="1"/>
    <col min="6685" max="6685" width="13.85546875" style="157" bestFit="1" customWidth="1"/>
    <col min="6686" max="6686" width="13" style="157" customWidth="1"/>
    <col min="6687" max="6688" width="9.7109375" style="157" customWidth="1"/>
    <col min="6689" max="6691" width="11.42578125" style="157"/>
    <col min="6692" max="6692" width="8.7109375" style="157" customWidth="1"/>
    <col min="6693" max="6695" width="11.42578125" style="157"/>
    <col min="6696" max="6696" width="8.5703125" style="157" customWidth="1"/>
    <col min="6697" max="6912" width="11.42578125" style="157"/>
    <col min="6913" max="6913" width="5" style="157" customWidth="1"/>
    <col min="6914" max="6914" width="20" style="157" customWidth="1"/>
    <col min="6915" max="6915" width="12.42578125" style="157" customWidth="1"/>
    <col min="6916" max="6920" width="15.140625" style="157" customWidth="1"/>
    <col min="6921" max="6923" width="11.42578125" style="157"/>
    <col min="6924" max="6926" width="12.140625" style="157" customWidth="1"/>
    <col min="6927" max="6927" width="9.7109375" style="157" customWidth="1"/>
    <col min="6928" max="6928" width="3.42578125" style="157" customWidth="1"/>
    <col min="6929" max="6929" width="3.5703125" style="157" customWidth="1"/>
    <col min="6930" max="6930" width="25.42578125" style="157" customWidth="1"/>
    <col min="6931" max="6933" width="9.7109375" style="157" customWidth="1"/>
    <col min="6934" max="6934" width="3.42578125" style="157" customWidth="1"/>
    <col min="6935" max="6935" width="8.140625" style="157" customWidth="1"/>
    <col min="6936" max="6936" width="14.85546875" style="157" customWidth="1"/>
    <col min="6937" max="6937" width="9.5703125" style="157" customWidth="1"/>
    <col min="6938" max="6938" width="14.85546875" style="157" customWidth="1"/>
    <col min="6939" max="6939" width="13.85546875" style="157" bestFit="1" customWidth="1"/>
    <col min="6940" max="6940" width="12.85546875" style="157" bestFit="1" customWidth="1"/>
    <col min="6941" max="6941" width="13.85546875" style="157" bestFit="1" customWidth="1"/>
    <col min="6942" max="6942" width="13" style="157" customWidth="1"/>
    <col min="6943" max="6944" width="9.7109375" style="157" customWidth="1"/>
    <col min="6945" max="6947" width="11.42578125" style="157"/>
    <col min="6948" max="6948" width="8.7109375" style="157" customWidth="1"/>
    <col min="6949" max="6951" width="11.42578125" style="157"/>
    <col min="6952" max="6952" width="8.5703125" style="157" customWidth="1"/>
    <col min="6953" max="7168" width="11.42578125" style="157"/>
    <col min="7169" max="7169" width="5" style="157" customWidth="1"/>
    <col min="7170" max="7170" width="20" style="157" customWidth="1"/>
    <col min="7171" max="7171" width="12.42578125" style="157" customWidth="1"/>
    <col min="7172" max="7176" width="15.140625" style="157" customWidth="1"/>
    <col min="7177" max="7179" width="11.42578125" style="157"/>
    <col min="7180" max="7182" width="12.140625" style="157" customWidth="1"/>
    <col min="7183" max="7183" width="9.7109375" style="157" customWidth="1"/>
    <col min="7184" max="7184" width="3.42578125" style="157" customWidth="1"/>
    <col min="7185" max="7185" width="3.5703125" style="157" customWidth="1"/>
    <col min="7186" max="7186" width="25.42578125" style="157" customWidth="1"/>
    <col min="7187" max="7189" width="9.7109375" style="157" customWidth="1"/>
    <col min="7190" max="7190" width="3.42578125" style="157" customWidth="1"/>
    <col min="7191" max="7191" width="8.140625" style="157" customWidth="1"/>
    <col min="7192" max="7192" width="14.85546875" style="157" customWidth="1"/>
    <col min="7193" max="7193" width="9.5703125" style="157" customWidth="1"/>
    <col min="7194" max="7194" width="14.85546875" style="157" customWidth="1"/>
    <col min="7195" max="7195" width="13.85546875" style="157" bestFit="1" customWidth="1"/>
    <col min="7196" max="7196" width="12.85546875" style="157" bestFit="1" customWidth="1"/>
    <col min="7197" max="7197" width="13.85546875" style="157" bestFit="1" customWidth="1"/>
    <col min="7198" max="7198" width="13" style="157" customWidth="1"/>
    <col min="7199" max="7200" width="9.7109375" style="157" customWidth="1"/>
    <col min="7201" max="7203" width="11.42578125" style="157"/>
    <col min="7204" max="7204" width="8.7109375" style="157" customWidth="1"/>
    <col min="7205" max="7207" width="11.42578125" style="157"/>
    <col min="7208" max="7208" width="8.5703125" style="157" customWidth="1"/>
    <col min="7209" max="7424" width="11.42578125" style="157"/>
    <col min="7425" max="7425" width="5" style="157" customWidth="1"/>
    <col min="7426" max="7426" width="20" style="157" customWidth="1"/>
    <col min="7427" max="7427" width="12.42578125" style="157" customWidth="1"/>
    <col min="7428" max="7432" width="15.140625" style="157" customWidth="1"/>
    <col min="7433" max="7435" width="11.42578125" style="157"/>
    <col min="7436" max="7438" width="12.140625" style="157" customWidth="1"/>
    <col min="7439" max="7439" width="9.7109375" style="157" customWidth="1"/>
    <col min="7440" max="7440" width="3.42578125" style="157" customWidth="1"/>
    <col min="7441" max="7441" width="3.5703125" style="157" customWidth="1"/>
    <col min="7442" max="7442" width="25.42578125" style="157" customWidth="1"/>
    <col min="7443" max="7445" width="9.7109375" style="157" customWidth="1"/>
    <col min="7446" max="7446" width="3.42578125" style="157" customWidth="1"/>
    <col min="7447" max="7447" width="8.140625" style="157" customWidth="1"/>
    <col min="7448" max="7448" width="14.85546875" style="157" customWidth="1"/>
    <col min="7449" max="7449" width="9.5703125" style="157" customWidth="1"/>
    <col min="7450" max="7450" width="14.85546875" style="157" customWidth="1"/>
    <col min="7451" max="7451" width="13.85546875" style="157" bestFit="1" customWidth="1"/>
    <col min="7452" max="7452" width="12.85546875" style="157" bestFit="1" customWidth="1"/>
    <col min="7453" max="7453" width="13.85546875" style="157" bestFit="1" customWidth="1"/>
    <col min="7454" max="7454" width="13" style="157" customWidth="1"/>
    <col min="7455" max="7456" width="9.7109375" style="157" customWidth="1"/>
    <col min="7457" max="7459" width="11.42578125" style="157"/>
    <col min="7460" max="7460" width="8.7109375" style="157" customWidth="1"/>
    <col min="7461" max="7463" width="11.42578125" style="157"/>
    <col min="7464" max="7464" width="8.5703125" style="157" customWidth="1"/>
    <col min="7465" max="7680" width="11.42578125" style="157"/>
    <col min="7681" max="7681" width="5" style="157" customWidth="1"/>
    <col min="7682" max="7682" width="20" style="157" customWidth="1"/>
    <col min="7683" max="7683" width="12.42578125" style="157" customWidth="1"/>
    <col min="7684" max="7688" width="15.140625" style="157" customWidth="1"/>
    <col min="7689" max="7691" width="11.42578125" style="157"/>
    <col min="7692" max="7694" width="12.140625" style="157" customWidth="1"/>
    <col min="7695" max="7695" width="9.7109375" style="157" customWidth="1"/>
    <col min="7696" max="7696" width="3.42578125" style="157" customWidth="1"/>
    <col min="7697" max="7697" width="3.5703125" style="157" customWidth="1"/>
    <col min="7698" max="7698" width="25.42578125" style="157" customWidth="1"/>
    <col min="7699" max="7701" width="9.7109375" style="157" customWidth="1"/>
    <col min="7702" max="7702" width="3.42578125" style="157" customWidth="1"/>
    <col min="7703" max="7703" width="8.140625" style="157" customWidth="1"/>
    <col min="7704" max="7704" width="14.85546875" style="157" customWidth="1"/>
    <col min="7705" max="7705" width="9.5703125" style="157" customWidth="1"/>
    <col min="7706" max="7706" width="14.85546875" style="157" customWidth="1"/>
    <col min="7707" max="7707" width="13.85546875" style="157" bestFit="1" customWidth="1"/>
    <col min="7708" max="7708" width="12.85546875" style="157" bestFit="1" customWidth="1"/>
    <col min="7709" max="7709" width="13.85546875" style="157" bestFit="1" customWidth="1"/>
    <col min="7710" max="7710" width="13" style="157" customWidth="1"/>
    <col min="7711" max="7712" width="9.7109375" style="157" customWidth="1"/>
    <col min="7713" max="7715" width="11.42578125" style="157"/>
    <col min="7716" max="7716" width="8.7109375" style="157" customWidth="1"/>
    <col min="7717" max="7719" width="11.42578125" style="157"/>
    <col min="7720" max="7720" width="8.5703125" style="157" customWidth="1"/>
    <col min="7721" max="7936" width="11.42578125" style="157"/>
    <col min="7937" max="7937" width="5" style="157" customWidth="1"/>
    <col min="7938" max="7938" width="20" style="157" customWidth="1"/>
    <col min="7939" max="7939" width="12.42578125" style="157" customWidth="1"/>
    <col min="7940" max="7944" width="15.140625" style="157" customWidth="1"/>
    <col min="7945" max="7947" width="11.42578125" style="157"/>
    <col min="7948" max="7950" width="12.140625" style="157" customWidth="1"/>
    <col min="7951" max="7951" width="9.7109375" style="157" customWidth="1"/>
    <col min="7952" max="7952" width="3.42578125" style="157" customWidth="1"/>
    <col min="7953" max="7953" width="3.5703125" style="157" customWidth="1"/>
    <col min="7954" max="7954" width="25.42578125" style="157" customWidth="1"/>
    <col min="7955" max="7957" width="9.7109375" style="157" customWidth="1"/>
    <col min="7958" max="7958" width="3.42578125" style="157" customWidth="1"/>
    <col min="7959" max="7959" width="8.140625" style="157" customWidth="1"/>
    <col min="7960" max="7960" width="14.85546875" style="157" customWidth="1"/>
    <col min="7961" max="7961" width="9.5703125" style="157" customWidth="1"/>
    <col min="7962" max="7962" width="14.85546875" style="157" customWidth="1"/>
    <col min="7963" max="7963" width="13.85546875" style="157" bestFit="1" customWidth="1"/>
    <col min="7964" max="7964" width="12.85546875" style="157" bestFit="1" customWidth="1"/>
    <col min="7965" max="7965" width="13.85546875" style="157" bestFit="1" customWidth="1"/>
    <col min="7966" max="7966" width="13" style="157" customWidth="1"/>
    <col min="7967" max="7968" width="9.7109375" style="157" customWidth="1"/>
    <col min="7969" max="7971" width="11.42578125" style="157"/>
    <col min="7972" max="7972" width="8.7109375" style="157" customWidth="1"/>
    <col min="7973" max="7975" width="11.42578125" style="157"/>
    <col min="7976" max="7976" width="8.5703125" style="157" customWidth="1"/>
    <col min="7977" max="8192" width="11.42578125" style="157"/>
    <col min="8193" max="8193" width="5" style="157" customWidth="1"/>
    <col min="8194" max="8194" width="20" style="157" customWidth="1"/>
    <col min="8195" max="8195" width="12.42578125" style="157" customWidth="1"/>
    <col min="8196" max="8200" width="15.140625" style="157" customWidth="1"/>
    <col min="8201" max="8203" width="11.42578125" style="157"/>
    <col min="8204" max="8206" width="12.140625" style="157" customWidth="1"/>
    <col min="8207" max="8207" width="9.7109375" style="157" customWidth="1"/>
    <col min="8208" max="8208" width="3.42578125" style="157" customWidth="1"/>
    <col min="8209" max="8209" width="3.5703125" style="157" customWidth="1"/>
    <col min="8210" max="8210" width="25.42578125" style="157" customWidth="1"/>
    <col min="8211" max="8213" width="9.7109375" style="157" customWidth="1"/>
    <col min="8214" max="8214" width="3.42578125" style="157" customWidth="1"/>
    <col min="8215" max="8215" width="8.140625" style="157" customWidth="1"/>
    <col min="8216" max="8216" width="14.85546875" style="157" customWidth="1"/>
    <col min="8217" max="8217" width="9.5703125" style="157" customWidth="1"/>
    <col min="8218" max="8218" width="14.85546875" style="157" customWidth="1"/>
    <col min="8219" max="8219" width="13.85546875" style="157" bestFit="1" customWidth="1"/>
    <col min="8220" max="8220" width="12.85546875" style="157" bestFit="1" customWidth="1"/>
    <col min="8221" max="8221" width="13.85546875" style="157" bestFit="1" customWidth="1"/>
    <col min="8222" max="8222" width="13" style="157" customWidth="1"/>
    <col min="8223" max="8224" width="9.7109375" style="157" customWidth="1"/>
    <col min="8225" max="8227" width="11.42578125" style="157"/>
    <col min="8228" max="8228" width="8.7109375" style="157" customWidth="1"/>
    <col min="8229" max="8231" width="11.42578125" style="157"/>
    <col min="8232" max="8232" width="8.5703125" style="157" customWidth="1"/>
    <col min="8233" max="8448" width="11.42578125" style="157"/>
    <col min="8449" max="8449" width="5" style="157" customWidth="1"/>
    <col min="8450" max="8450" width="20" style="157" customWidth="1"/>
    <col min="8451" max="8451" width="12.42578125" style="157" customWidth="1"/>
    <col min="8452" max="8456" width="15.140625" style="157" customWidth="1"/>
    <col min="8457" max="8459" width="11.42578125" style="157"/>
    <col min="8460" max="8462" width="12.140625" style="157" customWidth="1"/>
    <col min="8463" max="8463" width="9.7109375" style="157" customWidth="1"/>
    <col min="8464" max="8464" width="3.42578125" style="157" customWidth="1"/>
    <col min="8465" max="8465" width="3.5703125" style="157" customWidth="1"/>
    <col min="8466" max="8466" width="25.42578125" style="157" customWidth="1"/>
    <col min="8467" max="8469" width="9.7109375" style="157" customWidth="1"/>
    <col min="8470" max="8470" width="3.42578125" style="157" customWidth="1"/>
    <col min="8471" max="8471" width="8.140625" style="157" customWidth="1"/>
    <col min="8472" max="8472" width="14.85546875" style="157" customWidth="1"/>
    <col min="8473" max="8473" width="9.5703125" style="157" customWidth="1"/>
    <col min="8474" max="8474" width="14.85546875" style="157" customWidth="1"/>
    <col min="8475" max="8475" width="13.85546875" style="157" bestFit="1" customWidth="1"/>
    <col min="8476" max="8476" width="12.85546875" style="157" bestFit="1" customWidth="1"/>
    <col min="8477" max="8477" width="13.85546875" style="157" bestFit="1" customWidth="1"/>
    <col min="8478" max="8478" width="13" style="157" customWidth="1"/>
    <col min="8479" max="8480" width="9.7109375" style="157" customWidth="1"/>
    <col min="8481" max="8483" width="11.42578125" style="157"/>
    <col min="8484" max="8484" width="8.7109375" style="157" customWidth="1"/>
    <col min="8485" max="8487" width="11.42578125" style="157"/>
    <col min="8488" max="8488" width="8.5703125" style="157" customWidth="1"/>
    <col min="8489" max="8704" width="11.42578125" style="157"/>
    <col min="8705" max="8705" width="5" style="157" customWidth="1"/>
    <col min="8706" max="8706" width="20" style="157" customWidth="1"/>
    <col min="8707" max="8707" width="12.42578125" style="157" customWidth="1"/>
    <col min="8708" max="8712" width="15.140625" style="157" customWidth="1"/>
    <col min="8713" max="8715" width="11.42578125" style="157"/>
    <col min="8716" max="8718" width="12.140625" style="157" customWidth="1"/>
    <col min="8719" max="8719" width="9.7109375" style="157" customWidth="1"/>
    <col min="8720" max="8720" width="3.42578125" style="157" customWidth="1"/>
    <col min="8721" max="8721" width="3.5703125" style="157" customWidth="1"/>
    <col min="8722" max="8722" width="25.42578125" style="157" customWidth="1"/>
    <col min="8723" max="8725" width="9.7109375" style="157" customWidth="1"/>
    <col min="8726" max="8726" width="3.42578125" style="157" customWidth="1"/>
    <col min="8727" max="8727" width="8.140625" style="157" customWidth="1"/>
    <col min="8728" max="8728" width="14.85546875" style="157" customWidth="1"/>
    <col min="8729" max="8729" width="9.5703125" style="157" customWidth="1"/>
    <col min="8730" max="8730" width="14.85546875" style="157" customWidth="1"/>
    <col min="8731" max="8731" width="13.85546875" style="157" bestFit="1" customWidth="1"/>
    <col min="8732" max="8732" width="12.85546875" style="157" bestFit="1" customWidth="1"/>
    <col min="8733" max="8733" width="13.85546875" style="157" bestFit="1" customWidth="1"/>
    <col min="8734" max="8734" width="13" style="157" customWidth="1"/>
    <col min="8735" max="8736" width="9.7109375" style="157" customWidth="1"/>
    <col min="8737" max="8739" width="11.42578125" style="157"/>
    <col min="8740" max="8740" width="8.7109375" style="157" customWidth="1"/>
    <col min="8741" max="8743" width="11.42578125" style="157"/>
    <col min="8744" max="8744" width="8.5703125" style="157" customWidth="1"/>
    <col min="8745" max="8960" width="11.42578125" style="157"/>
    <col min="8961" max="8961" width="5" style="157" customWidth="1"/>
    <col min="8962" max="8962" width="20" style="157" customWidth="1"/>
    <col min="8963" max="8963" width="12.42578125" style="157" customWidth="1"/>
    <col min="8964" max="8968" width="15.140625" style="157" customWidth="1"/>
    <col min="8969" max="8971" width="11.42578125" style="157"/>
    <col min="8972" max="8974" width="12.140625" style="157" customWidth="1"/>
    <col min="8975" max="8975" width="9.7109375" style="157" customWidth="1"/>
    <col min="8976" max="8976" width="3.42578125" style="157" customWidth="1"/>
    <col min="8977" max="8977" width="3.5703125" style="157" customWidth="1"/>
    <col min="8978" max="8978" width="25.42578125" style="157" customWidth="1"/>
    <col min="8979" max="8981" width="9.7109375" style="157" customWidth="1"/>
    <col min="8982" max="8982" width="3.42578125" style="157" customWidth="1"/>
    <col min="8983" max="8983" width="8.140625" style="157" customWidth="1"/>
    <col min="8984" max="8984" width="14.85546875" style="157" customWidth="1"/>
    <col min="8985" max="8985" width="9.5703125" style="157" customWidth="1"/>
    <col min="8986" max="8986" width="14.85546875" style="157" customWidth="1"/>
    <col min="8987" max="8987" width="13.85546875" style="157" bestFit="1" customWidth="1"/>
    <col min="8988" max="8988" width="12.85546875" style="157" bestFit="1" customWidth="1"/>
    <col min="8989" max="8989" width="13.85546875" style="157" bestFit="1" customWidth="1"/>
    <col min="8990" max="8990" width="13" style="157" customWidth="1"/>
    <col min="8991" max="8992" width="9.7109375" style="157" customWidth="1"/>
    <col min="8993" max="8995" width="11.42578125" style="157"/>
    <col min="8996" max="8996" width="8.7109375" style="157" customWidth="1"/>
    <col min="8997" max="8999" width="11.42578125" style="157"/>
    <col min="9000" max="9000" width="8.5703125" style="157" customWidth="1"/>
    <col min="9001" max="9216" width="11.42578125" style="157"/>
    <col min="9217" max="9217" width="5" style="157" customWidth="1"/>
    <col min="9218" max="9218" width="20" style="157" customWidth="1"/>
    <col min="9219" max="9219" width="12.42578125" style="157" customWidth="1"/>
    <col min="9220" max="9224" width="15.140625" style="157" customWidth="1"/>
    <col min="9225" max="9227" width="11.42578125" style="157"/>
    <col min="9228" max="9230" width="12.140625" style="157" customWidth="1"/>
    <col min="9231" max="9231" width="9.7109375" style="157" customWidth="1"/>
    <col min="9232" max="9232" width="3.42578125" style="157" customWidth="1"/>
    <col min="9233" max="9233" width="3.5703125" style="157" customWidth="1"/>
    <col min="9234" max="9234" width="25.42578125" style="157" customWidth="1"/>
    <col min="9235" max="9237" width="9.7109375" style="157" customWidth="1"/>
    <col min="9238" max="9238" width="3.42578125" style="157" customWidth="1"/>
    <col min="9239" max="9239" width="8.140625" style="157" customWidth="1"/>
    <col min="9240" max="9240" width="14.85546875" style="157" customWidth="1"/>
    <col min="9241" max="9241" width="9.5703125" style="157" customWidth="1"/>
    <col min="9242" max="9242" width="14.85546875" style="157" customWidth="1"/>
    <col min="9243" max="9243" width="13.85546875" style="157" bestFit="1" customWidth="1"/>
    <col min="9244" max="9244" width="12.85546875" style="157" bestFit="1" customWidth="1"/>
    <col min="9245" max="9245" width="13.85546875" style="157" bestFit="1" customWidth="1"/>
    <col min="9246" max="9246" width="13" style="157" customWidth="1"/>
    <col min="9247" max="9248" width="9.7109375" style="157" customWidth="1"/>
    <col min="9249" max="9251" width="11.42578125" style="157"/>
    <col min="9252" max="9252" width="8.7109375" style="157" customWidth="1"/>
    <col min="9253" max="9255" width="11.42578125" style="157"/>
    <col min="9256" max="9256" width="8.5703125" style="157" customWidth="1"/>
    <col min="9257" max="9472" width="11.42578125" style="157"/>
    <col min="9473" max="9473" width="5" style="157" customWidth="1"/>
    <col min="9474" max="9474" width="20" style="157" customWidth="1"/>
    <col min="9475" max="9475" width="12.42578125" style="157" customWidth="1"/>
    <col min="9476" max="9480" width="15.140625" style="157" customWidth="1"/>
    <col min="9481" max="9483" width="11.42578125" style="157"/>
    <col min="9484" max="9486" width="12.140625" style="157" customWidth="1"/>
    <col min="9487" max="9487" width="9.7109375" style="157" customWidth="1"/>
    <col min="9488" max="9488" width="3.42578125" style="157" customWidth="1"/>
    <col min="9489" max="9489" width="3.5703125" style="157" customWidth="1"/>
    <col min="9490" max="9490" width="25.42578125" style="157" customWidth="1"/>
    <col min="9491" max="9493" width="9.7109375" style="157" customWidth="1"/>
    <col min="9494" max="9494" width="3.42578125" style="157" customWidth="1"/>
    <col min="9495" max="9495" width="8.140625" style="157" customWidth="1"/>
    <col min="9496" max="9496" width="14.85546875" style="157" customWidth="1"/>
    <col min="9497" max="9497" width="9.5703125" style="157" customWidth="1"/>
    <col min="9498" max="9498" width="14.85546875" style="157" customWidth="1"/>
    <col min="9499" max="9499" width="13.85546875" style="157" bestFit="1" customWidth="1"/>
    <col min="9500" max="9500" width="12.85546875" style="157" bestFit="1" customWidth="1"/>
    <col min="9501" max="9501" width="13.85546875" style="157" bestFit="1" customWidth="1"/>
    <col min="9502" max="9502" width="13" style="157" customWidth="1"/>
    <col min="9503" max="9504" width="9.7109375" style="157" customWidth="1"/>
    <col min="9505" max="9507" width="11.42578125" style="157"/>
    <col min="9508" max="9508" width="8.7109375" style="157" customWidth="1"/>
    <col min="9509" max="9511" width="11.42578125" style="157"/>
    <col min="9512" max="9512" width="8.5703125" style="157" customWidth="1"/>
    <col min="9513" max="9728" width="11.42578125" style="157"/>
    <col min="9729" max="9729" width="5" style="157" customWidth="1"/>
    <col min="9730" max="9730" width="20" style="157" customWidth="1"/>
    <col min="9731" max="9731" width="12.42578125" style="157" customWidth="1"/>
    <col min="9732" max="9736" width="15.140625" style="157" customWidth="1"/>
    <col min="9737" max="9739" width="11.42578125" style="157"/>
    <col min="9740" max="9742" width="12.140625" style="157" customWidth="1"/>
    <col min="9743" max="9743" width="9.7109375" style="157" customWidth="1"/>
    <col min="9744" max="9744" width="3.42578125" style="157" customWidth="1"/>
    <col min="9745" max="9745" width="3.5703125" style="157" customWidth="1"/>
    <col min="9746" max="9746" width="25.42578125" style="157" customWidth="1"/>
    <col min="9747" max="9749" width="9.7109375" style="157" customWidth="1"/>
    <col min="9750" max="9750" width="3.42578125" style="157" customWidth="1"/>
    <col min="9751" max="9751" width="8.140625" style="157" customWidth="1"/>
    <col min="9752" max="9752" width="14.85546875" style="157" customWidth="1"/>
    <col min="9753" max="9753" width="9.5703125" style="157" customWidth="1"/>
    <col min="9754" max="9754" width="14.85546875" style="157" customWidth="1"/>
    <col min="9755" max="9755" width="13.85546875" style="157" bestFit="1" customWidth="1"/>
    <col min="9756" max="9756" width="12.85546875" style="157" bestFit="1" customWidth="1"/>
    <col min="9757" max="9757" width="13.85546875" style="157" bestFit="1" customWidth="1"/>
    <col min="9758" max="9758" width="13" style="157" customWidth="1"/>
    <col min="9759" max="9760" width="9.7109375" style="157" customWidth="1"/>
    <col min="9761" max="9763" width="11.42578125" style="157"/>
    <col min="9764" max="9764" width="8.7109375" style="157" customWidth="1"/>
    <col min="9765" max="9767" width="11.42578125" style="157"/>
    <col min="9768" max="9768" width="8.5703125" style="157" customWidth="1"/>
    <col min="9769" max="9984" width="11.42578125" style="157"/>
    <col min="9985" max="9985" width="5" style="157" customWidth="1"/>
    <col min="9986" max="9986" width="20" style="157" customWidth="1"/>
    <col min="9987" max="9987" width="12.42578125" style="157" customWidth="1"/>
    <col min="9988" max="9992" width="15.140625" style="157" customWidth="1"/>
    <col min="9993" max="9995" width="11.42578125" style="157"/>
    <col min="9996" max="9998" width="12.140625" style="157" customWidth="1"/>
    <col min="9999" max="9999" width="9.7109375" style="157" customWidth="1"/>
    <col min="10000" max="10000" width="3.42578125" style="157" customWidth="1"/>
    <col min="10001" max="10001" width="3.5703125" style="157" customWidth="1"/>
    <col min="10002" max="10002" width="25.42578125" style="157" customWidth="1"/>
    <col min="10003" max="10005" width="9.7109375" style="157" customWidth="1"/>
    <col min="10006" max="10006" width="3.42578125" style="157" customWidth="1"/>
    <col min="10007" max="10007" width="8.140625" style="157" customWidth="1"/>
    <col min="10008" max="10008" width="14.85546875" style="157" customWidth="1"/>
    <col min="10009" max="10009" width="9.5703125" style="157" customWidth="1"/>
    <col min="10010" max="10010" width="14.85546875" style="157" customWidth="1"/>
    <col min="10011" max="10011" width="13.85546875" style="157" bestFit="1" customWidth="1"/>
    <col min="10012" max="10012" width="12.85546875" style="157" bestFit="1" customWidth="1"/>
    <col min="10013" max="10013" width="13.85546875" style="157" bestFit="1" customWidth="1"/>
    <col min="10014" max="10014" width="13" style="157" customWidth="1"/>
    <col min="10015" max="10016" width="9.7109375" style="157" customWidth="1"/>
    <col min="10017" max="10019" width="11.42578125" style="157"/>
    <col min="10020" max="10020" width="8.7109375" style="157" customWidth="1"/>
    <col min="10021" max="10023" width="11.42578125" style="157"/>
    <col min="10024" max="10024" width="8.5703125" style="157" customWidth="1"/>
    <col min="10025" max="10240" width="11.42578125" style="157"/>
    <col min="10241" max="10241" width="5" style="157" customWidth="1"/>
    <col min="10242" max="10242" width="20" style="157" customWidth="1"/>
    <col min="10243" max="10243" width="12.42578125" style="157" customWidth="1"/>
    <col min="10244" max="10248" width="15.140625" style="157" customWidth="1"/>
    <col min="10249" max="10251" width="11.42578125" style="157"/>
    <col min="10252" max="10254" width="12.140625" style="157" customWidth="1"/>
    <col min="10255" max="10255" width="9.7109375" style="157" customWidth="1"/>
    <col min="10256" max="10256" width="3.42578125" style="157" customWidth="1"/>
    <col min="10257" max="10257" width="3.5703125" style="157" customWidth="1"/>
    <col min="10258" max="10258" width="25.42578125" style="157" customWidth="1"/>
    <col min="10259" max="10261" width="9.7109375" style="157" customWidth="1"/>
    <col min="10262" max="10262" width="3.42578125" style="157" customWidth="1"/>
    <col min="10263" max="10263" width="8.140625" style="157" customWidth="1"/>
    <col min="10264" max="10264" width="14.85546875" style="157" customWidth="1"/>
    <col min="10265" max="10265" width="9.5703125" style="157" customWidth="1"/>
    <col min="10266" max="10266" width="14.85546875" style="157" customWidth="1"/>
    <col min="10267" max="10267" width="13.85546875" style="157" bestFit="1" customWidth="1"/>
    <col min="10268" max="10268" width="12.85546875" style="157" bestFit="1" customWidth="1"/>
    <col min="10269" max="10269" width="13.85546875" style="157" bestFit="1" customWidth="1"/>
    <col min="10270" max="10270" width="13" style="157" customWidth="1"/>
    <col min="10271" max="10272" width="9.7109375" style="157" customWidth="1"/>
    <col min="10273" max="10275" width="11.42578125" style="157"/>
    <col min="10276" max="10276" width="8.7109375" style="157" customWidth="1"/>
    <col min="10277" max="10279" width="11.42578125" style="157"/>
    <col min="10280" max="10280" width="8.5703125" style="157" customWidth="1"/>
    <col min="10281" max="10496" width="11.42578125" style="157"/>
    <col min="10497" max="10497" width="5" style="157" customWidth="1"/>
    <col min="10498" max="10498" width="20" style="157" customWidth="1"/>
    <col min="10499" max="10499" width="12.42578125" style="157" customWidth="1"/>
    <col min="10500" max="10504" width="15.140625" style="157" customWidth="1"/>
    <col min="10505" max="10507" width="11.42578125" style="157"/>
    <col min="10508" max="10510" width="12.140625" style="157" customWidth="1"/>
    <col min="10511" max="10511" width="9.7109375" style="157" customWidth="1"/>
    <col min="10512" max="10512" width="3.42578125" style="157" customWidth="1"/>
    <col min="10513" max="10513" width="3.5703125" style="157" customWidth="1"/>
    <col min="10514" max="10514" width="25.42578125" style="157" customWidth="1"/>
    <col min="10515" max="10517" width="9.7109375" style="157" customWidth="1"/>
    <col min="10518" max="10518" width="3.42578125" style="157" customWidth="1"/>
    <col min="10519" max="10519" width="8.140625" style="157" customWidth="1"/>
    <col min="10520" max="10520" width="14.85546875" style="157" customWidth="1"/>
    <col min="10521" max="10521" width="9.5703125" style="157" customWidth="1"/>
    <col min="10522" max="10522" width="14.85546875" style="157" customWidth="1"/>
    <col min="10523" max="10523" width="13.85546875" style="157" bestFit="1" customWidth="1"/>
    <col min="10524" max="10524" width="12.85546875" style="157" bestFit="1" customWidth="1"/>
    <col min="10525" max="10525" width="13.85546875" style="157" bestFit="1" customWidth="1"/>
    <col min="10526" max="10526" width="13" style="157" customWidth="1"/>
    <col min="10527" max="10528" width="9.7109375" style="157" customWidth="1"/>
    <col min="10529" max="10531" width="11.42578125" style="157"/>
    <col min="10532" max="10532" width="8.7109375" style="157" customWidth="1"/>
    <col min="10533" max="10535" width="11.42578125" style="157"/>
    <col min="10536" max="10536" width="8.5703125" style="157" customWidth="1"/>
    <col min="10537" max="10752" width="11.42578125" style="157"/>
    <col min="10753" max="10753" width="5" style="157" customWidth="1"/>
    <col min="10754" max="10754" width="20" style="157" customWidth="1"/>
    <col min="10755" max="10755" width="12.42578125" style="157" customWidth="1"/>
    <col min="10756" max="10760" width="15.140625" style="157" customWidth="1"/>
    <col min="10761" max="10763" width="11.42578125" style="157"/>
    <col min="10764" max="10766" width="12.140625" style="157" customWidth="1"/>
    <col min="10767" max="10767" width="9.7109375" style="157" customWidth="1"/>
    <col min="10768" max="10768" width="3.42578125" style="157" customWidth="1"/>
    <col min="10769" max="10769" width="3.5703125" style="157" customWidth="1"/>
    <col min="10770" max="10770" width="25.42578125" style="157" customWidth="1"/>
    <col min="10771" max="10773" width="9.7109375" style="157" customWidth="1"/>
    <col min="10774" max="10774" width="3.42578125" style="157" customWidth="1"/>
    <col min="10775" max="10775" width="8.140625" style="157" customWidth="1"/>
    <col min="10776" max="10776" width="14.85546875" style="157" customWidth="1"/>
    <col min="10777" max="10777" width="9.5703125" style="157" customWidth="1"/>
    <col min="10778" max="10778" width="14.85546875" style="157" customWidth="1"/>
    <col min="10779" max="10779" width="13.85546875" style="157" bestFit="1" customWidth="1"/>
    <col min="10780" max="10780" width="12.85546875" style="157" bestFit="1" customWidth="1"/>
    <col min="10781" max="10781" width="13.85546875" style="157" bestFit="1" customWidth="1"/>
    <col min="10782" max="10782" width="13" style="157" customWidth="1"/>
    <col min="10783" max="10784" width="9.7109375" style="157" customWidth="1"/>
    <col min="10785" max="10787" width="11.42578125" style="157"/>
    <col min="10788" max="10788" width="8.7109375" style="157" customWidth="1"/>
    <col min="10789" max="10791" width="11.42578125" style="157"/>
    <col min="10792" max="10792" width="8.5703125" style="157" customWidth="1"/>
    <col min="10793" max="11008" width="11.42578125" style="157"/>
    <col min="11009" max="11009" width="5" style="157" customWidth="1"/>
    <col min="11010" max="11010" width="20" style="157" customWidth="1"/>
    <col min="11011" max="11011" width="12.42578125" style="157" customWidth="1"/>
    <col min="11012" max="11016" width="15.140625" style="157" customWidth="1"/>
    <col min="11017" max="11019" width="11.42578125" style="157"/>
    <col min="11020" max="11022" width="12.140625" style="157" customWidth="1"/>
    <col min="11023" max="11023" width="9.7109375" style="157" customWidth="1"/>
    <col min="11024" max="11024" width="3.42578125" style="157" customWidth="1"/>
    <col min="11025" max="11025" width="3.5703125" style="157" customWidth="1"/>
    <col min="11026" max="11026" width="25.42578125" style="157" customWidth="1"/>
    <col min="11027" max="11029" width="9.7109375" style="157" customWidth="1"/>
    <col min="11030" max="11030" width="3.42578125" style="157" customWidth="1"/>
    <col min="11031" max="11031" width="8.140625" style="157" customWidth="1"/>
    <col min="11032" max="11032" width="14.85546875" style="157" customWidth="1"/>
    <col min="11033" max="11033" width="9.5703125" style="157" customWidth="1"/>
    <col min="11034" max="11034" width="14.85546875" style="157" customWidth="1"/>
    <col min="11035" max="11035" width="13.85546875" style="157" bestFit="1" customWidth="1"/>
    <col min="11036" max="11036" width="12.85546875" style="157" bestFit="1" customWidth="1"/>
    <col min="11037" max="11037" width="13.85546875" style="157" bestFit="1" customWidth="1"/>
    <col min="11038" max="11038" width="13" style="157" customWidth="1"/>
    <col min="11039" max="11040" width="9.7109375" style="157" customWidth="1"/>
    <col min="11041" max="11043" width="11.42578125" style="157"/>
    <col min="11044" max="11044" width="8.7109375" style="157" customWidth="1"/>
    <col min="11045" max="11047" width="11.42578125" style="157"/>
    <col min="11048" max="11048" width="8.5703125" style="157" customWidth="1"/>
    <col min="11049" max="11264" width="11.42578125" style="157"/>
    <col min="11265" max="11265" width="5" style="157" customWidth="1"/>
    <col min="11266" max="11266" width="20" style="157" customWidth="1"/>
    <col min="11267" max="11267" width="12.42578125" style="157" customWidth="1"/>
    <col min="11268" max="11272" width="15.140625" style="157" customWidth="1"/>
    <col min="11273" max="11275" width="11.42578125" style="157"/>
    <col min="11276" max="11278" width="12.140625" style="157" customWidth="1"/>
    <col min="11279" max="11279" width="9.7109375" style="157" customWidth="1"/>
    <col min="11280" max="11280" width="3.42578125" style="157" customWidth="1"/>
    <col min="11281" max="11281" width="3.5703125" style="157" customWidth="1"/>
    <col min="11282" max="11282" width="25.42578125" style="157" customWidth="1"/>
    <col min="11283" max="11285" width="9.7109375" style="157" customWidth="1"/>
    <col min="11286" max="11286" width="3.42578125" style="157" customWidth="1"/>
    <col min="11287" max="11287" width="8.140625" style="157" customWidth="1"/>
    <col min="11288" max="11288" width="14.85546875" style="157" customWidth="1"/>
    <col min="11289" max="11289" width="9.5703125" style="157" customWidth="1"/>
    <col min="11290" max="11290" width="14.85546875" style="157" customWidth="1"/>
    <col min="11291" max="11291" width="13.85546875" style="157" bestFit="1" customWidth="1"/>
    <col min="11292" max="11292" width="12.85546875" style="157" bestFit="1" customWidth="1"/>
    <col min="11293" max="11293" width="13.85546875" style="157" bestFit="1" customWidth="1"/>
    <col min="11294" max="11294" width="13" style="157" customWidth="1"/>
    <col min="11295" max="11296" width="9.7109375" style="157" customWidth="1"/>
    <col min="11297" max="11299" width="11.42578125" style="157"/>
    <col min="11300" max="11300" width="8.7109375" style="157" customWidth="1"/>
    <col min="11301" max="11303" width="11.42578125" style="157"/>
    <col min="11304" max="11304" width="8.5703125" style="157" customWidth="1"/>
    <col min="11305" max="11520" width="11.42578125" style="157"/>
    <col min="11521" max="11521" width="5" style="157" customWidth="1"/>
    <col min="11522" max="11522" width="20" style="157" customWidth="1"/>
    <col min="11523" max="11523" width="12.42578125" style="157" customWidth="1"/>
    <col min="11524" max="11528" width="15.140625" style="157" customWidth="1"/>
    <col min="11529" max="11531" width="11.42578125" style="157"/>
    <col min="11532" max="11534" width="12.140625" style="157" customWidth="1"/>
    <col min="11535" max="11535" width="9.7109375" style="157" customWidth="1"/>
    <col min="11536" max="11536" width="3.42578125" style="157" customWidth="1"/>
    <col min="11537" max="11537" width="3.5703125" style="157" customWidth="1"/>
    <col min="11538" max="11538" width="25.42578125" style="157" customWidth="1"/>
    <col min="11539" max="11541" width="9.7109375" style="157" customWidth="1"/>
    <col min="11542" max="11542" width="3.42578125" style="157" customWidth="1"/>
    <col min="11543" max="11543" width="8.140625" style="157" customWidth="1"/>
    <col min="11544" max="11544" width="14.85546875" style="157" customWidth="1"/>
    <col min="11545" max="11545" width="9.5703125" style="157" customWidth="1"/>
    <col min="11546" max="11546" width="14.85546875" style="157" customWidth="1"/>
    <col min="11547" max="11547" width="13.85546875" style="157" bestFit="1" customWidth="1"/>
    <col min="11548" max="11548" width="12.85546875" style="157" bestFit="1" customWidth="1"/>
    <col min="11549" max="11549" width="13.85546875" style="157" bestFit="1" customWidth="1"/>
    <col min="11550" max="11550" width="13" style="157" customWidth="1"/>
    <col min="11551" max="11552" width="9.7109375" style="157" customWidth="1"/>
    <col min="11553" max="11555" width="11.42578125" style="157"/>
    <col min="11556" max="11556" width="8.7109375" style="157" customWidth="1"/>
    <col min="11557" max="11559" width="11.42578125" style="157"/>
    <col min="11560" max="11560" width="8.5703125" style="157" customWidth="1"/>
    <col min="11561" max="11776" width="11.42578125" style="157"/>
    <col min="11777" max="11777" width="5" style="157" customWidth="1"/>
    <col min="11778" max="11778" width="20" style="157" customWidth="1"/>
    <col min="11779" max="11779" width="12.42578125" style="157" customWidth="1"/>
    <col min="11780" max="11784" width="15.140625" style="157" customWidth="1"/>
    <col min="11785" max="11787" width="11.42578125" style="157"/>
    <col min="11788" max="11790" width="12.140625" style="157" customWidth="1"/>
    <col min="11791" max="11791" width="9.7109375" style="157" customWidth="1"/>
    <col min="11792" max="11792" width="3.42578125" style="157" customWidth="1"/>
    <col min="11793" max="11793" width="3.5703125" style="157" customWidth="1"/>
    <col min="11794" max="11794" width="25.42578125" style="157" customWidth="1"/>
    <col min="11795" max="11797" width="9.7109375" style="157" customWidth="1"/>
    <col min="11798" max="11798" width="3.42578125" style="157" customWidth="1"/>
    <col min="11799" max="11799" width="8.140625" style="157" customWidth="1"/>
    <col min="11800" max="11800" width="14.85546875" style="157" customWidth="1"/>
    <col min="11801" max="11801" width="9.5703125" style="157" customWidth="1"/>
    <col min="11802" max="11802" width="14.85546875" style="157" customWidth="1"/>
    <col min="11803" max="11803" width="13.85546875" style="157" bestFit="1" customWidth="1"/>
    <col min="11804" max="11804" width="12.85546875" style="157" bestFit="1" customWidth="1"/>
    <col min="11805" max="11805" width="13.85546875" style="157" bestFit="1" customWidth="1"/>
    <col min="11806" max="11806" width="13" style="157" customWidth="1"/>
    <col min="11807" max="11808" width="9.7109375" style="157" customWidth="1"/>
    <col min="11809" max="11811" width="11.42578125" style="157"/>
    <col min="11812" max="11812" width="8.7109375" style="157" customWidth="1"/>
    <col min="11813" max="11815" width="11.42578125" style="157"/>
    <col min="11816" max="11816" width="8.5703125" style="157" customWidth="1"/>
    <col min="11817" max="12032" width="11.42578125" style="157"/>
    <col min="12033" max="12033" width="5" style="157" customWidth="1"/>
    <col min="12034" max="12034" width="20" style="157" customWidth="1"/>
    <col min="12035" max="12035" width="12.42578125" style="157" customWidth="1"/>
    <col min="12036" max="12040" width="15.140625" style="157" customWidth="1"/>
    <col min="12041" max="12043" width="11.42578125" style="157"/>
    <col min="12044" max="12046" width="12.140625" style="157" customWidth="1"/>
    <col min="12047" max="12047" width="9.7109375" style="157" customWidth="1"/>
    <col min="12048" max="12048" width="3.42578125" style="157" customWidth="1"/>
    <col min="12049" max="12049" width="3.5703125" style="157" customWidth="1"/>
    <col min="12050" max="12050" width="25.42578125" style="157" customWidth="1"/>
    <col min="12051" max="12053" width="9.7109375" style="157" customWidth="1"/>
    <col min="12054" max="12054" width="3.42578125" style="157" customWidth="1"/>
    <col min="12055" max="12055" width="8.140625" style="157" customWidth="1"/>
    <col min="12056" max="12056" width="14.85546875" style="157" customWidth="1"/>
    <col min="12057" max="12057" width="9.5703125" style="157" customWidth="1"/>
    <col min="12058" max="12058" width="14.85546875" style="157" customWidth="1"/>
    <col min="12059" max="12059" width="13.85546875" style="157" bestFit="1" customWidth="1"/>
    <col min="12060" max="12060" width="12.85546875" style="157" bestFit="1" customWidth="1"/>
    <col min="12061" max="12061" width="13.85546875" style="157" bestFit="1" customWidth="1"/>
    <col min="12062" max="12062" width="13" style="157" customWidth="1"/>
    <col min="12063" max="12064" width="9.7109375" style="157" customWidth="1"/>
    <col min="12065" max="12067" width="11.42578125" style="157"/>
    <col min="12068" max="12068" width="8.7109375" style="157" customWidth="1"/>
    <col min="12069" max="12071" width="11.42578125" style="157"/>
    <col min="12072" max="12072" width="8.5703125" style="157" customWidth="1"/>
    <col min="12073" max="12288" width="11.42578125" style="157"/>
    <col min="12289" max="12289" width="5" style="157" customWidth="1"/>
    <col min="12290" max="12290" width="20" style="157" customWidth="1"/>
    <col min="12291" max="12291" width="12.42578125" style="157" customWidth="1"/>
    <col min="12292" max="12296" width="15.140625" style="157" customWidth="1"/>
    <col min="12297" max="12299" width="11.42578125" style="157"/>
    <col min="12300" max="12302" width="12.140625" style="157" customWidth="1"/>
    <col min="12303" max="12303" width="9.7109375" style="157" customWidth="1"/>
    <col min="12304" max="12304" width="3.42578125" style="157" customWidth="1"/>
    <col min="12305" max="12305" width="3.5703125" style="157" customWidth="1"/>
    <col min="12306" max="12306" width="25.42578125" style="157" customWidth="1"/>
    <col min="12307" max="12309" width="9.7109375" style="157" customWidth="1"/>
    <col min="12310" max="12310" width="3.42578125" style="157" customWidth="1"/>
    <col min="12311" max="12311" width="8.140625" style="157" customWidth="1"/>
    <col min="12312" max="12312" width="14.85546875" style="157" customWidth="1"/>
    <col min="12313" max="12313" width="9.5703125" style="157" customWidth="1"/>
    <col min="12314" max="12314" width="14.85546875" style="157" customWidth="1"/>
    <col min="12315" max="12315" width="13.85546875" style="157" bestFit="1" customWidth="1"/>
    <col min="12316" max="12316" width="12.85546875" style="157" bestFit="1" customWidth="1"/>
    <col min="12317" max="12317" width="13.85546875" style="157" bestFit="1" customWidth="1"/>
    <col min="12318" max="12318" width="13" style="157" customWidth="1"/>
    <col min="12319" max="12320" width="9.7109375" style="157" customWidth="1"/>
    <col min="12321" max="12323" width="11.42578125" style="157"/>
    <col min="12324" max="12324" width="8.7109375" style="157" customWidth="1"/>
    <col min="12325" max="12327" width="11.42578125" style="157"/>
    <col min="12328" max="12328" width="8.5703125" style="157" customWidth="1"/>
    <col min="12329" max="12544" width="11.42578125" style="157"/>
    <col min="12545" max="12545" width="5" style="157" customWidth="1"/>
    <col min="12546" max="12546" width="20" style="157" customWidth="1"/>
    <col min="12547" max="12547" width="12.42578125" style="157" customWidth="1"/>
    <col min="12548" max="12552" width="15.140625" style="157" customWidth="1"/>
    <col min="12553" max="12555" width="11.42578125" style="157"/>
    <col min="12556" max="12558" width="12.140625" style="157" customWidth="1"/>
    <col min="12559" max="12559" width="9.7109375" style="157" customWidth="1"/>
    <col min="12560" max="12560" width="3.42578125" style="157" customWidth="1"/>
    <col min="12561" max="12561" width="3.5703125" style="157" customWidth="1"/>
    <col min="12562" max="12562" width="25.42578125" style="157" customWidth="1"/>
    <col min="12563" max="12565" width="9.7109375" style="157" customWidth="1"/>
    <col min="12566" max="12566" width="3.42578125" style="157" customWidth="1"/>
    <col min="12567" max="12567" width="8.140625" style="157" customWidth="1"/>
    <col min="12568" max="12568" width="14.85546875" style="157" customWidth="1"/>
    <col min="12569" max="12569" width="9.5703125" style="157" customWidth="1"/>
    <col min="12570" max="12570" width="14.85546875" style="157" customWidth="1"/>
    <col min="12571" max="12571" width="13.85546875" style="157" bestFit="1" customWidth="1"/>
    <col min="12572" max="12572" width="12.85546875" style="157" bestFit="1" customWidth="1"/>
    <col min="12573" max="12573" width="13.85546875" style="157" bestFit="1" customWidth="1"/>
    <col min="12574" max="12574" width="13" style="157" customWidth="1"/>
    <col min="12575" max="12576" width="9.7109375" style="157" customWidth="1"/>
    <col min="12577" max="12579" width="11.42578125" style="157"/>
    <col min="12580" max="12580" width="8.7109375" style="157" customWidth="1"/>
    <col min="12581" max="12583" width="11.42578125" style="157"/>
    <col min="12584" max="12584" width="8.5703125" style="157" customWidth="1"/>
    <col min="12585" max="12800" width="11.42578125" style="157"/>
    <col min="12801" max="12801" width="5" style="157" customWidth="1"/>
    <col min="12802" max="12802" width="20" style="157" customWidth="1"/>
    <col min="12803" max="12803" width="12.42578125" style="157" customWidth="1"/>
    <col min="12804" max="12808" width="15.140625" style="157" customWidth="1"/>
    <col min="12809" max="12811" width="11.42578125" style="157"/>
    <col min="12812" max="12814" width="12.140625" style="157" customWidth="1"/>
    <col min="12815" max="12815" width="9.7109375" style="157" customWidth="1"/>
    <col min="12816" max="12816" width="3.42578125" style="157" customWidth="1"/>
    <col min="12817" max="12817" width="3.5703125" style="157" customWidth="1"/>
    <col min="12818" max="12818" width="25.42578125" style="157" customWidth="1"/>
    <col min="12819" max="12821" width="9.7109375" style="157" customWidth="1"/>
    <col min="12822" max="12822" width="3.42578125" style="157" customWidth="1"/>
    <col min="12823" max="12823" width="8.140625" style="157" customWidth="1"/>
    <col min="12824" max="12824" width="14.85546875" style="157" customWidth="1"/>
    <col min="12825" max="12825" width="9.5703125" style="157" customWidth="1"/>
    <col min="12826" max="12826" width="14.85546875" style="157" customWidth="1"/>
    <col min="12827" max="12827" width="13.85546875" style="157" bestFit="1" customWidth="1"/>
    <col min="12828" max="12828" width="12.85546875" style="157" bestFit="1" customWidth="1"/>
    <col min="12829" max="12829" width="13.85546875" style="157" bestFit="1" customWidth="1"/>
    <col min="12830" max="12830" width="13" style="157" customWidth="1"/>
    <col min="12831" max="12832" width="9.7109375" style="157" customWidth="1"/>
    <col min="12833" max="12835" width="11.42578125" style="157"/>
    <col min="12836" max="12836" width="8.7109375" style="157" customWidth="1"/>
    <col min="12837" max="12839" width="11.42578125" style="157"/>
    <col min="12840" max="12840" width="8.5703125" style="157" customWidth="1"/>
    <col min="12841" max="13056" width="11.42578125" style="157"/>
    <col min="13057" max="13057" width="5" style="157" customWidth="1"/>
    <col min="13058" max="13058" width="20" style="157" customWidth="1"/>
    <col min="13059" max="13059" width="12.42578125" style="157" customWidth="1"/>
    <col min="13060" max="13064" width="15.140625" style="157" customWidth="1"/>
    <col min="13065" max="13067" width="11.42578125" style="157"/>
    <col min="13068" max="13070" width="12.140625" style="157" customWidth="1"/>
    <col min="13071" max="13071" width="9.7109375" style="157" customWidth="1"/>
    <col min="13072" max="13072" width="3.42578125" style="157" customWidth="1"/>
    <col min="13073" max="13073" width="3.5703125" style="157" customWidth="1"/>
    <col min="13074" max="13074" width="25.42578125" style="157" customWidth="1"/>
    <col min="13075" max="13077" width="9.7109375" style="157" customWidth="1"/>
    <col min="13078" max="13078" width="3.42578125" style="157" customWidth="1"/>
    <col min="13079" max="13079" width="8.140625" style="157" customWidth="1"/>
    <col min="13080" max="13080" width="14.85546875" style="157" customWidth="1"/>
    <col min="13081" max="13081" width="9.5703125" style="157" customWidth="1"/>
    <col min="13082" max="13082" width="14.85546875" style="157" customWidth="1"/>
    <col min="13083" max="13083" width="13.85546875" style="157" bestFit="1" customWidth="1"/>
    <col min="13084" max="13084" width="12.85546875" style="157" bestFit="1" customWidth="1"/>
    <col min="13085" max="13085" width="13.85546875" style="157" bestFit="1" customWidth="1"/>
    <col min="13086" max="13086" width="13" style="157" customWidth="1"/>
    <col min="13087" max="13088" width="9.7109375" style="157" customWidth="1"/>
    <col min="13089" max="13091" width="11.42578125" style="157"/>
    <col min="13092" max="13092" width="8.7109375" style="157" customWidth="1"/>
    <col min="13093" max="13095" width="11.42578125" style="157"/>
    <col min="13096" max="13096" width="8.5703125" style="157" customWidth="1"/>
    <col min="13097" max="13312" width="11.42578125" style="157"/>
    <col min="13313" max="13313" width="5" style="157" customWidth="1"/>
    <col min="13314" max="13314" width="20" style="157" customWidth="1"/>
    <col min="13315" max="13315" width="12.42578125" style="157" customWidth="1"/>
    <col min="13316" max="13320" width="15.140625" style="157" customWidth="1"/>
    <col min="13321" max="13323" width="11.42578125" style="157"/>
    <col min="13324" max="13326" width="12.140625" style="157" customWidth="1"/>
    <col min="13327" max="13327" width="9.7109375" style="157" customWidth="1"/>
    <col min="13328" max="13328" width="3.42578125" style="157" customWidth="1"/>
    <col min="13329" max="13329" width="3.5703125" style="157" customWidth="1"/>
    <col min="13330" max="13330" width="25.42578125" style="157" customWidth="1"/>
    <col min="13331" max="13333" width="9.7109375" style="157" customWidth="1"/>
    <col min="13334" max="13334" width="3.42578125" style="157" customWidth="1"/>
    <col min="13335" max="13335" width="8.140625" style="157" customWidth="1"/>
    <col min="13336" max="13336" width="14.85546875" style="157" customWidth="1"/>
    <col min="13337" max="13337" width="9.5703125" style="157" customWidth="1"/>
    <col min="13338" max="13338" width="14.85546875" style="157" customWidth="1"/>
    <col min="13339" max="13339" width="13.85546875" style="157" bestFit="1" customWidth="1"/>
    <col min="13340" max="13340" width="12.85546875" style="157" bestFit="1" customWidth="1"/>
    <col min="13341" max="13341" width="13.85546875" style="157" bestFit="1" customWidth="1"/>
    <col min="13342" max="13342" width="13" style="157" customWidth="1"/>
    <col min="13343" max="13344" width="9.7109375" style="157" customWidth="1"/>
    <col min="13345" max="13347" width="11.42578125" style="157"/>
    <col min="13348" max="13348" width="8.7109375" style="157" customWidth="1"/>
    <col min="13349" max="13351" width="11.42578125" style="157"/>
    <col min="13352" max="13352" width="8.5703125" style="157" customWidth="1"/>
    <col min="13353" max="13568" width="11.42578125" style="157"/>
    <col min="13569" max="13569" width="5" style="157" customWidth="1"/>
    <col min="13570" max="13570" width="20" style="157" customWidth="1"/>
    <col min="13571" max="13571" width="12.42578125" style="157" customWidth="1"/>
    <col min="13572" max="13576" width="15.140625" style="157" customWidth="1"/>
    <col min="13577" max="13579" width="11.42578125" style="157"/>
    <col min="13580" max="13582" width="12.140625" style="157" customWidth="1"/>
    <col min="13583" max="13583" width="9.7109375" style="157" customWidth="1"/>
    <col min="13584" max="13584" width="3.42578125" style="157" customWidth="1"/>
    <col min="13585" max="13585" width="3.5703125" style="157" customWidth="1"/>
    <col min="13586" max="13586" width="25.42578125" style="157" customWidth="1"/>
    <col min="13587" max="13589" width="9.7109375" style="157" customWidth="1"/>
    <col min="13590" max="13590" width="3.42578125" style="157" customWidth="1"/>
    <col min="13591" max="13591" width="8.140625" style="157" customWidth="1"/>
    <col min="13592" max="13592" width="14.85546875" style="157" customWidth="1"/>
    <col min="13593" max="13593" width="9.5703125" style="157" customWidth="1"/>
    <col min="13594" max="13594" width="14.85546875" style="157" customWidth="1"/>
    <col min="13595" max="13595" width="13.85546875" style="157" bestFit="1" customWidth="1"/>
    <col min="13596" max="13596" width="12.85546875" style="157" bestFit="1" customWidth="1"/>
    <col min="13597" max="13597" width="13.85546875" style="157" bestFit="1" customWidth="1"/>
    <col min="13598" max="13598" width="13" style="157" customWidth="1"/>
    <col min="13599" max="13600" width="9.7109375" style="157" customWidth="1"/>
    <col min="13601" max="13603" width="11.42578125" style="157"/>
    <col min="13604" max="13604" width="8.7109375" style="157" customWidth="1"/>
    <col min="13605" max="13607" width="11.42578125" style="157"/>
    <col min="13608" max="13608" width="8.5703125" style="157" customWidth="1"/>
    <col min="13609" max="13824" width="11.42578125" style="157"/>
    <col min="13825" max="13825" width="5" style="157" customWidth="1"/>
    <col min="13826" max="13826" width="20" style="157" customWidth="1"/>
    <col min="13827" max="13827" width="12.42578125" style="157" customWidth="1"/>
    <col min="13828" max="13832" width="15.140625" style="157" customWidth="1"/>
    <col min="13833" max="13835" width="11.42578125" style="157"/>
    <col min="13836" max="13838" width="12.140625" style="157" customWidth="1"/>
    <col min="13839" max="13839" width="9.7109375" style="157" customWidth="1"/>
    <col min="13840" max="13840" width="3.42578125" style="157" customWidth="1"/>
    <col min="13841" max="13841" width="3.5703125" style="157" customWidth="1"/>
    <col min="13842" max="13842" width="25.42578125" style="157" customWidth="1"/>
    <col min="13843" max="13845" width="9.7109375" style="157" customWidth="1"/>
    <col min="13846" max="13846" width="3.42578125" style="157" customWidth="1"/>
    <col min="13847" max="13847" width="8.140625" style="157" customWidth="1"/>
    <col min="13848" max="13848" width="14.85546875" style="157" customWidth="1"/>
    <col min="13849" max="13849" width="9.5703125" style="157" customWidth="1"/>
    <col min="13850" max="13850" width="14.85546875" style="157" customWidth="1"/>
    <col min="13851" max="13851" width="13.85546875" style="157" bestFit="1" customWidth="1"/>
    <col min="13852" max="13852" width="12.85546875" style="157" bestFit="1" customWidth="1"/>
    <col min="13853" max="13853" width="13.85546875" style="157" bestFit="1" customWidth="1"/>
    <col min="13854" max="13854" width="13" style="157" customWidth="1"/>
    <col min="13855" max="13856" width="9.7109375" style="157" customWidth="1"/>
    <col min="13857" max="13859" width="11.42578125" style="157"/>
    <col min="13860" max="13860" width="8.7109375" style="157" customWidth="1"/>
    <col min="13861" max="13863" width="11.42578125" style="157"/>
    <col min="13864" max="13864" width="8.5703125" style="157" customWidth="1"/>
    <col min="13865" max="14080" width="11.42578125" style="157"/>
    <col min="14081" max="14081" width="5" style="157" customWidth="1"/>
    <col min="14082" max="14082" width="20" style="157" customWidth="1"/>
    <col min="14083" max="14083" width="12.42578125" style="157" customWidth="1"/>
    <col min="14084" max="14088" width="15.140625" style="157" customWidth="1"/>
    <col min="14089" max="14091" width="11.42578125" style="157"/>
    <col min="14092" max="14094" width="12.140625" style="157" customWidth="1"/>
    <col min="14095" max="14095" width="9.7109375" style="157" customWidth="1"/>
    <col min="14096" max="14096" width="3.42578125" style="157" customWidth="1"/>
    <col min="14097" max="14097" width="3.5703125" style="157" customWidth="1"/>
    <col min="14098" max="14098" width="25.42578125" style="157" customWidth="1"/>
    <col min="14099" max="14101" width="9.7109375" style="157" customWidth="1"/>
    <col min="14102" max="14102" width="3.42578125" style="157" customWidth="1"/>
    <col min="14103" max="14103" width="8.140625" style="157" customWidth="1"/>
    <col min="14104" max="14104" width="14.85546875" style="157" customWidth="1"/>
    <col min="14105" max="14105" width="9.5703125" style="157" customWidth="1"/>
    <col min="14106" max="14106" width="14.85546875" style="157" customWidth="1"/>
    <col min="14107" max="14107" width="13.85546875" style="157" bestFit="1" customWidth="1"/>
    <col min="14108" max="14108" width="12.85546875" style="157" bestFit="1" customWidth="1"/>
    <col min="14109" max="14109" width="13.85546875" style="157" bestFit="1" customWidth="1"/>
    <col min="14110" max="14110" width="13" style="157" customWidth="1"/>
    <col min="14111" max="14112" width="9.7109375" style="157" customWidth="1"/>
    <col min="14113" max="14115" width="11.42578125" style="157"/>
    <col min="14116" max="14116" width="8.7109375" style="157" customWidth="1"/>
    <col min="14117" max="14119" width="11.42578125" style="157"/>
    <col min="14120" max="14120" width="8.5703125" style="157" customWidth="1"/>
    <col min="14121" max="14336" width="11.42578125" style="157"/>
    <col min="14337" max="14337" width="5" style="157" customWidth="1"/>
    <col min="14338" max="14338" width="20" style="157" customWidth="1"/>
    <col min="14339" max="14339" width="12.42578125" style="157" customWidth="1"/>
    <col min="14340" max="14344" width="15.140625" style="157" customWidth="1"/>
    <col min="14345" max="14347" width="11.42578125" style="157"/>
    <col min="14348" max="14350" width="12.140625" style="157" customWidth="1"/>
    <col min="14351" max="14351" width="9.7109375" style="157" customWidth="1"/>
    <col min="14352" max="14352" width="3.42578125" style="157" customWidth="1"/>
    <col min="14353" max="14353" width="3.5703125" style="157" customWidth="1"/>
    <col min="14354" max="14354" width="25.42578125" style="157" customWidth="1"/>
    <col min="14355" max="14357" width="9.7109375" style="157" customWidth="1"/>
    <col min="14358" max="14358" width="3.42578125" style="157" customWidth="1"/>
    <col min="14359" max="14359" width="8.140625" style="157" customWidth="1"/>
    <col min="14360" max="14360" width="14.85546875" style="157" customWidth="1"/>
    <col min="14361" max="14361" width="9.5703125" style="157" customWidth="1"/>
    <col min="14362" max="14362" width="14.85546875" style="157" customWidth="1"/>
    <col min="14363" max="14363" width="13.85546875" style="157" bestFit="1" customWidth="1"/>
    <col min="14364" max="14364" width="12.85546875" style="157" bestFit="1" customWidth="1"/>
    <col min="14365" max="14365" width="13.85546875" style="157" bestFit="1" customWidth="1"/>
    <col min="14366" max="14366" width="13" style="157" customWidth="1"/>
    <col min="14367" max="14368" width="9.7109375" style="157" customWidth="1"/>
    <col min="14369" max="14371" width="11.42578125" style="157"/>
    <col min="14372" max="14372" width="8.7109375" style="157" customWidth="1"/>
    <col min="14373" max="14375" width="11.42578125" style="157"/>
    <col min="14376" max="14376" width="8.5703125" style="157" customWidth="1"/>
    <col min="14377" max="14592" width="11.42578125" style="157"/>
    <col min="14593" max="14593" width="5" style="157" customWidth="1"/>
    <col min="14594" max="14594" width="20" style="157" customWidth="1"/>
    <col min="14595" max="14595" width="12.42578125" style="157" customWidth="1"/>
    <col min="14596" max="14600" width="15.140625" style="157" customWidth="1"/>
    <col min="14601" max="14603" width="11.42578125" style="157"/>
    <col min="14604" max="14606" width="12.140625" style="157" customWidth="1"/>
    <col min="14607" max="14607" width="9.7109375" style="157" customWidth="1"/>
    <col min="14608" max="14608" width="3.42578125" style="157" customWidth="1"/>
    <col min="14609" max="14609" width="3.5703125" style="157" customWidth="1"/>
    <col min="14610" max="14610" width="25.42578125" style="157" customWidth="1"/>
    <col min="14611" max="14613" width="9.7109375" style="157" customWidth="1"/>
    <col min="14614" max="14614" width="3.42578125" style="157" customWidth="1"/>
    <col min="14615" max="14615" width="8.140625" style="157" customWidth="1"/>
    <col min="14616" max="14616" width="14.85546875" style="157" customWidth="1"/>
    <col min="14617" max="14617" width="9.5703125" style="157" customWidth="1"/>
    <col min="14618" max="14618" width="14.85546875" style="157" customWidth="1"/>
    <col min="14619" max="14619" width="13.85546875" style="157" bestFit="1" customWidth="1"/>
    <col min="14620" max="14620" width="12.85546875" style="157" bestFit="1" customWidth="1"/>
    <col min="14621" max="14621" width="13.85546875" style="157" bestFit="1" customWidth="1"/>
    <col min="14622" max="14622" width="13" style="157" customWidth="1"/>
    <col min="14623" max="14624" width="9.7109375" style="157" customWidth="1"/>
    <col min="14625" max="14627" width="11.42578125" style="157"/>
    <col min="14628" max="14628" width="8.7109375" style="157" customWidth="1"/>
    <col min="14629" max="14631" width="11.42578125" style="157"/>
    <col min="14632" max="14632" width="8.5703125" style="157" customWidth="1"/>
    <col min="14633" max="14848" width="11.42578125" style="157"/>
    <col min="14849" max="14849" width="5" style="157" customWidth="1"/>
    <col min="14850" max="14850" width="20" style="157" customWidth="1"/>
    <col min="14851" max="14851" width="12.42578125" style="157" customWidth="1"/>
    <col min="14852" max="14856" width="15.140625" style="157" customWidth="1"/>
    <col min="14857" max="14859" width="11.42578125" style="157"/>
    <col min="14860" max="14862" width="12.140625" style="157" customWidth="1"/>
    <col min="14863" max="14863" width="9.7109375" style="157" customWidth="1"/>
    <col min="14864" max="14864" width="3.42578125" style="157" customWidth="1"/>
    <col min="14865" max="14865" width="3.5703125" style="157" customWidth="1"/>
    <col min="14866" max="14866" width="25.42578125" style="157" customWidth="1"/>
    <col min="14867" max="14869" width="9.7109375" style="157" customWidth="1"/>
    <col min="14870" max="14870" width="3.42578125" style="157" customWidth="1"/>
    <col min="14871" max="14871" width="8.140625" style="157" customWidth="1"/>
    <col min="14872" max="14872" width="14.85546875" style="157" customWidth="1"/>
    <col min="14873" max="14873" width="9.5703125" style="157" customWidth="1"/>
    <col min="14874" max="14874" width="14.85546875" style="157" customWidth="1"/>
    <col min="14875" max="14875" width="13.85546875" style="157" bestFit="1" customWidth="1"/>
    <col min="14876" max="14876" width="12.85546875" style="157" bestFit="1" customWidth="1"/>
    <col min="14877" max="14877" width="13.85546875" style="157" bestFit="1" customWidth="1"/>
    <col min="14878" max="14878" width="13" style="157" customWidth="1"/>
    <col min="14879" max="14880" width="9.7109375" style="157" customWidth="1"/>
    <col min="14881" max="14883" width="11.42578125" style="157"/>
    <col min="14884" max="14884" width="8.7109375" style="157" customWidth="1"/>
    <col min="14885" max="14887" width="11.42578125" style="157"/>
    <col min="14888" max="14888" width="8.5703125" style="157" customWidth="1"/>
    <col min="14889" max="15104" width="11.42578125" style="157"/>
    <col min="15105" max="15105" width="5" style="157" customWidth="1"/>
    <col min="15106" max="15106" width="20" style="157" customWidth="1"/>
    <col min="15107" max="15107" width="12.42578125" style="157" customWidth="1"/>
    <col min="15108" max="15112" width="15.140625" style="157" customWidth="1"/>
    <col min="15113" max="15115" width="11.42578125" style="157"/>
    <col min="15116" max="15118" width="12.140625" style="157" customWidth="1"/>
    <col min="15119" max="15119" width="9.7109375" style="157" customWidth="1"/>
    <col min="15120" max="15120" width="3.42578125" style="157" customWidth="1"/>
    <col min="15121" max="15121" width="3.5703125" style="157" customWidth="1"/>
    <col min="15122" max="15122" width="25.42578125" style="157" customWidth="1"/>
    <col min="15123" max="15125" width="9.7109375" style="157" customWidth="1"/>
    <col min="15126" max="15126" width="3.42578125" style="157" customWidth="1"/>
    <col min="15127" max="15127" width="8.140625" style="157" customWidth="1"/>
    <col min="15128" max="15128" width="14.85546875" style="157" customWidth="1"/>
    <col min="15129" max="15129" width="9.5703125" style="157" customWidth="1"/>
    <col min="15130" max="15130" width="14.85546875" style="157" customWidth="1"/>
    <col min="15131" max="15131" width="13.85546875" style="157" bestFit="1" customWidth="1"/>
    <col min="15132" max="15132" width="12.85546875" style="157" bestFit="1" customWidth="1"/>
    <col min="15133" max="15133" width="13.85546875" style="157" bestFit="1" customWidth="1"/>
    <col min="15134" max="15134" width="13" style="157" customWidth="1"/>
    <col min="15135" max="15136" width="9.7109375" style="157" customWidth="1"/>
    <col min="15137" max="15139" width="11.42578125" style="157"/>
    <col min="15140" max="15140" width="8.7109375" style="157" customWidth="1"/>
    <col min="15141" max="15143" width="11.42578125" style="157"/>
    <col min="15144" max="15144" width="8.5703125" style="157" customWidth="1"/>
    <col min="15145" max="15360" width="11.42578125" style="157"/>
    <col min="15361" max="15361" width="5" style="157" customWidth="1"/>
    <col min="15362" max="15362" width="20" style="157" customWidth="1"/>
    <col min="15363" max="15363" width="12.42578125" style="157" customWidth="1"/>
    <col min="15364" max="15368" width="15.140625" style="157" customWidth="1"/>
    <col min="15369" max="15371" width="11.42578125" style="157"/>
    <col min="15372" max="15374" width="12.140625" style="157" customWidth="1"/>
    <col min="15375" max="15375" width="9.7109375" style="157" customWidth="1"/>
    <col min="15376" max="15376" width="3.42578125" style="157" customWidth="1"/>
    <col min="15377" max="15377" width="3.5703125" style="157" customWidth="1"/>
    <col min="15378" max="15378" width="25.42578125" style="157" customWidth="1"/>
    <col min="15379" max="15381" width="9.7109375" style="157" customWidth="1"/>
    <col min="15382" max="15382" width="3.42578125" style="157" customWidth="1"/>
    <col min="15383" max="15383" width="8.140625" style="157" customWidth="1"/>
    <col min="15384" max="15384" width="14.85546875" style="157" customWidth="1"/>
    <col min="15385" max="15385" width="9.5703125" style="157" customWidth="1"/>
    <col min="15386" max="15386" width="14.85546875" style="157" customWidth="1"/>
    <col min="15387" max="15387" width="13.85546875" style="157" bestFit="1" customWidth="1"/>
    <col min="15388" max="15388" width="12.85546875" style="157" bestFit="1" customWidth="1"/>
    <col min="15389" max="15389" width="13.85546875" style="157" bestFit="1" customWidth="1"/>
    <col min="15390" max="15390" width="13" style="157" customWidth="1"/>
    <col min="15391" max="15392" width="9.7109375" style="157" customWidth="1"/>
    <col min="15393" max="15395" width="11.42578125" style="157"/>
    <col min="15396" max="15396" width="8.7109375" style="157" customWidth="1"/>
    <col min="15397" max="15399" width="11.42578125" style="157"/>
    <col min="15400" max="15400" width="8.5703125" style="157" customWidth="1"/>
    <col min="15401" max="15616" width="11.42578125" style="157"/>
    <col min="15617" max="15617" width="5" style="157" customWidth="1"/>
    <col min="15618" max="15618" width="20" style="157" customWidth="1"/>
    <col min="15619" max="15619" width="12.42578125" style="157" customWidth="1"/>
    <col min="15620" max="15624" width="15.140625" style="157" customWidth="1"/>
    <col min="15625" max="15627" width="11.42578125" style="157"/>
    <col min="15628" max="15630" width="12.140625" style="157" customWidth="1"/>
    <col min="15631" max="15631" width="9.7109375" style="157" customWidth="1"/>
    <col min="15632" max="15632" width="3.42578125" style="157" customWidth="1"/>
    <col min="15633" max="15633" width="3.5703125" style="157" customWidth="1"/>
    <col min="15634" max="15634" width="25.42578125" style="157" customWidth="1"/>
    <col min="15635" max="15637" width="9.7109375" style="157" customWidth="1"/>
    <col min="15638" max="15638" width="3.42578125" style="157" customWidth="1"/>
    <col min="15639" max="15639" width="8.140625" style="157" customWidth="1"/>
    <col min="15640" max="15640" width="14.85546875" style="157" customWidth="1"/>
    <col min="15641" max="15641" width="9.5703125" style="157" customWidth="1"/>
    <col min="15642" max="15642" width="14.85546875" style="157" customWidth="1"/>
    <col min="15643" max="15643" width="13.85546875" style="157" bestFit="1" customWidth="1"/>
    <col min="15644" max="15644" width="12.85546875" style="157" bestFit="1" customWidth="1"/>
    <col min="15645" max="15645" width="13.85546875" style="157" bestFit="1" customWidth="1"/>
    <col min="15646" max="15646" width="13" style="157" customWidth="1"/>
    <col min="15647" max="15648" width="9.7109375" style="157" customWidth="1"/>
    <col min="15649" max="15651" width="11.42578125" style="157"/>
    <col min="15652" max="15652" width="8.7109375" style="157" customWidth="1"/>
    <col min="15653" max="15655" width="11.42578125" style="157"/>
    <col min="15656" max="15656" width="8.5703125" style="157" customWidth="1"/>
    <col min="15657" max="15872" width="11.42578125" style="157"/>
    <col min="15873" max="15873" width="5" style="157" customWidth="1"/>
    <col min="15874" max="15874" width="20" style="157" customWidth="1"/>
    <col min="15875" max="15875" width="12.42578125" style="157" customWidth="1"/>
    <col min="15876" max="15880" width="15.140625" style="157" customWidth="1"/>
    <col min="15881" max="15883" width="11.42578125" style="157"/>
    <col min="15884" max="15886" width="12.140625" style="157" customWidth="1"/>
    <col min="15887" max="15887" width="9.7109375" style="157" customWidth="1"/>
    <col min="15888" max="15888" width="3.42578125" style="157" customWidth="1"/>
    <col min="15889" max="15889" width="3.5703125" style="157" customWidth="1"/>
    <col min="15890" max="15890" width="25.42578125" style="157" customWidth="1"/>
    <col min="15891" max="15893" width="9.7109375" style="157" customWidth="1"/>
    <col min="15894" max="15894" width="3.42578125" style="157" customWidth="1"/>
    <col min="15895" max="15895" width="8.140625" style="157" customWidth="1"/>
    <col min="15896" max="15896" width="14.85546875" style="157" customWidth="1"/>
    <col min="15897" max="15897" width="9.5703125" style="157" customWidth="1"/>
    <col min="15898" max="15898" width="14.85546875" style="157" customWidth="1"/>
    <col min="15899" max="15899" width="13.85546875" style="157" bestFit="1" customWidth="1"/>
    <col min="15900" max="15900" width="12.85546875" style="157" bestFit="1" customWidth="1"/>
    <col min="15901" max="15901" width="13.85546875" style="157" bestFit="1" customWidth="1"/>
    <col min="15902" max="15902" width="13" style="157" customWidth="1"/>
    <col min="15903" max="15904" width="9.7109375" style="157" customWidth="1"/>
    <col min="15905" max="15907" width="11.42578125" style="157"/>
    <col min="15908" max="15908" width="8.7109375" style="157" customWidth="1"/>
    <col min="15909" max="15911" width="11.42578125" style="157"/>
    <col min="15912" max="15912" width="8.5703125" style="157" customWidth="1"/>
    <col min="15913" max="16128" width="11.42578125" style="157"/>
    <col min="16129" max="16129" width="5" style="157" customWidth="1"/>
    <col min="16130" max="16130" width="20" style="157" customWidth="1"/>
    <col min="16131" max="16131" width="12.42578125" style="157" customWidth="1"/>
    <col min="16132" max="16136" width="15.140625" style="157" customWidth="1"/>
    <col min="16137" max="16139" width="11.42578125" style="157"/>
    <col min="16140" max="16142" width="12.140625" style="157" customWidth="1"/>
    <col min="16143" max="16143" width="9.7109375" style="157" customWidth="1"/>
    <col min="16144" max="16144" width="3.42578125" style="157" customWidth="1"/>
    <col min="16145" max="16145" width="3.5703125" style="157" customWidth="1"/>
    <col min="16146" max="16146" width="25.42578125" style="157" customWidth="1"/>
    <col min="16147" max="16149" width="9.7109375" style="157" customWidth="1"/>
    <col min="16150" max="16150" width="3.42578125" style="157" customWidth="1"/>
    <col min="16151" max="16151" width="8.140625" style="157" customWidth="1"/>
    <col min="16152" max="16152" width="14.85546875" style="157" customWidth="1"/>
    <col min="16153" max="16153" width="9.5703125" style="157" customWidth="1"/>
    <col min="16154" max="16154" width="14.85546875" style="157" customWidth="1"/>
    <col min="16155" max="16155" width="13.85546875" style="157" bestFit="1" customWidth="1"/>
    <col min="16156" max="16156" width="12.85546875" style="157" bestFit="1" customWidth="1"/>
    <col min="16157" max="16157" width="13.85546875" style="157" bestFit="1" customWidth="1"/>
    <col min="16158" max="16158" width="13" style="157" customWidth="1"/>
    <col min="16159" max="16160" width="9.7109375" style="157" customWidth="1"/>
    <col min="16161" max="16163" width="11.42578125" style="157"/>
    <col min="16164" max="16164" width="8.7109375" style="157" customWidth="1"/>
    <col min="16165" max="16167" width="11.42578125" style="157"/>
    <col min="16168" max="16168" width="8.5703125" style="157" customWidth="1"/>
    <col min="16169" max="16384" width="11.42578125" style="157"/>
  </cols>
  <sheetData>
    <row r="1" spans="2:27" s="573" customFormat="1" x14ac:dyDescent="0.2">
      <c r="B1" s="643"/>
      <c r="R1" s="645"/>
      <c r="S1" s="645"/>
      <c r="T1" s="645"/>
      <c r="U1" s="645"/>
      <c r="V1" s="645"/>
      <c r="W1" s="645"/>
      <c r="X1" s="645"/>
      <c r="Y1" s="645"/>
      <c r="Z1" s="645"/>
      <c r="AA1" s="645"/>
    </row>
    <row r="2" spans="2:27" s="573" customFormat="1" ht="15.75" x14ac:dyDescent="0.25">
      <c r="B2" s="646" t="s">
        <v>233</v>
      </c>
      <c r="R2" s="645"/>
      <c r="S2" s="645"/>
      <c r="T2" s="645"/>
      <c r="U2" s="645"/>
      <c r="V2" s="645"/>
      <c r="W2" s="645"/>
      <c r="X2" s="645"/>
      <c r="Y2" s="645"/>
      <c r="Z2" s="645"/>
      <c r="AA2" s="645"/>
    </row>
    <row r="3" spans="2:27" s="573" customFormat="1" ht="12" customHeight="1" x14ac:dyDescent="0.25">
      <c r="B3" s="646"/>
      <c r="R3" s="645"/>
      <c r="S3" s="645"/>
      <c r="T3" s="645"/>
      <c r="U3" s="645"/>
      <c r="V3" s="645"/>
      <c r="W3" s="645"/>
      <c r="X3" s="645"/>
      <c r="Y3" s="645"/>
      <c r="Z3" s="645"/>
      <c r="AA3" s="645"/>
    </row>
    <row r="4" spans="2:27" s="573" customFormat="1" ht="13.5" thickBot="1" x14ac:dyDescent="0.25">
      <c r="B4" s="647"/>
      <c r="R4" s="645"/>
      <c r="S4" s="645"/>
      <c r="T4" s="645"/>
      <c r="U4" s="645"/>
      <c r="V4" s="645"/>
      <c r="W4" s="645"/>
      <c r="X4" s="645"/>
      <c r="Y4" s="645"/>
      <c r="Z4" s="645"/>
      <c r="AA4" s="645"/>
    </row>
    <row r="5" spans="2:27" ht="15.75" thickBot="1" x14ac:dyDescent="0.3">
      <c r="B5" s="1634" t="s">
        <v>132</v>
      </c>
      <c r="C5" s="422" t="s">
        <v>199</v>
      </c>
      <c r="D5" s="1361" t="s">
        <v>200</v>
      </c>
      <c r="E5" s="1362"/>
      <c r="F5" s="1362"/>
      <c r="G5" s="1362"/>
      <c r="H5" s="1363"/>
      <c r="I5" s="1635" t="s">
        <v>215</v>
      </c>
      <c r="J5" s="1636"/>
      <c r="K5" s="1637"/>
      <c r="L5" s="1638" t="s">
        <v>202</v>
      </c>
      <c r="M5" s="1639"/>
      <c r="N5" s="1639"/>
      <c r="O5" s="1640"/>
    </row>
    <row r="6" spans="2:27" ht="13.5" thickBot="1" x14ac:dyDescent="0.25">
      <c r="B6" s="484"/>
      <c r="C6" s="1641"/>
      <c r="D6" s="1642" t="s">
        <v>203</v>
      </c>
      <c r="E6" s="1643" t="s">
        <v>204</v>
      </c>
      <c r="F6" s="1643" t="s">
        <v>205</v>
      </c>
      <c r="G6" s="1644" t="s">
        <v>184</v>
      </c>
      <c r="H6" s="1645" t="s">
        <v>206</v>
      </c>
      <c r="I6" s="1644" t="s">
        <v>203</v>
      </c>
      <c r="J6" s="1646" t="s">
        <v>204</v>
      </c>
      <c r="K6" s="1642" t="s">
        <v>205</v>
      </c>
      <c r="L6" s="1642" t="s">
        <v>203</v>
      </c>
      <c r="M6" s="1642" t="s">
        <v>204</v>
      </c>
      <c r="N6" s="1642" t="s">
        <v>205</v>
      </c>
      <c r="O6" s="1647" t="s">
        <v>206</v>
      </c>
    </row>
    <row r="7" spans="2:27" x14ac:dyDescent="0.2">
      <c r="B7" s="489"/>
      <c r="C7" s="648"/>
      <c r="D7" s="360"/>
      <c r="E7" s="361"/>
      <c r="F7" s="362"/>
      <c r="G7" s="362"/>
      <c r="H7" s="649"/>
      <c r="I7" s="363"/>
      <c r="J7" s="362"/>
      <c r="K7" s="525"/>
      <c r="L7" s="359"/>
      <c r="M7" s="364"/>
      <c r="N7" s="362"/>
      <c r="O7" s="365"/>
    </row>
    <row r="8" spans="2:27" x14ac:dyDescent="0.2">
      <c r="B8" s="330">
        <v>1995</v>
      </c>
      <c r="C8" s="650">
        <f t="shared" ref="C8:C13" si="0">SUM(L8,I8,D8)</f>
        <v>13106.313096999998</v>
      </c>
      <c r="D8" s="651">
        <f t="shared" ref="D8:D13" si="1">SUM(E8:F8)</f>
        <v>11079.863100999999</v>
      </c>
      <c r="E8" s="652">
        <v>10175.763370999999</v>
      </c>
      <c r="F8" s="653">
        <v>904.09973000000002</v>
      </c>
      <c r="G8" s="653"/>
      <c r="H8" s="654"/>
      <c r="I8" s="655">
        <f t="shared" ref="I8:I13" si="2">SUM(J8:K8)</f>
        <v>1347.0061020000001</v>
      </c>
      <c r="J8" s="653">
        <v>1276.2521850000001</v>
      </c>
      <c r="K8" s="656">
        <v>70.753917000000001</v>
      </c>
      <c r="L8" s="657">
        <f t="shared" ref="L8:L13" si="3">SUM(M8:O8)</f>
        <v>679.443894</v>
      </c>
      <c r="M8" s="652">
        <v>88.574772999999993</v>
      </c>
      <c r="N8" s="653">
        <v>590.86912099999995</v>
      </c>
      <c r="O8" s="658" t="s">
        <v>234</v>
      </c>
    </row>
    <row r="9" spans="2:27" x14ac:dyDescent="0.2">
      <c r="B9" s="304">
        <v>1996</v>
      </c>
      <c r="C9" s="368">
        <f t="shared" si="0"/>
        <v>13307.577020999999</v>
      </c>
      <c r="D9" s="369">
        <f t="shared" si="1"/>
        <v>11114.304966</v>
      </c>
      <c r="E9" s="379">
        <v>10542.563853</v>
      </c>
      <c r="F9" s="382">
        <v>571.74111300000004</v>
      </c>
      <c r="G9" s="382"/>
      <c r="H9" s="372"/>
      <c r="I9" s="659">
        <f t="shared" si="2"/>
        <v>1571.1488599999998</v>
      </c>
      <c r="J9" s="382">
        <v>1235.1827439999997</v>
      </c>
      <c r="K9" s="381">
        <v>335.96611600000006</v>
      </c>
      <c r="L9" s="371">
        <f t="shared" si="3"/>
        <v>622.1231949999999</v>
      </c>
      <c r="M9" s="379">
        <v>70.178780000000003</v>
      </c>
      <c r="N9" s="382">
        <v>551.53441499999997</v>
      </c>
      <c r="O9" s="372">
        <v>0.41</v>
      </c>
    </row>
    <row r="10" spans="2:27" x14ac:dyDescent="0.2">
      <c r="B10" s="330">
        <v>1997</v>
      </c>
      <c r="C10" s="650">
        <f t="shared" si="0"/>
        <v>15348.556875999999</v>
      </c>
      <c r="D10" s="651">
        <f t="shared" si="1"/>
        <v>12278.077456999999</v>
      </c>
      <c r="E10" s="652">
        <v>10578.681579</v>
      </c>
      <c r="F10" s="653">
        <v>1699.3958780000003</v>
      </c>
      <c r="G10" s="653"/>
      <c r="H10" s="654"/>
      <c r="I10" s="655">
        <f t="shared" si="2"/>
        <v>2428.93273</v>
      </c>
      <c r="J10" s="653">
        <v>1573.605233</v>
      </c>
      <c r="K10" s="656">
        <v>855.32749699999999</v>
      </c>
      <c r="L10" s="657">
        <f t="shared" si="3"/>
        <v>641.54668900000013</v>
      </c>
      <c r="M10" s="652">
        <v>112.50497800000001</v>
      </c>
      <c r="N10" s="653">
        <v>528.48605500000008</v>
      </c>
      <c r="O10" s="654">
        <v>0.55565599999999993</v>
      </c>
    </row>
    <row r="11" spans="2:27" x14ac:dyDescent="0.2">
      <c r="B11" s="304">
        <v>1998</v>
      </c>
      <c r="C11" s="368">
        <f t="shared" si="0"/>
        <v>16815.936847000001</v>
      </c>
      <c r="D11" s="369">
        <f t="shared" si="1"/>
        <v>13526.540201000002</v>
      </c>
      <c r="E11" s="379">
        <v>12262.133473000002</v>
      </c>
      <c r="F11" s="382">
        <v>1264.4067279999999</v>
      </c>
      <c r="G11" s="382"/>
      <c r="H11" s="372"/>
      <c r="I11" s="659">
        <f t="shared" si="2"/>
        <v>2661.583983</v>
      </c>
      <c r="J11" s="382">
        <v>953.90101099999993</v>
      </c>
      <c r="K11" s="381">
        <v>1707.6829720000001</v>
      </c>
      <c r="L11" s="371">
        <f t="shared" si="3"/>
        <v>627.81266299999982</v>
      </c>
      <c r="M11" s="379">
        <v>151.15929299999999</v>
      </c>
      <c r="N11" s="382">
        <v>476.12692999999985</v>
      </c>
      <c r="O11" s="372">
        <v>0.52644000000000002</v>
      </c>
    </row>
    <row r="12" spans="2:27" x14ac:dyDescent="0.2">
      <c r="B12" s="330">
        <v>1999</v>
      </c>
      <c r="C12" s="650">
        <f t="shared" si="0"/>
        <v>17366.221878</v>
      </c>
      <c r="D12" s="651">
        <f t="shared" si="1"/>
        <v>13890.757992000001</v>
      </c>
      <c r="E12" s="652">
        <v>12909.594394000002</v>
      </c>
      <c r="F12" s="653">
        <v>981.16359799999998</v>
      </c>
      <c r="G12" s="653"/>
      <c r="H12" s="654"/>
      <c r="I12" s="655">
        <f t="shared" si="2"/>
        <v>2868.6487069999998</v>
      </c>
      <c r="J12" s="653">
        <v>1012.2640279999999</v>
      </c>
      <c r="K12" s="656">
        <v>1856.3846789999998</v>
      </c>
      <c r="L12" s="657">
        <f t="shared" si="3"/>
        <v>606.81517900000006</v>
      </c>
      <c r="M12" s="652">
        <v>188.73360400000001</v>
      </c>
      <c r="N12" s="653">
        <v>417.45699500000001</v>
      </c>
      <c r="O12" s="654">
        <v>0.62458000000000002</v>
      </c>
    </row>
    <row r="13" spans="2:27" x14ac:dyDescent="0.2">
      <c r="B13" s="304">
        <v>2000</v>
      </c>
      <c r="C13" s="368">
        <f t="shared" si="0"/>
        <v>18327.897719000001</v>
      </c>
      <c r="D13" s="369">
        <f t="shared" si="1"/>
        <v>14635.889037999999</v>
      </c>
      <c r="E13" s="379">
        <v>13908.207054999999</v>
      </c>
      <c r="F13" s="382">
        <v>727.68198299999995</v>
      </c>
      <c r="G13" s="382"/>
      <c r="H13" s="372"/>
      <c r="I13" s="659">
        <f t="shared" si="2"/>
        <v>3091.9220970000001</v>
      </c>
      <c r="J13" s="382">
        <v>1616.7179910000002</v>
      </c>
      <c r="K13" s="381">
        <v>1475.2041059999999</v>
      </c>
      <c r="L13" s="371">
        <f t="shared" si="3"/>
        <v>600.0865839999999</v>
      </c>
      <c r="M13" s="379">
        <v>222.39821899999998</v>
      </c>
      <c r="N13" s="382">
        <v>376.84266499999995</v>
      </c>
      <c r="O13" s="372">
        <v>0.84570000000000001</v>
      </c>
    </row>
    <row r="14" spans="2:27" ht="13.5" thickBot="1" x14ac:dyDescent="0.25">
      <c r="B14" s="330"/>
      <c r="C14" s="660"/>
      <c r="D14" s="661"/>
      <c r="E14" s="662"/>
      <c r="F14" s="663"/>
      <c r="G14" s="663"/>
      <c r="H14" s="664"/>
      <c r="I14" s="665"/>
      <c r="J14" s="663"/>
      <c r="K14" s="666"/>
      <c r="L14" s="667"/>
      <c r="M14" s="662"/>
      <c r="N14" s="663"/>
      <c r="O14" s="664"/>
    </row>
    <row r="15" spans="2:27" x14ac:dyDescent="0.2">
      <c r="B15" s="304"/>
      <c r="C15" s="373"/>
      <c r="D15" s="1359" t="s">
        <v>235</v>
      </c>
      <c r="E15" s="1360"/>
      <c r="F15" s="1360"/>
      <c r="G15" s="1360"/>
      <c r="H15" s="1373"/>
      <c r="I15" s="668"/>
      <c r="J15" s="377"/>
      <c r="K15" s="669"/>
      <c r="L15" s="1638" t="s">
        <v>202</v>
      </c>
      <c r="M15" s="1639"/>
      <c r="N15" s="1639"/>
      <c r="O15" s="1640"/>
    </row>
    <row r="16" spans="2:27" x14ac:dyDescent="0.2">
      <c r="B16" s="304">
        <v>2001</v>
      </c>
      <c r="C16" s="368">
        <f t="shared" ref="C16:C29" si="4">SUM(L16,I16,D16)</f>
        <v>19214.506641999997</v>
      </c>
      <c r="D16" s="369">
        <f t="shared" ref="D16:D26" si="5">SUM(E16:F16)</f>
        <v>18630.491470999998</v>
      </c>
      <c r="E16" s="379">
        <v>16964.279180999998</v>
      </c>
      <c r="F16" s="382">
        <v>1666.2122900000002</v>
      </c>
      <c r="G16" s="382"/>
      <c r="H16" s="372"/>
      <c r="I16" s="659"/>
      <c r="J16" s="382"/>
      <c r="K16" s="381"/>
      <c r="L16" s="371">
        <f t="shared" ref="L16:L29" si="6">SUM(M16:O16)</f>
        <v>584.01517100000001</v>
      </c>
      <c r="M16" s="379">
        <v>224.05159300000005</v>
      </c>
      <c r="N16" s="382">
        <v>358.73717799999997</v>
      </c>
      <c r="O16" s="372">
        <v>1.2264000000000002</v>
      </c>
    </row>
    <row r="17" spans="2:15" x14ac:dyDescent="0.2">
      <c r="B17" s="330">
        <v>2002</v>
      </c>
      <c r="C17" s="650">
        <f t="shared" si="4"/>
        <v>20419.508673000004</v>
      </c>
      <c r="D17" s="651">
        <f t="shared" si="5"/>
        <v>19906.120506000003</v>
      </c>
      <c r="E17" s="652">
        <v>17459.157646000003</v>
      </c>
      <c r="F17" s="653">
        <v>2446.9628600000001</v>
      </c>
      <c r="G17" s="653"/>
      <c r="H17" s="654"/>
      <c r="I17" s="655"/>
      <c r="J17" s="653"/>
      <c r="K17" s="656"/>
      <c r="L17" s="657">
        <f t="shared" si="6"/>
        <v>513.38816700000007</v>
      </c>
      <c r="M17" s="652">
        <v>179.00059199999993</v>
      </c>
      <c r="N17" s="653">
        <v>333.16117500000018</v>
      </c>
      <c r="O17" s="654">
        <v>1.2264000000000002</v>
      </c>
    </row>
    <row r="18" spans="2:15" x14ac:dyDescent="0.2">
      <c r="B18" s="304">
        <v>2003</v>
      </c>
      <c r="C18" s="368">
        <f t="shared" si="4"/>
        <v>21361.462929999994</v>
      </c>
      <c r="D18" s="369">
        <f t="shared" si="5"/>
        <v>20890.822373999996</v>
      </c>
      <c r="E18" s="379">
        <v>17926.933372999996</v>
      </c>
      <c r="F18" s="382">
        <v>2963.8890009999996</v>
      </c>
      <c r="G18" s="382"/>
      <c r="H18" s="372"/>
      <c r="I18" s="659"/>
      <c r="J18" s="382"/>
      <c r="K18" s="381"/>
      <c r="L18" s="371">
        <f t="shared" si="6"/>
        <v>470.64055600000029</v>
      </c>
      <c r="M18" s="379">
        <v>191.39976499999997</v>
      </c>
      <c r="N18" s="382">
        <v>278.01439100000033</v>
      </c>
      <c r="O18" s="372">
        <v>1.2264000000000002</v>
      </c>
    </row>
    <row r="19" spans="2:15" x14ac:dyDescent="0.2">
      <c r="B19" s="330">
        <v>2004</v>
      </c>
      <c r="C19" s="650">
        <f t="shared" si="4"/>
        <v>22619.938791000004</v>
      </c>
      <c r="D19" s="651">
        <f t="shared" si="5"/>
        <v>22091.989912000005</v>
      </c>
      <c r="E19" s="652">
        <f>16896.304036-21.92833</f>
        <v>16874.375706000003</v>
      </c>
      <c r="F19" s="653">
        <v>5217.6142060000011</v>
      </c>
      <c r="G19" s="653"/>
      <c r="H19" s="654"/>
      <c r="I19" s="655"/>
      <c r="J19" s="653"/>
      <c r="K19" s="656"/>
      <c r="L19" s="657">
        <f t="shared" si="6"/>
        <v>527.94887900000003</v>
      </c>
      <c r="M19" s="652">
        <f>226.288927</f>
        <v>226.288927</v>
      </c>
      <c r="N19" s="653">
        <v>300.43355199999996</v>
      </c>
      <c r="O19" s="654">
        <v>1.2264000000000002</v>
      </c>
    </row>
    <row r="20" spans="2:15" x14ac:dyDescent="0.2">
      <c r="B20" s="304">
        <v>2005</v>
      </c>
      <c r="C20" s="368">
        <f t="shared" si="4"/>
        <v>23810.874944792748</v>
      </c>
      <c r="D20" s="369">
        <f t="shared" si="5"/>
        <v>23233.479606792749</v>
      </c>
      <c r="E20" s="379">
        <v>17322.595987792749</v>
      </c>
      <c r="F20" s="382">
        <v>5910.8836190000002</v>
      </c>
      <c r="G20" s="382"/>
      <c r="H20" s="372"/>
      <c r="I20" s="659"/>
      <c r="J20" s="382"/>
      <c r="K20" s="381"/>
      <c r="L20" s="371">
        <f t="shared" si="6"/>
        <v>577.39533800000004</v>
      </c>
      <c r="M20" s="379">
        <v>244.50939000000002</v>
      </c>
      <c r="N20" s="382">
        <v>331.65954799999997</v>
      </c>
      <c r="O20" s="372">
        <v>1.2264000000000002</v>
      </c>
    </row>
    <row r="21" spans="2:15" x14ac:dyDescent="0.2">
      <c r="B21" s="330">
        <v>2006</v>
      </c>
      <c r="C21" s="650">
        <f t="shared" si="4"/>
        <v>25613.763789958582</v>
      </c>
      <c r="D21" s="651">
        <f t="shared" si="5"/>
        <v>25037.083984958583</v>
      </c>
      <c r="E21" s="652">
        <v>18931.704642958583</v>
      </c>
      <c r="F21" s="653">
        <v>6105.3793420000011</v>
      </c>
      <c r="G21" s="653"/>
      <c r="H21" s="654"/>
      <c r="I21" s="655"/>
      <c r="J21" s="653"/>
      <c r="K21" s="656"/>
      <c r="L21" s="657">
        <f>SUM(M21:O21)</f>
        <v>576.67980499999999</v>
      </c>
      <c r="M21" s="652">
        <v>229.04699999999997</v>
      </c>
      <c r="N21" s="653">
        <v>346.40640499999995</v>
      </c>
      <c r="O21" s="654">
        <v>1.2264000000000002</v>
      </c>
    </row>
    <row r="22" spans="2:15" x14ac:dyDescent="0.2">
      <c r="B22" s="304">
        <v>2007</v>
      </c>
      <c r="C22" s="368">
        <f t="shared" si="4"/>
        <v>28200.491090340001</v>
      </c>
      <c r="D22" s="369">
        <f t="shared" si="5"/>
        <v>27593.789342340002</v>
      </c>
      <c r="E22" s="379">
        <v>18872.24222534</v>
      </c>
      <c r="F22" s="382">
        <v>8721.5471170000001</v>
      </c>
      <c r="G22" s="382"/>
      <c r="H22" s="372"/>
      <c r="I22" s="659"/>
      <c r="J22" s="382"/>
      <c r="K22" s="381"/>
      <c r="L22" s="371">
        <f t="shared" si="6"/>
        <v>606.70174800000007</v>
      </c>
      <c r="M22" s="379">
        <v>234.95174099999997</v>
      </c>
      <c r="N22" s="382">
        <v>370.52360700000008</v>
      </c>
      <c r="O22" s="372">
        <v>1.2264000000000002</v>
      </c>
    </row>
    <row r="23" spans="2:15" x14ac:dyDescent="0.2">
      <c r="B23" s="330">
        <v>2008</v>
      </c>
      <c r="C23" s="650">
        <f t="shared" si="4"/>
        <v>30574.711255999999</v>
      </c>
      <c r="D23" s="651">
        <f t="shared" si="5"/>
        <v>29905.853190999998</v>
      </c>
      <c r="E23" s="652">
        <v>18352.597029999997</v>
      </c>
      <c r="F23" s="653">
        <v>11553.256161000001</v>
      </c>
      <c r="G23" s="653"/>
      <c r="H23" s="654"/>
      <c r="I23" s="655"/>
      <c r="J23" s="653"/>
      <c r="K23" s="656"/>
      <c r="L23" s="657">
        <f t="shared" si="6"/>
        <v>668.8580649999999</v>
      </c>
      <c r="M23" s="652">
        <v>255.19507699999997</v>
      </c>
      <c r="N23" s="653">
        <v>412.43658799999997</v>
      </c>
      <c r="O23" s="654">
        <v>1.2264000000000004</v>
      </c>
    </row>
    <row r="24" spans="2:15" x14ac:dyDescent="0.2">
      <c r="B24" s="304">
        <v>2009</v>
      </c>
      <c r="C24" s="368">
        <f t="shared" si="4"/>
        <v>30921.902783000001</v>
      </c>
      <c r="D24" s="369">
        <f t="shared" si="5"/>
        <v>30289.076649000002</v>
      </c>
      <c r="E24" s="670">
        <v>19193.203896000003</v>
      </c>
      <c r="F24" s="382">
        <v>11095.872753</v>
      </c>
      <c r="G24" s="382"/>
      <c r="H24" s="372"/>
      <c r="I24" s="659"/>
      <c r="J24" s="382"/>
      <c r="K24" s="381"/>
      <c r="L24" s="371">
        <f t="shared" si="6"/>
        <v>632.82613400000002</v>
      </c>
      <c r="M24" s="379">
        <v>226.01771600000001</v>
      </c>
      <c r="N24" s="382">
        <v>405.58201800000001</v>
      </c>
      <c r="O24" s="372">
        <v>1.2264000000000002</v>
      </c>
    </row>
    <row r="25" spans="2:15" x14ac:dyDescent="0.2">
      <c r="B25" s="330">
        <v>2010</v>
      </c>
      <c r="C25" s="650">
        <f t="shared" si="4"/>
        <v>33545.815807200001</v>
      </c>
      <c r="D25" s="651">
        <f t="shared" si="5"/>
        <v>33073.914225</v>
      </c>
      <c r="E25" s="671">
        <v>19402.767738999999</v>
      </c>
      <c r="F25" s="653">
        <v>13671.146485999998</v>
      </c>
      <c r="G25" s="653"/>
      <c r="H25" s="654"/>
      <c r="I25" s="655"/>
      <c r="J25" s="653"/>
      <c r="K25" s="656"/>
      <c r="L25" s="657">
        <f t="shared" si="6"/>
        <v>471.90158220000001</v>
      </c>
      <c r="M25" s="652">
        <v>164.6368702</v>
      </c>
      <c r="N25" s="653">
        <v>306.03831199999996</v>
      </c>
      <c r="O25" s="654">
        <v>1.2264000000000002</v>
      </c>
    </row>
    <row r="26" spans="2:15" x14ac:dyDescent="0.2">
      <c r="B26" s="327">
        <v>2011</v>
      </c>
      <c r="C26" s="368">
        <f t="shared" si="4"/>
        <v>36248.532290235242</v>
      </c>
      <c r="D26" s="369">
        <f t="shared" si="5"/>
        <v>35769.459710000003</v>
      </c>
      <c r="E26" s="670">
        <v>20847.282396000002</v>
      </c>
      <c r="F26" s="382">
        <v>14922.177313999999</v>
      </c>
      <c r="G26" s="382"/>
      <c r="H26" s="372"/>
      <c r="I26" s="659"/>
      <c r="J26" s="382"/>
      <c r="K26" s="381"/>
      <c r="L26" s="371">
        <f t="shared" si="6"/>
        <v>479.07258023523991</v>
      </c>
      <c r="M26" s="379">
        <v>180.13600823523998</v>
      </c>
      <c r="N26" s="382">
        <v>297.71017199999989</v>
      </c>
      <c r="O26" s="372">
        <v>1.2264000000000004</v>
      </c>
    </row>
    <row r="27" spans="2:15" x14ac:dyDescent="0.2">
      <c r="B27" s="330">
        <v>2012</v>
      </c>
      <c r="C27" s="650">
        <f>SUM(L27,I27,D27)</f>
        <v>38361.029340799956</v>
      </c>
      <c r="D27" s="651">
        <f>SUM(E27:H27)</f>
        <v>37886.352608799956</v>
      </c>
      <c r="E27" s="671">
        <v>21326.654352999969</v>
      </c>
      <c r="F27" s="653">
        <v>16500.015268999985</v>
      </c>
      <c r="G27" s="653">
        <v>59.682986800000002</v>
      </c>
      <c r="H27" s="654"/>
      <c r="I27" s="655"/>
      <c r="J27" s="653"/>
      <c r="K27" s="656"/>
      <c r="L27" s="657">
        <f t="shared" si="6"/>
        <v>474.67673200000002</v>
      </c>
      <c r="M27" s="652">
        <v>164.15331</v>
      </c>
      <c r="N27" s="653">
        <v>309.29702199999997</v>
      </c>
      <c r="O27" s="654">
        <v>1.2264000000000002</v>
      </c>
    </row>
    <row r="28" spans="2:15" x14ac:dyDescent="0.2">
      <c r="B28" s="327">
        <v>2013</v>
      </c>
      <c r="C28" s="385">
        <f t="shared" si="4"/>
        <v>40664.66641917896</v>
      </c>
      <c r="D28" s="386">
        <f>SUM(E28:H28)</f>
        <v>40158.779292273408</v>
      </c>
      <c r="E28" s="672">
        <v>21534.797771521582</v>
      </c>
      <c r="F28" s="388">
        <v>18427.053640751827</v>
      </c>
      <c r="G28" s="388">
        <v>196.92788000000002</v>
      </c>
      <c r="H28" s="391"/>
      <c r="I28" s="673"/>
      <c r="J28" s="388"/>
      <c r="K28" s="389"/>
      <c r="L28" s="390">
        <f t="shared" si="6"/>
        <v>505.88712690555536</v>
      </c>
      <c r="M28" s="387">
        <v>174.58691190555555</v>
      </c>
      <c r="N28" s="388">
        <v>330.0738149999998</v>
      </c>
      <c r="O28" s="391">
        <v>1.2264000000000002</v>
      </c>
    </row>
    <row r="29" spans="2:15" x14ac:dyDescent="0.2">
      <c r="B29" s="330">
        <v>2014</v>
      </c>
      <c r="C29" s="650">
        <f t="shared" si="4"/>
        <v>42846.247729121009</v>
      </c>
      <c r="D29" s="651">
        <f>SUM(E29:H29)</f>
        <v>42313.748256544015</v>
      </c>
      <c r="E29" s="671">
        <v>21428.574219363149</v>
      </c>
      <c r="F29" s="653">
        <v>20429.556182658423</v>
      </c>
      <c r="G29" s="653">
        <v>199.30359694553749</v>
      </c>
      <c r="H29" s="654">
        <v>256.31425757690079</v>
      </c>
      <c r="I29" s="655"/>
      <c r="J29" s="653"/>
      <c r="K29" s="656"/>
      <c r="L29" s="657">
        <f t="shared" si="6"/>
        <v>532.49947257699353</v>
      </c>
      <c r="M29" s="652">
        <v>182.35045657699374</v>
      </c>
      <c r="N29" s="653">
        <v>348.92261599999978</v>
      </c>
      <c r="O29" s="654">
        <v>1.2264000000000002</v>
      </c>
    </row>
    <row r="30" spans="2:15" x14ac:dyDescent="0.2">
      <c r="B30" s="327" t="s">
        <v>136</v>
      </c>
      <c r="C30" s="385">
        <f>SUM(L30,I30,D30)</f>
        <v>45546.498578915438</v>
      </c>
      <c r="D30" s="386">
        <f>SUM(E30:H30)</f>
        <v>44973.15195379639</v>
      </c>
      <c r="E30" s="672">
        <v>22511.582335514137</v>
      </c>
      <c r="F30" s="388">
        <v>21629.992118047743</v>
      </c>
      <c r="G30" s="388">
        <v>230.435323711</v>
      </c>
      <c r="H30" s="391">
        <v>601.14217652351033</v>
      </c>
      <c r="I30" s="673"/>
      <c r="J30" s="388"/>
      <c r="K30" s="389"/>
      <c r="L30" s="390">
        <f>SUM(M30:O30)</f>
        <v>573.34662511904776</v>
      </c>
      <c r="M30" s="387">
        <v>198.6782931746032</v>
      </c>
      <c r="N30" s="388">
        <v>373.44193194444449</v>
      </c>
      <c r="O30" s="391">
        <v>1.2264000000000004</v>
      </c>
    </row>
    <row r="31" spans="2:15" ht="13.5" thickBot="1" x14ac:dyDescent="0.25">
      <c r="B31" s="674"/>
      <c r="C31" s="675"/>
      <c r="D31" s="676"/>
      <c r="E31" s="677"/>
      <c r="F31" s="678"/>
      <c r="G31" s="678"/>
      <c r="H31" s="679"/>
      <c r="I31" s="680"/>
      <c r="J31" s="678"/>
      <c r="K31" s="681"/>
      <c r="L31" s="682"/>
      <c r="M31" s="683"/>
      <c r="N31" s="678"/>
      <c r="O31" s="679"/>
    </row>
    <row r="32" spans="2:15" x14ac:dyDescent="0.2">
      <c r="B32" s="684" t="s">
        <v>137</v>
      </c>
      <c r="C32" s="685">
        <f t="shared" ref="C32:H32" si="7">(C30/C29)-1</f>
        <v>6.3021874561005387E-2</v>
      </c>
      <c r="D32" s="686">
        <f t="shared" ref="D32:F32" si="8">(D30/D29)-1</f>
        <v>6.2849636508887752E-2</v>
      </c>
      <c r="E32" s="687">
        <f t="shared" si="8"/>
        <v>5.054037217148899E-2</v>
      </c>
      <c r="F32" s="687">
        <f t="shared" si="8"/>
        <v>5.8759765736286829E-2</v>
      </c>
      <c r="G32" s="687">
        <f t="shared" si="7"/>
        <v>0.15620253343430468</v>
      </c>
      <c r="H32" s="688">
        <f t="shared" si="7"/>
        <v>1.3453325702849455</v>
      </c>
      <c r="I32" s="689"/>
      <c r="J32" s="690"/>
      <c r="K32" s="691"/>
      <c r="L32" s="692">
        <f t="shared" ref="L32:N32" si="9">(L30/L29)-1</f>
        <v>7.670834366159518E-2</v>
      </c>
      <c r="M32" s="693">
        <f t="shared" si="9"/>
        <v>8.9540969099330736E-2</v>
      </c>
      <c r="N32" s="694">
        <f t="shared" si="9"/>
        <v>7.0271500957807653E-2</v>
      </c>
      <c r="O32" s="695"/>
    </row>
    <row r="33" spans="2:27" ht="21" customHeight="1" x14ac:dyDescent="0.2">
      <c r="B33" s="696" t="s">
        <v>138</v>
      </c>
      <c r="C33" s="697">
        <f>((C30/C25)^(1/5))-1</f>
        <v>6.3073586300502082E-2</v>
      </c>
      <c r="D33" s="698">
        <f t="shared" ref="D33:F33" si="10">((D30/D25)^(1/5))-1</f>
        <v>6.3392385282011077E-2</v>
      </c>
      <c r="E33" s="699">
        <f t="shared" si="10"/>
        <v>3.01689777722145E-2</v>
      </c>
      <c r="F33" s="699">
        <f t="shared" si="10"/>
        <v>9.6100270382764252E-2</v>
      </c>
      <c r="G33" s="699" t="s">
        <v>109</v>
      </c>
      <c r="H33" s="700" t="s">
        <v>109</v>
      </c>
      <c r="I33" s="689"/>
      <c r="J33" s="689"/>
      <c r="K33" s="691"/>
      <c r="L33" s="701">
        <f t="shared" ref="L33:N33" si="11">((L30/L25)^(1/5))-1</f>
        <v>3.9712260766396446E-2</v>
      </c>
      <c r="M33" s="702">
        <f t="shared" si="11"/>
        <v>3.8304326770315589E-2</v>
      </c>
      <c r="N33" s="703">
        <f t="shared" si="11"/>
        <v>4.0613502155222969E-2</v>
      </c>
      <c r="O33" s="695"/>
    </row>
    <row r="34" spans="2:27" ht="21" customHeight="1" x14ac:dyDescent="0.2">
      <c r="B34" s="408" t="s">
        <v>144</v>
      </c>
      <c r="C34" s="704">
        <f>(C30/C20)-1</f>
        <v>0.91284439083058988</v>
      </c>
      <c r="D34" s="705">
        <f t="shared" ref="D34:F34" si="12">(D30/D20)-1</f>
        <v>0.93570453995395653</v>
      </c>
      <c r="E34" s="706">
        <f t="shared" si="12"/>
        <v>0.29955015699598797</v>
      </c>
      <c r="F34" s="706">
        <f t="shared" si="12"/>
        <v>2.6593500248457085</v>
      </c>
      <c r="G34" s="706" t="s">
        <v>109</v>
      </c>
      <c r="H34" s="707" t="s">
        <v>109</v>
      </c>
      <c r="I34" s="689"/>
      <c r="J34" s="690"/>
      <c r="K34" s="691"/>
      <c r="L34" s="708">
        <f t="shared" ref="L34:N34" si="13">(L30/L20)-1</f>
        <v>-7.012029045777135E-3</v>
      </c>
      <c r="M34" s="709">
        <f t="shared" si="13"/>
        <v>-0.18744105011834855</v>
      </c>
      <c r="N34" s="709">
        <f t="shared" si="13"/>
        <v>0.1259797409614889</v>
      </c>
      <c r="O34" s="695"/>
    </row>
    <row r="35" spans="2:27" ht="21" customHeight="1" thickBot="1" x14ac:dyDescent="0.25">
      <c r="B35" s="710" t="s">
        <v>140</v>
      </c>
      <c r="C35" s="711">
        <f>((C30/C20)^(1/10))-1</f>
        <v>6.7008708990692112E-2</v>
      </c>
      <c r="D35" s="712">
        <f t="shared" ref="D35:F35" si="14">((D30/D20)^(1/10))-1</f>
        <v>6.8277070666227457E-2</v>
      </c>
      <c r="E35" s="713">
        <f t="shared" si="14"/>
        <v>2.6548102581947397E-2</v>
      </c>
      <c r="F35" s="713">
        <f t="shared" si="14"/>
        <v>0.13851929518666695</v>
      </c>
      <c r="G35" s="713" t="s">
        <v>109</v>
      </c>
      <c r="H35" s="714" t="s">
        <v>109</v>
      </c>
      <c r="I35" s="690"/>
      <c r="J35" s="690"/>
      <c r="K35" s="691"/>
      <c r="L35" s="715">
        <f t="shared" ref="L35:N35" si="15">((L30/L20)^(1/10))-1</f>
        <v>-7.0342536559764302E-4</v>
      </c>
      <c r="M35" s="716">
        <f t="shared" si="15"/>
        <v>-2.05427442253866E-2</v>
      </c>
      <c r="N35" s="717">
        <f t="shared" si="15"/>
        <v>1.1936026302931113E-2</v>
      </c>
      <c r="O35" s="695"/>
    </row>
    <row r="36" spans="2:27" s="573" customFormat="1" ht="5.0999999999999996" customHeight="1" x14ac:dyDescent="0.2">
      <c r="B36" s="644"/>
      <c r="R36" s="645"/>
      <c r="S36" s="645"/>
      <c r="T36" s="645"/>
      <c r="U36" s="645"/>
      <c r="V36" s="645"/>
      <c r="W36" s="645"/>
      <c r="X36" s="645"/>
      <c r="Y36" s="645"/>
      <c r="Z36" s="645"/>
      <c r="AA36" s="645"/>
    </row>
    <row r="37" spans="2:27" s="573" customFormat="1" x14ac:dyDescent="0.2">
      <c r="B37" s="718"/>
      <c r="R37" s="645"/>
      <c r="S37" s="645"/>
      <c r="T37" s="645"/>
      <c r="U37" s="645"/>
      <c r="V37" s="645"/>
      <c r="W37" s="645"/>
      <c r="X37" s="645"/>
      <c r="Y37" s="645"/>
      <c r="Z37" s="645"/>
      <c r="AA37" s="645"/>
    </row>
    <row r="38" spans="2:27" s="573" customFormat="1" x14ac:dyDescent="0.2">
      <c r="B38" s="464" t="s">
        <v>323</v>
      </c>
      <c r="J38" s="719"/>
      <c r="R38" s="645"/>
      <c r="S38" s="645"/>
      <c r="T38" s="645"/>
      <c r="U38" s="645"/>
      <c r="V38" s="645"/>
      <c r="W38" s="645"/>
      <c r="X38" s="645"/>
      <c r="Y38" s="645"/>
      <c r="Z38" s="645"/>
      <c r="AA38" s="645"/>
    </row>
    <row r="39" spans="2:27" s="573" customFormat="1" x14ac:dyDescent="0.2">
      <c r="J39" s="719"/>
      <c r="R39" s="645"/>
      <c r="S39" s="645"/>
      <c r="T39" s="645"/>
      <c r="U39" s="645"/>
      <c r="V39" s="645"/>
      <c r="W39" s="645"/>
      <c r="X39" s="645"/>
      <c r="Y39" s="645"/>
      <c r="Z39" s="645"/>
      <c r="AA39" s="645"/>
    </row>
    <row r="40" spans="2:27" s="573" customFormat="1" x14ac:dyDescent="0.2">
      <c r="R40" s="645"/>
      <c r="S40" s="689"/>
      <c r="T40" s="689"/>
      <c r="U40" s="645"/>
      <c r="V40" s="645"/>
      <c r="W40" s="645"/>
      <c r="X40" s="645"/>
      <c r="Y40" s="689"/>
      <c r="Z40" s="689"/>
      <c r="AA40" s="645"/>
    </row>
    <row r="41" spans="2:27" s="573" customFormat="1" x14ac:dyDescent="0.2">
      <c r="B41" s="720"/>
      <c r="R41" s="645"/>
      <c r="S41" s="721"/>
      <c r="T41" s="722"/>
      <c r="U41" s="645"/>
      <c r="V41" s="645"/>
      <c r="W41" s="645"/>
      <c r="X41" s="645"/>
      <c r="Y41" s="722"/>
      <c r="Z41" s="722"/>
      <c r="AA41" s="645"/>
    </row>
    <row r="42" spans="2:27" s="573" customFormat="1" x14ac:dyDescent="0.2">
      <c r="B42" s="720"/>
      <c r="P42" s="720"/>
      <c r="R42" s="645"/>
      <c r="S42" s="721"/>
      <c r="T42" s="721"/>
      <c r="U42" s="645"/>
      <c r="V42" s="645"/>
      <c r="W42" s="645"/>
      <c r="X42" s="645"/>
      <c r="Y42" s="722"/>
      <c r="Z42" s="722"/>
      <c r="AA42" s="645"/>
    </row>
    <row r="43" spans="2:27" s="573" customFormat="1" x14ac:dyDescent="0.2">
      <c r="B43" s="720"/>
      <c r="E43" s="641"/>
      <c r="F43" s="641"/>
      <c r="G43" s="641"/>
      <c r="H43" s="641"/>
      <c r="I43" s="641"/>
      <c r="P43" s="720"/>
      <c r="R43" s="723"/>
      <c r="S43" s="723"/>
      <c r="T43" s="723"/>
      <c r="U43" s="645"/>
      <c r="V43" s="645"/>
      <c r="W43" s="645"/>
      <c r="X43" s="723"/>
      <c r="Y43" s="723"/>
      <c r="Z43" s="723"/>
      <c r="AA43" s="645"/>
    </row>
    <row r="44" spans="2:27" s="573" customFormat="1" x14ac:dyDescent="0.2">
      <c r="B44" s="720"/>
      <c r="D44" s="724"/>
      <c r="E44" s="725"/>
      <c r="F44" s="725"/>
      <c r="G44" s="725"/>
      <c r="H44" s="725"/>
      <c r="J44" s="725"/>
      <c r="K44" s="725"/>
      <c r="L44" s="726"/>
      <c r="M44" s="725"/>
      <c r="N44" s="725"/>
      <c r="P44" s="720"/>
      <c r="R44" s="645"/>
      <c r="S44" s="645"/>
      <c r="T44" s="645"/>
      <c r="U44" s="645"/>
      <c r="V44" s="645"/>
      <c r="W44" s="645"/>
      <c r="X44" s="645"/>
      <c r="Y44" s="645"/>
      <c r="Z44" s="645"/>
      <c r="AA44" s="645"/>
    </row>
    <row r="45" spans="2:27" s="573" customFormat="1" x14ac:dyDescent="0.2">
      <c r="B45" s="643"/>
      <c r="P45" s="720"/>
      <c r="R45" s="645"/>
      <c r="S45" s="645"/>
      <c r="T45" s="645"/>
      <c r="U45" s="645"/>
      <c r="V45" s="645"/>
      <c r="W45" s="645"/>
      <c r="X45" s="645"/>
      <c r="Y45" s="645"/>
      <c r="Z45" s="645"/>
      <c r="AA45" s="645"/>
    </row>
    <row r="46" spans="2:27" s="573" customFormat="1" ht="15.75" x14ac:dyDescent="0.25">
      <c r="B46" s="646" t="s">
        <v>236</v>
      </c>
      <c r="P46" s="720"/>
      <c r="R46" s="645"/>
      <c r="S46" s="645"/>
      <c r="T46" s="645"/>
      <c r="U46" s="645"/>
      <c r="V46" s="645"/>
      <c r="W46" s="645"/>
      <c r="X46" s="645"/>
      <c r="Y46" s="645"/>
      <c r="Z46" s="645"/>
      <c r="AA46" s="645"/>
    </row>
    <row r="47" spans="2:27" s="573" customFormat="1" x14ac:dyDescent="0.2">
      <c r="B47" s="647"/>
      <c r="P47" s="720"/>
      <c r="R47" s="645"/>
      <c r="S47" s="645"/>
      <c r="T47" s="645"/>
      <c r="U47" s="645"/>
      <c r="V47" s="645"/>
      <c r="W47" s="645"/>
      <c r="X47" s="645"/>
      <c r="Y47" s="645"/>
      <c r="Z47" s="645"/>
      <c r="AA47" s="645"/>
    </row>
    <row r="48" spans="2:27" s="573" customFormat="1" ht="13.5" thickBot="1" x14ac:dyDescent="0.25">
      <c r="B48" s="647"/>
      <c r="P48" s="720"/>
      <c r="R48" s="645"/>
      <c r="S48" s="645"/>
      <c r="T48" s="645"/>
      <c r="U48" s="645"/>
      <c r="V48" s="645"/>
      <c r="W48" s="645"/>
      <c r="X48" s="645"/>
      <c r="Y48" s="645"/>
      <c r="Z48" s="645"/>
      <c r="AA48" s="645"/>
    </row>
    <row r="49" spans="2:16" ht="15.75" thickBot="1" x14ac:dyDescent="0.3">
      <c r="B49" s="351" t="s">
        <v>132</v>
      </c>
      <c r="C49" s="422" t="s">
        <v>199</v>
      </c>
      <c r="D49" s="1361" t="s">
        <v>200</v>
      </c>
      <c r="E49" s="1364"/>
      <c r="F49" s="1365"/>
      <c r="G49" s="1361" t="s">
        <v>215</v>
      </c>
      <c r="H49" s="1362"/>
      <c r="I49" s="1363"/>
      <c r="J49" s="1366" t="s">
        <v>202</v>
      </c>
      <c r="K49" s="1370"/>
      <c r="L49" s="1371"/>
      <c r="N49" s="727"/>
      <c r="P49" s="258"/>
    </row>
    <row r="50" spans="2:16" ht="13.5" thickBot="1" x14ac:dyDescent="0.25">
      <c r="B50" s="353"/>
      <c r="C50" s="356"/>
      <c r="D50" s="353" t="s">
        <v>203</v>
      </c>
      <c r="E50" s="356" t="s">
        <v>204</v>
      </c>
      <c r="F50" s="357" t="s">
        <v>205</v>
      </c>
      <c r="G50" s="1641" t="s">
        <v>203</v>
      </c>
      <c r="H50" s="1642" t="s">
        <v>204</v>
      </c>
      <c r="I50" s="1647" t="s">
        <v>205</v>
      </c>
      <c r="J50" s="355" t="s">
        <v>203</v>
      </c>
      <c r="K50" s="357" t="s">
        <v>204</v>
      </c>
      <c r="L50" s="354" t="s">
        <v>205</v>
      </c>
      <c r="N50" s="162"/>
      <c r="P50" s="258"/>
    </row>
    <row r="51" spans="2:16" x14ac:dyDescent="0.2">
      <c r="B51" s="728"/>
      <c r="C51" s="490"/>
      <c r="D51" s="360"/>
      <c r="E51" s="361"/>
      <c r="F51" s="361"/>
      <c r="G51" s="359"/>
      <c r="H51" s="364"/>
      <c r="I51" s="424"/>
      <c r="J51" s="359"/>
      <c r="K51" s="364"/>
      <c r="L51" s="424"/>
      <c r="N51" s="162"/>
      <c r="P51" s="258"/>
    </row>
    <row r="52" spans="2:16" x14ac:dyDescent="0.2">
      <c r="B52" s="330">
        <v>1995</v>
      </c>
      <c r="C52" s="729">
        <f t="shared" ref="C52:C57" si="16">SUM(J52,G52,D52)</f>
        <v>3773.801504</v>
      </c>
      <c r="D52" s="651">
        <f t="shared" ref="D52:D57" si="17">SUM(E52:F52)</f>
        <v>1270.529284</v>
      </c>
      <c r="E52" s="652">
        <v>1027.315891</v>
      </c>
      <c r="F52" s="652">
        <v>243.213393</v>
      </c>
      <c r="G52" s="657">
        <f t="shared" ref="G52:G57" si="18">SUM(H52:I52)</f>
        <v>877.15221099999997</v>
      </c>
      <c r="H52" s="652">
        <v>0</v>
      </c>
      <c r="I52" s="730">
        <v>877.15221099999997</v>
      </c>
      <c r="J52" s="657">
        <f t="shared" ref="J52:J57" si="19">SUM(K52:O52)</f>
        <v>1626.1200090000002</v>
      </c>
      <c r="K52" s="652">
        <v>369.64724100000001</v>
      </c>
      <c r="L52" s="730">
        <v>1256.4727680000001</v>
      </c>
      <c r="P52" s="258"/>
    </row>
    <row r="53" spans="2:16" x14ac:dyDescent="0.2">
      <c r="B53" s="304">
        <v>1996</v>
      </c>
      <c r="C53" s="731">
        <f t="shared" si="16"/>
        <v>3972.2352719999999</v>
      </c>
      <c r="D53" s="369">
        <f t="shared" si="17"/>
        <v>1430.1662900000001</v>
      </c>
      <c r="E53" s="379">
        <v>1099.0126700000001</v>
      </c>
      <c r="F53" s="379">
        <v>331.15361999999999</v>
      </c>
      <c r="G53" s="371">
        <f t="shared" si="18"/>
        <v>940.08170900000005</v>
      </c>
      <c r="H53" s="379">
        <v>0</v>
      </c>
      <c r="I53" s="435">
        <v>940.08170900000005</v>
      </c>
      <c r="J53" s="371">
        <f t="shared" si="19"/>
        <v>1601.987273</v>
      </c>
      <c r="K53" s="379">
        <v>376.63403099999999</v>
      </c>
      <c r="L53" s="435">
        <v>1225.3532419999999</v>
      </c>
      <c r="P53" s="258"/>
    </row>
    <row r="54" spans="2:16" x14ac:dyDescent="0.2">
      <c r="B54" s="330">
        <v>1997</v>
      </c>
      <c r="C54" s="729">
        <f t="shared" si="16"/>
        <v>2604.8506989999996</v>
      </c>
      <c r="D54" s="651">
        <f t="shared" si="17"/>
        <v>843.99114299999997</v>
      </c>
      <c r="E54" s="652">
        <v>569.31736999999998</v>
      </c>
      <c r="F54" s="652">
        <v>274.67377299999998</v>
      </c>
      <c r="G54" s="657">
        <f t="shared" si="18"/>
        <v>293.17555299999998</v>
      </c>
      <c r="H54" s="652">
        <v>0</v>
      </c>
      <c r="I54" s="730">
        <v>293.17555299999998</v>
      </c>
      <c r="J54" s="657">
        <f t="shared" si="19"/>
        <v>1467.6840029999998</v>
      </c>
      <c r="K54" s="652">
        <v>380.420322</v>
      </c>
      <c r="L54" s="730">
        <v>1087.2636809999999</v>
      </c>
      <c r="P54" s="258"/>
    </row>
    <row r="55" spans="2:16" x14ac:dyDescent="0.2">
      <c r="B55" s="304">
        <v>1998</v>
      </c>
      <c r="C55" s="731">
        <f t="shared" si="16"/>
        <v>1766.601999</v>
      </c>
      <c r="D55" s="369">
        <f t="shared" si="17"/>
        <v>197.56012199999998</v>
      </c>
      <c r="E55" s="379">
        <v>74.993200999999999</v>
      </c>
      <c r="F55" s="379">
        <v>122.56692099999999</v>
      </c>
      <c r="G55" s="371">
        <f t="shared" si="18"/>
        <v>41.555376000000003</v>
      </c>
      <c r="H55" s="379">
        <v>0</v>
      </c>
      <c r="I55" s="435">
        <v>41.555376000000003</v>
      </c>
      <c r="J55" s="371">
        <f t="shared" si="19"/>
        <v>1527.4865010000001</v>
      </c>
      <c r="K55" s="379">
        <v>366.09816000000001</v>
      </c>
      <c r="L55" s="435">
        <v>1161.3883410000001</v>
      </c>
      <c r="P55" s="258"/>
    </row>
    <row r="56" spans="2:16" x14ac:dyDescent="0.2">
      <c r="B56" s="330">
        <v>1999</v>
      </c>
      <c r="C56" s="729">
        <f t="shared" si="16"/>
        <v>1683.3955189999999</v>
      </c>
      <c r="D56" s="651">
        <f t="shared" si="17"/>
        <v>125.634122</v>
      </c>
      <c r="E56" s="652">
        <v>87.286845</v>
      </c>
      <c r="F56" s="652">
        <v>38.347277000000005</v>
      </c>
      <c r="G56" s="657">
        <f t="shared" si="18"/>
        <v>67.499396000000019</v>
      </c>
      <c r="H56" s="652">
        <v>0</v>
      </c>
      <c r="I56" s="730">
        <v>67.499396000000019</v>
      </c>
      <c r="J56" s="657">
        <f t="shared" si="19"/>
        <v>1490.2620010000001</v>
      </c>
      <c r="K56" s="652">
        <v>342.70241400000003</v>
      </c>
      <c r="L56" s="730">
        <v>1147.559587</v>
      </c>
      <c r="P56" s="258"/>
    </row>
    <row r="57" spans="2:16" x14ac:dyDescent="0.2">
      <c r="B57" s="304">
        <v>2000</v>
      </c>
      <c r="C57" s="731">
        <f t="shared" si="16"/>
        <v>1594.7996189999992</v>
      </c>
      <c r="D57" s="369">
        <f t="shared" si="17"/>
        <v>118.63759300000001</v>
      </c>
      <c r="E57" s="379">
        <v>83.763085000000004</v>
      </c>
      <c r="F57" s="379">
        <v>34.874507999999999</v>
      </c>
      <c r="G57" s="371">
        <f t="shared" si="18"/>
        <v>24.489265</v>
      </c>
      <c r="H57" s="379">
        <v>0</v>
      </c>
      <c r="I57" s="435">
        <v>24.489265</v>
      </c>
      <c r="J57" s="371">
        <f t="shared" si="19"/>
        <v>1451.6727609999994</v>
      </c>
      <c r="K57" s="379">
        <v>344.96501599999999</v>
      </c>
      <c r="L57" s="435">
        <v>1106.7077449999995</v>
      </c>
      <c r="P57" s="258"/>
    </row>
    <row r="58" spans="2:16" ht="13.5" thickBot="1" x14ac:dyDescent="0.25">
      <c r="B58" s="304"/>
      <c r="C58" s="732"/>
      <c r="D58" s="430"/>
      <c r="E58" s="375"/>
      <c r="F58" s="431"/>
      <c r="G58" s="376"/>
      <c r="H58" s="375"/>
      <c r="I58" s="432"/>
      <c r="J58" s="376"/>
      <c r="K58" s="375"/>
      <c r="L58" s="432"/>
      <c r="P58" s="258"/>
    </row>
    <row r="59" spans="2:16" ht="24" thickBot="1" x14ac:dyDescent="0.4">
      <c r="B59" s="1428"/>
      <c r="C59" s="732"/>
      <c r="D59" s="1359" t="s">
        <v>235</v>
      </c>
      <c r="E59" s="1360"/>
      <c r="F59" s="1360"/>
      <c r="G59" s="376"/>
      <c r="H59" s="375"/>
      <c r="I59" s="432"/>
      <c r="J59" s="1366" t="s">
        <v>202</v>
      </c>
      <c r="K59" s="1370"/>
      <c r="L59" s="1371"/>
      <c r="P59" s="258"/>
    </row>
    <row r="60" spans="2:16" x14ac:dyDescent="0.2">
      <c r="B60" s="304">
        <v>2001</v>
      </c>
      <c r="C60" s="731">
        <f t="shared" ref="C60:C74" si="20">SUM(J60,G60,D60)</f>
        <v>1571.2188929999995</v>
      </c>
      <c r="D60" s="369">
        <f t="shared" ref="D60:D72" si="21">SUM(E60:F60)</f>
        <v>124.09112300000001</v>
      </c>
      <c r="E60" s="379">
        <v>84.443455</v>
      </c>
      <c r="F60" s="434">
        <v>39.647668000000003</v>
      </c>
      <c r="G60" s="371"/>
      <c r="H60" s="379"/>
      <c r="I60" s="435"/>
      <c r="J60" s="371">
        <f t="shared" ref="J60:J73" si="22">SUM(K60:O60)</f>
        <v>1447.1277699999996</v>
      </c>
      <c r="K60" s="379">
        <v>341.98597100000001</v>
      </c>
      <c r="L60" s="435">
        <v>1105.1417989999995</v>
      </c>
      <c r="P60" s="258"/>
    </row>
    <row r="61" spans="2:16" x14ac:dyDescent="0.2">
      <c r="B61" s="330">
        <v>2002</v>
      </c>
      <c r="C61" s="729">
        <f t="shared" si="20"/>
        <v>1562.8144990000035</v>
      </c>
      <c r="D61" s="651">
        <f t="shared" si="21"/>
        <v>111.76104100000001</v>
      </c>
      <c r="E61" s="652">
        <v>79.732799999999997</v>
      </c>
      <c r="F61" s="652">
        <v>32.028241000000001</v>
      </c>
      <c r="G61" s="657"/>
      <c r="H61" s="652"/>
      <c r="I61" s="730"/>
      <c r="J61" s="657">
        <f t="shared" si="22"/>
        <v>1451.0534580000035</v>
      </c>
      <c r="K61" s="652">
        <v>322.23687700000011</v>
      </c>
      <c r="L61" s="730">
        <v>1128.8165810000035</v>
      </c>
      <c r="P61" s="258"/>
    </row>
    <row r="62" spans="2:16" x14ac:dyDescent="0.2">
      <c r="B62" s="304">
        <v>2003</v>
      </c>
      <c r="C62" s="731">
        <f t="shared" si="20"/>
        <v>1561.8909440000034</v>
      </c>
      <c r="D62" s="369">
        <f t="shared" si="21"/>
        <v>107.96116799999999</v>
      </c>
      <c r="E62" s="379">
        <v>84.235219999999998</v>
      </c>
      <c r="F62" s="379">
        <v>23.725947999999992</v>
      </c>
      <c r="G62" s="371"/>
      <c r="H62" s="379"/>
      <c r="I62" s="435"/>
      <c r="J62" s="371">
        <f t="shared" si="22"/>
        <v>1453.9297760000034</v>
      </c>
      <c r="K62" s="379">
        <v>331.15250300000002</v>
      </c>
      <c r="L62" s="435">
        <v>1122.7772730000033</v>
      </c>
      <c r="P62" s="258"/>
    </row>
    <row r="63" spans="2:16" x14ac:dyDescent="0.2">
      <c r="B63" s="330">
        <v>2004</v>
      </c>
      <c r="C63" s="729">
        <f t="shared" si="20"/>
        <v>1647.0732800000001</v>
      </c>
      <c r="D63" s="651">
        <f t="shared" si="21"/>
        <v>195.99345399999999</v>
      </c>
      <c r="E63" s="652">
        <f>83.166636+21.92833</f>
        <v>105.094966</v>
      </c>
      <c r="F63" s="652">
        <v>90.898487999999986</v>
      </c>
      <c r="G63" s="657"/>
      <c r="H63" s="652"/>
      <c r="I63" s="730"/>
      <c r="J63" s="657">
        <f t="shared" si="22"/>
        <v>1451.0798260000001</v>
      </c>
      <c r="K63" s="652">
        <v>319.579362</v>
      </c>
      <c r="L63" s="730">
        <v>1131.5004640000002</v>
      </c>
      <c r="P63" s="258"/>
    </row>
    <row r="64" spans="2:16" x14ac:dyDescent="0.2">
      <c r="B64" s="304">
        <v>2005</v>
      </c>
      <c r="C64" s="731">
        <f t="shared" si="20"/>
        <v>1698.8618702072531</v>
      </c>
      <c r="D64" s="369">
        <f t="shared" si="21"/>
        <v>200.13015520724974</v>
      </c>
      <c r="E64" s="379">
        <v>98.790226207249759</v>
      </c>
      <c r="F64" s="379">
        <v>101.33992899999998</v>
      </c>
      <c r="G64" s="371"/>
      <c r="H64" s="379"/>
      <c r="I64" s="435"/>
      <c r="J64" s="371">
        <f t="shared" si="22"/>
        <v>1498.7317150000033</v>
      </c>
      <c r="K64" s="379">
        <v>311.09773200000001</v>
      </c>
      <c r="L64" s="435">
        <v>1187.6339830000034</v>
      </c>
      <c r="P64" s="258"/>
    </row>
    <row r="65" spans="2:16" x14ac:dyDescent="0.2">
      <c r="B65" s="330">
        <v>2006</v>
      </c>
      <c r="C65" s="729">
        <f t="shared" si="20"/>
        <v>1756.0649376214139</v>
      </c>
      <c r="D65" s="651">
        <f t="shared" si="21"/>
        <v>220.09659204141394</v>
      </c>
      <c r="E65" s="652">
        <v>111.35824504141392</v>
      </c>
      <c r="F65" s="652">
        <v>108.738347</v>
      </c>
      <c r="G65" s="657"/>
      <c r="H65" s="652"/>
      <c r="I65" s="730"/>
      <c r="J65" s="657">
        <f t="shared" si="22"/>
        <v>1535.96834558</v>
      </c>
      <c r="K65" s="652">
        <v>322.23727599999995</v>
      </c>
      <c r="L65" s="730">
        <v>1213.7310695800002</v>
      </c>
      <c r="P65" s="258"/>
    </row>
    <row r="66" spans="2:16" x14ac:dyDescent="0.2">
      <c r="B66" s="304">
        <v>2007</v>
      </c>
      <c r="C66" s="731">
        <f t="shared" si="20"/>
        <v>1742.5560516600003</v>
      </c>
      <c r="D66" s="369">
        <f t="shared" si="21"/>
        <v>212.42324065999998</v>
      </c>
      <c r="E66" s="379">
        <v>99.219097660000003</v>
      </c>
      <c r="F66" s="379">
        <v>113.20414299999999</v>
      </c>
      <c r="G66" s="371"/>
      <c r="H66" s="379"/>
      <c r="I66" s="435"/>
      <c r="J66" s="371">
        <f t="shared" si="22"/>
        <v>1530.1328110000004</v>
      </c>
      <c r="K66" s="379">
        <v>342.36895600000003</v>
      </c>
      <c r="L66" s="435">
        <v>1187.7638550000004</v>
      </c>
      <c r="P66" s="258"/>
    </row>
    <row r="67" spans="2:16" x14ac:dyDescent="0.2">
      <c r="B67" s="330">
        <v>2008</v>
      </c>
      <c r="C67" s="729">
        <f t="shared" si="20"/>
        <v>1888.395027</v>
      </c>
      <c r="D67" s="651">
        <f t="shared" si="21"/>
        <v>197.74225100000001</v>
      </c>
      <c r="E67" s="652">
        <v>79.992671000000001</v>
      </c>
      <c r="F67" s="652">
        <v>117.74958000000001</v>
      </c>
      <c r="G67" s="657"/>
      <c r="H67" s="652"/>
      <c r="I67" s="730"/>
      <c r="J67" s="657">
        <f t="shared" si="22"/>
        <v>1690.6527759999999</v>
      </c>
      <c r="K67" s="652">
        <v>371.83297100000004</v>
      </c>
      <c r="L67" s="730">
        <v>1318.8198049999999</v>
      </c>
      <c r="P67" s="258"/>
    </row>
    <row r="68" spans="2:16" x14ac:dyDescent="0.2">
      <c r="B68" s="304">
        <v>2009</v>
      </c>
      <c r="C68" s="731">
        <f t="shared" si="20"/>
        <v>2022.8330380000002</v>
      </c>
      <c r="D68" s="369">
        <f t="shared" si="21"/>
        <v>203.990048</v>
      </c>
      <c r="E68" s="379">
        <v>84.083055999999999</v>
      </c>
      <c r="F68" s="379">
        <v>119.906992</v>
      </c>
      <c r="G68" s="371"/>
      <c r="H68" s="379"/>
      <c r="I68" s="435"/>
      <c r="J68" s="371">
        <f t="shared" si="22"/>
        <v>1818.8429900000001</v>
      </c>
      <c r="K68" s="379">
        <v>400.47173600000008</v>
      </c>
      <c r="L68" s="435">
        <v>1418.3712540000001</v>
      </c>
      <c r="P68" s="258"/>
    </row>
    <row r="69" spans="2:16" x14ac:dyDescent="0.2">
      <c r="B69" s="330">
        <v>2010</v>
      </c>
      <c r="C69" s="729">
        <f t="shared" si="20"/>
        <v>2362.1921339999999</v>
      </c>
      <c r="D69" s="651">
        <f t="shared" si="21"/>
        <v>252.57225099999999</v>
      </c>
      <c r="E69" s="652">
        <v>83.451949999999997</v>
      </c>
      <c r="F69" s="652">
        <v>169.12030099999998</v>
      </c>
      <c r="G69" s="657"/>
      <c r="H69" s="652"/>
      <c r="I69" s="730"/>
      <c r="J69" s="657">
        <f t="shared" si="22"/>
        <v>2109.6198829999998</v>
      </c>
      <c r="K69" s="652">
        <v>401.27272099999993</v>
      </c>
      <c r="L69" s="730">
        <v>1708.347162</v>
      </c>
      <c r="P69" s="258"/>
    </row>
    <row r="70" spans="2:16" x14ac:dyDescent="0.2">
      <c r="B70" s="327">
        <v>2011</v>
      </c>
      <c r="C70" s="731">
        <f t="shared" si="20"/>
        <v>2557.9289537736722</v>
      </c>
      <c r="D70" s="369">
        <f t="shared" si="21"/>
        <v>306.75118860000003</v>
      </c>
      <c r="E70" s="379">
        <v>105.905601</v>
      </c>
      <c r="F70" s="379">
        <v>200.84558760000004</v>
      </c>
      <c r="G70" s="371"/>
      <c r="H70" s="379"/>
      <c r="I70" s="435"/>
      <c r="J70" s="371">
        <f t="shared" si="22"/>
        <v>2251.177765173672</v>
      </c>
      <c r="K70" s="379">
        <v>424.00271155000001</v>
      </c>
      <c r="L70" s="435">
        <v>1827.1750536236718</v>
      </c>
      <c r="P70" s="258"/>
    </row>
    <row r="71" spans="2:16" x14ac:dyDescent="0.2">
      <c r="B71" s="330">
        <v>2012</v>
      </c>
      <c r="C71" s="729">
        <f t="shared" si="20"/>
        <v>2674.9537324079461</v>
      </c>
      <c r="D71" s="651">
        <f>SUM(E71:F71)</f>
        <v>313.57676499999991</v>
      </c>
      <c r="E71" s="652">
        <v>105.67628700000002</v>
      </c>
      <c r="F71" s="652">
        <v>207.90047799999988</v>
      </c>
      <c r="G71" s="657"/>
      <c r="H71" s="652"/>
      <c r="I71" s="730"/>
      <c r="J71" s="657">
        <f t="shared" si="22"/>
        <v>2361.3769674079463</v>
      </c>
      <c r="K71" s="652">
        <v>435.45409599999999</v>
      </c>
      <c r="L71" s="730">
        <v>1925.9228714079463</v>
      </c>
      <c r="P71" s="258"/>
    </row>
    <row r="72" spans="2:16" x14ac:dyDescent="0.2">
      <c r="B72" s="327">
        <v>2013</v>
      </c>
      <c r="C72" s="733">
        <f t="shared" si="20"/>
        <v>2665.5115413064068</v>
      </c>
      <c r="D72" s="386">
        <f t="shared" si="21"/>
        <v>322.96894949401008</v>
      </c>
      <c r="E72" s="387">
        <v>105.84771987332039</v>
      </c>
      <c r="F72" s="387">
        <v>217.12122962068966</v>
      </c>
      <c r="G72" s="390"/>
      <c r="H72" s="387"/>
      <c r="I72" s="436"/>
      <c r="J72" s="390">
        <f t="shared" si="22"/>
        <v>2342.5425918123965</v>
      </c>
      <c r="K72" s="387">
        <v>504.33014668254555</v>
      </c>
      <c r="L72" s="436">
        <v>1838.2124451298509</v>
      </c>
      <c r="P72" s="258"/>
    </row>
    <row r="73" spans="2:16" x14ac:dyDescent="0.2">
      <c r="B73" s="330">
        <v>2014</v>
      </c>
      <c r="C73" s="729">
        <f t="shared" si="20"/>
        <v>2703.5718431337973</v>
      </c>
      <c r="D73" s="651">
        <f>SUM(E73:F73)</f>
        <v>310.66975623576116</v>
      </c>
      <c r="E73" s="652">
        <v>99.288173294505313</v>
      </c>
      <c r="F73" s="652">
        <v>211.38158294125583</v>
      </c>
      <c r="G73" s="657"/>
      <c r="H73" s="652"/>
      <c r="I73" s="730"/>
      <c r="J73" s="657">
        <f t="shared" si="22"/>
        <v>2392.902086898036</v>
      </c>
      <c r="K73" s="652">
        <v>500.44663865999991</v>
      </c>
      <c r="L73" s="730">
        <v>1892.4554482380363</v>
      </c>
      <c r="P73" s="258"/>
    </row>
    <row r="74" spans="2:16" x14ac:dyDescent="0.2">
      <c r="B74" s="734" t="s">
        <v>136</v>
      </c>
      <c r="C74" s="735">
        <f t="shared" si="20"/>
        <v>2519.7186089825373</v>
      </c>
      <c r="D74" s="736">
        <f>SUM(E74:F74)</f>
        <v>306.74071613587591</v>
      </c>
      <c r="E74" s="737">
        <v>99.031319672295666</v>
      </c>
      <c r="F74" s="737">
        <v>207.70939646358028</v>
      </c>
      <c r="G74" s="738"/>
      <c r="H74" s="737"/>
      <c r="I74" s="739"/>
      <c r="J74" s="738">
        <f>SUM(K74:L74)</f>
        <v>2212.9778928466612</v>
      </c>
      <c r="K74" s="737">
        <v>491.30091455834497</v>
      </c>
      <c r="L74" s="739">
        <v>1721.6769782883161</v>
      </c>
      <c r="P74" s="258"/>
    </row>
    <row r="75" spans="2:16" ht="13.5" thickBot="1" x14ac:dyDescent="0.25">
      <c r="B75" s="674"/>
      <c r="C75" s="740"/>
      <c r="D75" s="676"/>
      <c r="E75" s="683"/>
      <c r="F75" s="683"/>
      <c r="G75" s="682"/>
      <c r="H75" s="683"/>
      <c r="I75" s="741"/>
      <c r="J75" s="682"/>
      <c r="K75" s="683"/>
      <c r="L75" s="741"/>
      <c r="P75" s="258"/>
    </row>
    <row r="76" spans="2:16" ht="15" customHeight="1" x14ac:dyDescent="0.2">
      <c r="B76" s="684" t="s">
        <v>137</v>
      </c>
      <c r="C76" s="311">
        <f>(C74/C73)-1</f>
        <v>-6.800382783175829E-2</v>
      </c>
      <c r="D76" s="478">
        <f t="shared" ref="D76:F76" si="23">(D74/D73)-1</f>
        <v>-1.2646999011077131E-2</v>
      </c>
      <c r="E76" s="742">
        <f t="shared" si="23"/>
        <v>-2.5869508289549925E-3</v>
      </c>
      <c r="F76" s="743">
        <f t="shared" si="23"/>
        <v>-1.7372310428274473E-2</v>
      </c>
      <c r="G76" s="406"/>
      <c r="H76" s="363"/>
      <c r="I76" s="531"/>
      <c r="J76" s="744">
        <f t="shared" ref="J76:L76" si="24">(J74/J73)-1</f>
        <v>-7.5190788221767169E-2</v>
      </c>
      <c r="K76" s="745">
        <f t="shared" si="24"/>
        <v>-1.827512345001181E-2</v>
      </c>
      <c r="L76" s="743">
        <f t="shared" si="24"/>
        <v>-9.0241738641045899E-2</v>
      </c>
      <c r="N76" s="163"/>
      <c r="O76" s="439"/>
      <c r="P76" s="258"/>
    </row>
    <row r="77" spans="2:16" ht="23.25" customHeight="1" x14ac:dyDescent="0.2">
      <c r="B77" s="696" t="s">
        <v>138</v>
      </c>
      <c r="C77" s="620">
        <f>((C74/C69)^(1/5))-1</f>
        <v>1.2995147257457873E-2</v>
      </c>
      <c r="D77" s="746">
        <f t="shared" ref="D77:F77" si="25">((D74/D69)^(1/5))-1</f>
        <v>3.9626062808148399E-2</v>
      </c>
      <c r="E77" s="747">
        <f t="shared" si="25"/>
        <v>3.4825722686874672E-2</v>
      </c>
      <c r="F77" s="748">
        <f t="shared" si="25"/>
        <v>4.1962478638541079E-2</v>
      </c>
      <c r="G77" s="406"/>
      <c r="H77" s="363"/>
      <c r="I77" s="363"/>
      <c r="J77" s="749">
        <f t="shared" ref="J77:L77" si="26">((J74/J69)^(1/5))-1</f>
        <v>9.6121609670893893E-3</v>
      </c>
      <c r="K77" s="747">
        <f t="shared" si="26"/>
        <v>4.1313711829750854E-2</v>
      </c>
      <c r="L77" s="748">
        <f t="shared" si="26"/>
        <v>1.5557032643305213E-3</v>
      </c>
      <c r="N77" s="163"/>
      <c r="O77" s="439"/>
      <c r="P77" s="258"/>
    </row>
    <row r="78" spans="2:16" ht="24" customHeight="1" x14ac:dyDescent="0.2">
      <c r="B78" s="408" t="s">
        <v>144</v>
      </c>
      <c r="C78" s="409">
        <f>(C74/C64)-1</f>
        <v>0.48318038868877755</v>
      </c>
      <c r="D78" s="510">
        <f t="shared" ref="D78:F78" si="27">(D74/D64)-1</f>
        <v>0.53270613225789476</v>
      </c>
      <c r="E78" s="414">
        <f t="shared" si="27"/>
        <v>2.4404586799924299E-3</v>
      </c>
      <c r="F78" s="440">
        <f t="shared" si="27"/>
        <v>1.0496303728768184</v>
      </c>
      <c r="G78" s="406"/>
      <c r="H78" s="363"/>
      <c r="I78" s="531"/>
      <c r="J78" s="441">
        <f t="shared" ref="J78:L78" si="28">(J74/J64)-1</f>
        <v>0.47656706713960229</v>
      </c>
      <c r="K78" s="414">
        <f t="shared" si="28"/>
        <v>0.57924942557390602</v>
      </c>
      <c r="L78" s="440">
        <f t="shared" si="28"/>
        <v>0.44966968184869738</v>
      </c>
      <c r="N78" s="163"/>
      <c r="O78" s="439"/>
    </row>
    <row r="79" spans="2:16" ht="25.5" customHeight="1" thickBot="1" x14ac:dyDescent="0.25">
      <c r="B79" s="710" t="s">
        <v>140</v>
      </c>
      <c r="C79" s="750">
        <f>((C74/C64)^(1/10))-1</f>
        <v>4.020610285845394E-2</v>
      </c>
      <c r="D79" s="751">
        <f t="shared" ref="D79:F79" si="29">((D74/D64)^(1/10))-1</f>
        <v>4.3628401351160973E-2</v>
      </c>
      <c r="E79" s="752">
        <f t="shared" si="29"/>
        <v>2.4377826877897135E-4</v>
      </c>
      <c r="F79" s="753">
        <f t="shared" si="29"/>
        <v>7.4403847294754799E-2</v>
      </c>
      <c r="G79" s="406"/>
      <c r="H79" s="531"/>
      <c r="I79" s="531"/>
      <c r="J79" s="754">
        <f t="shared" ref="J79:L79" si="30">((J74/J64)^(1/10))-1</f>
        <v>3.9741354287578412E-2</v>
      </c>
      <c r="K79" s="752">
        <f t="shared" si="30"/>
        <v>4.6755069201866784E-2</v>
      </c>
      <c r="L79" s="753">
        <f t="shared" si="30"/>
        <v>3.7831637332046419E-2</v>
      </c>
      <c r="N79" s="163"/>
      <c r="O79" s="439"/>
    </row>
    <row r="80" spans="2:16" ht="5.0999999999999996" customHeight="1" x14ac:dyDescent="0.2">
      <c r="B80" s="644"/>
      <c r="C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645"/>
      <c r="O80" s="573"/>
    </row>
    <row r="81" spans="2:26" x14ac:dyDescent="0.2">
      <c r="B81" s="464" t="s">
        <v>323</v>
      </c>
      <c r="C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645"/>
      <c r="O81" s="573"/>
    </row>
    <row r="82" spans="2:26" x14ac:dyDescent="0.2">
      <c r="B82" s="643"/>
      <c r="C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258"/>
    </row>
    <row r="83" spans="2:26" x14ac:dyDescent="0.2">
      <c r="B83" s="573"/>
      <c r="C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258"/>
    </row>
    <row r="84" spans="2:26" x14ac:dyDescent="0.2">
      <c r="B84" s="720"/>
      <c r="C84" s="573"/>
      <c r="D84" s="573"/>
      <c r="E84" s="573"/>
      <c r="F84" s="573"/>
      <c r="G84" s="573"/>
      <c r="H84" s="573"/>
      <c r="I84" s="573"/>
      <c r="J84" s="573"/>
      <c r="K84" s="573"/>
      <c r="L84" s="726"/>
      <c r="M84" s="573"/>
      <c r="N84" s="726"/>
      <c r="O84" s="573"/>
      <c r="P84" s="258"/>
      <c r="R84" s="755"/>
      <c r="S84" s="756"/>
      <c r="T84" s="756"/>
      <c r="Y84" s="756"/>
      <c r="Z84" s="756"/>
    </row>
    <row r="85" spans="2:26" x14ac:dyDescent="0.2">
      <c r="B85" s="720"/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258"/>
      <c r="R85" s="755"/>
      <c r="S85" s="589"/>
      <c r="T85" s="589"/>
      <c r="Y85" s="589"/>
      <c r="Z85" s="589"/>
    </row>
    <row r="86" spans="2:26" x14ac:dyDescent="0.2">
      <c r="B86" s="720"/>
      <c r="C86" s="573"/>
      <c r="D86" s="573"/>
      <c r="E86" s="573"/>
      <c r="F86" s="573"/>
      <c r="G86" s="573"/>
      <c r="H86" s="573"/>
      <c r="I86" s="573"/>
      <c r="J86" s="573"/>
      <c r="K86" s="573"/>
      <c r="L86" s="726"/>
      <c r="M86" s="573"/>
      <c r="N86" s="726"/>
      <c r="O86" s="573"/>
      <c r="P86" s="258"/>
      <c r="R86" s="755"/>
      <c r="S86" s="589"/>
      <c r="T86" s="589"/>
      <c r="Y86" s="589"/>
      <c r="Z86" s="589"/>
    </row>
    <row r="87" spans="2:26" x14ac:dyDescent="0.2">
      <c r="B87" s="720"/>
      <c r="C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258"/>
      <c r="R87" s="338"/>
      <c r="S87" s="338"/>
      <c r="T87" s="338"/>
      <c r="X87" s="338"/>
      <c r="Y87" s="338"/>
      <c r="Z87" s="338"/>
    </row>
    <row r="88" spans="2:26" x14ac:dyDescent="0.2">
      <c r="B88" s="573"/>
      <c r="C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258"/>
    </row>
    <row r="89" spans="2:26" x14ac:dyDescent="0.2">
      <c r="P89" s="258"/>
    </row>
    <row r="90" spans="2:26" x14ac:dyDescent="0.2">
      <c r="P90" s="258"/>
    </row>
    <row r="91" spans="2:26" x14ac:dyDescent="0.2">
      <c r="P91" s="258"/>
    </row>
    <row r="92" spans="2:26" x14ac:dyDescent="0.2">
      <c r="P92" s="258"/>
    </row>
    <row r="93" spans="2:26" x14ac:dyDescent="0.2">
      <c r="P93" s="258"/>
    </row>
    <row r="94" spans="2:26" x14ac:dyDescent="0.2">
      <c r="P94" s="258"/>
    </row>
    <row r="95" spans="2:26" x14ac:dyDescent="0.2">
      <c r="P95" s="258"/>
    </row>
  </sheetData>
  <mergeCells count="10">
    <mergeCell ref="D59:F59"/>
    <mergeCell ref="J59:L59"/>
    <mergeCell ref="D5:H5"/>
    <mergeCell ref="I5:K5"/>
    <mergeCell ref="L5:O5"/>
    <mergeCell ref="D15:H15"/>
    <mergeCell ref="L15:O15"/>
    <mergeCell ref="D49:F49"/>
    <mergeCell ref="G49:I49"/>
    <mergeCell ref="J49:L49"/>
  </mergeCells>
  <printOptions horizontalCentered="1"/>
  <pageMargins left="0" right="0" top="0.47244094488188981" bottom="0.39370078740157483" header="0" footer="0"/>
  <pageSetup paperSize="9" scale="5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9"/>
  <sheetViews>
    <sheetView view="pageBreakPreview" zoomScaleNormal="100" zoomScaleSheetLayoutView="100" workbookViewId="0">
      <selection activeCell="J10" sqref="J10"/>
    </sheetView>
  </sheetViews>
  <sheetFormatPr baseColWidth="10" defaultRowHeight="12.75" x14ac:dyDescent="0.2"/>
  <cols>
    <col min="1" max="1" width="21.7109375" style="157" customWidth="1"/>
    <col min="2" max="256" width="11.42578125" style="157"/>
    <col min="257" max="257" width="21.7109375" style="157" customWidth="1"/>
    <col min="258" max="512" width="11.42578125" style="157"/>
    <col min="513" max="513" width="21.7109375" style="157" customWidth="1"/>
    <col min="514" max="768" width="11.42578125" style="157"/>
    <col min="769" max="769" width="21.7109375" style="157" customWidth="1"/>
    <col min="770" max="1024" width="11.42578125" style="157"/>
    <col min="1025" max="1025" width="21.7109375" style="157" customWidth="1"/>
    <col min="1026" max="1280" width="11.42578125" style="157"/>
    <col min="1281" max="1281" width="21.7109375" style="157" customWidth="1"/>
    <col min="1282" max="1536" width="11.42578125" style="157"/>
    <col min="1537" max="1537" width="21.7109375" style="157" customWidth="1"/>
    <col min="1538" max="1792" width="11.42578125" style="157"/>
    <col min="1793" max="1793" width="21.7109375" style="157" customWidth="1"/>
    <col min="1794" max="2048" width="11.42578125" style="157"/>
    <col min="2049" max="2049" width="21.7109375" style="157" customWidth="1"/>
    <col min="2050" max="2304" width="11.42578125" style="157"/>
    <col min="2305" max="2305" width="21.7109375" style="157" customWidth="1"/>
    <col min="2306" max="2560" width="11.42578125" style="157"/>
    <col min="2561" max="2561" width="21.7109375" style="157" customWidth="1"/>
    <col min="2562" max="2816" width="11.42578125" style="157"/>
    <col min="2817" max="2817" width="21.7109375" style="157" customWidth="1"/>
    <col min="2818" max="3072" width="11.42578125" style="157"/>
    <col min="3073" max="3073" width="21.7109375" style="157" customWidth="1"/>
    <col min="3074" max="3328" width="11.42578125" style="157"/>
    <col min="3329" max="3329" width="21.7109375" style="157" customWidth="1"/>
    <col min="3330" max="3584" width="11.42578125" style="157"/>
    <col min="3585" max="3585" width="21.7109375" style="157" customWidth="1"/>
    <col min="3586" max="3840" width="11.42578125" style="157"/>
    <col min="3841" max="3841" width="21.7109375" style="157" customWidth="1"/>
    <col min="3842" max="4096" width="11.42578125" style="157"/>
    <col min="4097" max="4097" width="21.7109375" style="157" customWidth="1"/>
    <col min="4098" max="4352" width="11.42578125" style="157"/>
    <col min="4353" max="4353" width="21.7109375" style="157" customWidth="1"/>
    <col min="4354" max="4608" width="11.42578125" style="157"/>
    <col min="4609" max="4609" width="21.7109375" style="157" customWidth="1"/>
    <col min="4610" max="4864" width="11.42578125" style="157"/>
    <col min="4865" max="4865" width="21.7109375" style="157" customWidth="1"/>
    <col min="4866" max="5120" width="11.42578125" style="157"/>
    <col min="5121" max="5121" width="21.7109375" style="157" customWidth="1"/>
    <col min="5122" max="5376" width="11.42578125" style="157"/>
    <col min="5377" max="5377" width="21.7109375" style="157" customWidth="1"/>
    <col min="5378" max="5632" width="11.42578125" style="157"/>
    <col min="5633" max="5633" width="21.7109375" style="157" customWidth="1"/>
    <col min="5634" max="5888" width="11.42578125" style="157"/>
    <col min="5889" max="5889" width="21.7109375" style="157" customWidth="1"/>
    <col min="5890" max="6144" width="11.42578125" style="157"/>
    <col min="6145" max="6145" width="21.7109375" style="157" customWidth="1"/>
    <col min="6146" max="6400" width="11.42578125" style="157"/>
    <col min="6401" max="6401" width="21.7109375" style="157" customWidth="1"/>
    <col min="6402" max="6656" width="11.42578125" style="157"/>
    <col min="6657" max="6657" width="21.7109375" style="157" customWidth="1"/>
    <col min="6658" max="6912" width="11.42578125" style="157"/>
    <col min="6913" max="6913" width="21.7109375" style="157" customWidth="1"/>
    <col min="6914" max="7168" width="11.42578125" style="157"/>
    <col min="7169" max="7169" width="21.7109375" style="157" customWidth="1"/>
    <col min="7170" max="7424" width="11.42578125" style="157"/>
    <col min="7425" max="7425" width="21.7109375" style="157" customWidth="1"/>
    <col min="7426" max="7680" width="11.42578125" style="157"/>
    <col min="7681" max="7681" width="21.7109375" style="157" customWidth="1"/>
    <col min="7682" max="7936" width="11.42578125" style="157"/>
    <col min="7937" max="7937" width="21.7109375" style="157" customWidth="1"/>
    <col min="7938" max="8192" width="11.42578125" style="157"/>
    <col min="8193" max="8193" width="21.7109375" style="157" customWidth="1"/>
    <col min="8194" max="8448" width="11.42578125" style="157"/>
    <col min="8449" max="8449" width="21.7109375" style="157" customWidth="1"/>
    <col min="8450" max="8704" width="11.42578125" style="157"/>
    <col min="8705" max="8705" width="21.7109375" style="157" customWidth="1"/>
    <col min="8706" max="8960" width="11.42578125" style="157"/>
    <col min="8961" max="8961" width="21.7109375" style="157" customWidth="1"/>
    <col min="8962" max="9216" width="11.42578125" style="157"/>
    <col min="9217" max="9217" width="21.7109375" style="157" customWidth="1"/>
    <col min="9218" max="9472" width="11.42578125" style="157"/>
    <col min="9473" max="9473" width="21.7109375" style="157" customWidth="1"/>
    <col min="9474" max="9728" width="11.42578125" style="157"/>
    <col min="9729" max="9729" width="21.7109375" style="157" customWidth="1"/>
    <col min="9730" max="9984" width="11.42578125" style="157"/>
    <col min="9985" max="9985" width="21.7109375" style="157" customWidth="1"/>
    <col min="9986" max="10240" width="11.42578125" style="157"/>
    <col min="10241" max="10241" width="21.7109375" style="157" customWidth="1"/>
    <col min="10242" max="10496" width="11.42578125" style="157"/>
    <col min="10497" max="10497" width="21.7109375" style="157" customWidth="1"/>
    <col min="10498" max="10752" width="11.42578125" style="157"/>
    <col min="10753" max="10753" width="21.7109375" style="157" customWidth="1"/>
    <col min="10754" max="11008" width="11.42578125" style="157"/>
    <col min="11009" max="11009" width="21.7109375" style="157" customWidth="1"/>
    <col min="11010" max="11264" width="11.42578125" style="157"/>
    <col min="11265" max="11265" width="21.7109375" style="157" customWidth="1"/>
    <col min="11266" max="11520" width="11.42578125" style="157"/>
    <col min="11521" max="11521" width="21.7109375" style="157" customWidth="1"/>
    <col min="11522" max="11776" width="11.42578125" style="157"/>
    <col min="11777" max="11777" width="21.7109375" style="157" customWidth="1"/>
    <col min="11778" max="12032" width="11.42578125" style="157"/>
    <col min="12033" max="12033" width="21.7109375" style="157" customWidth="1"/>
    <col min="12034" max="12288" width="11.42578125" style="157"/>
    <col min="12289" max="12289" width="21.7109375" style="157" customWidth="1"/>
    <col min="12290" max="12544" width="11.42578125" style="157"/>
    <col min="12545" max="12545" width="21.7109375" style="157" customWidth="1"/>
    <col min="12546" max="12800" width="11.42578125" style="157"/>
    <col min="12801" max="12801" width="21.7109375" style="157" customWidth="1"/>
    <col min="12802" max="13056" width="11.42578125" style="157"/>
    <col min="13057" max="13057" width="21.7109375" style="157" customWidth="1"/>
    <col min="13058" max="13312" width="11.42578125" style="157"/>
    <col min="13313" max="13313" width="21.7109375" style="157" customWidth="1"/>
    <col min="13314" max="13568" width="11.42578125" style="157"/>
    <col min="13569" max="13569" width="21.7109375" style="157" customWidth="1"/>
    <col min="13570" max="13824" width="11.42578125" style="157"/>
    <col min="13825" max="13825" width="21.7109375" style="157" customWidth="1"/>
    <col min="13826" max="14080" width="11.42578125" style="157"/>
    <col min="14081" max="14081" width="21.7109375" style="157" customWidth="1"/>
    <col min="14082" max="14336" width="11.42578125" style="157"/>
    <col min="14337" max="14337" width="21.7109375" style="157" customWidth="1"/>
    <col min="14338" max="14592" width="11.42578125" style="157"/>
    <col min="14593" max="14593" width="21.7109375" style="157" customWidth="1"/>
    <col min="14594" max="14848" width="11.42578125" style="157"/>
    <col min="14849" max="14849" width="21.7109375" style="157" customWidth="1"/>
    <col min="14850" max="15104" width="11.42578125" style="157"/>
    <col min="15105" max="15105" width="21.7109375" style="157" customWidth="1"/>
    <col min="15106" max="15360" width="11.42578125" style="157"/>
    <col min="15361" max="15361" width="21.7109375" style="157" customWidth="1"/>
    <col min="15362" max="15616" width="11.42578125" style="157"/>
    <col min="15617" max="15617" width="21.7109375" style="157" customWidth="1"/>
    <col min="15618" max="15872" width="11.42578125" style="157"/>
    <col min="15873" max="15873" width="21.7109375" style="157" customWidth="1"/>
    <col min="15874" max="16128" width="11.42578125" style="157"/>
    <col min="16129" max="16129" width="21.7109375" style="157" customWidth="1"/>
    <col min="16130" max="16384" width="11.42578125" style="157"/>
  </cols>
  <sheetData>
    <row r="3" spans="1:6" s="573" customFormat="1" ht="15.75" x14ac:dyDescent="0.25">
      <c r="A3" s="646" t="s">
        <v>326</v>
      </c>
    </row>
    <row r="4" spans="1:6" s="573" customFormat="1" ht="13.5" thickBot="1" x14ac:dyDescent="0.25">
      <c r="A4" s="643"/>
    </row>
    <row r="5" spans="1:6" ht="15" customHeight="1" x14ac:dyDescent="0.2">
      <c r="A5" s="1648" t="s">
        <v>132</v>
      </c>
      <c r="B5" s="1649" t="s">
        <v>199</v>
      </c>
      <c r="C5" s="1650" t="s">
        <v>237</v>
      </c>
      <c r="D5" s="1650"/>
      <c r="E5" s="1650"/>
      <c r="F5" s="1651"/>
    </row>
    <row r="6" spans="1:6" ht="33" customHeight="1" thickBot="1" x14ac:dyDescent="0.25">
      <c r="A6" s="1652"/>
      <c r="B6" s="1653"/>
      <c r="C6" s="356" t="s">
        <v>204</v>
      </c>
      <c r="D6" s="1654" t="s">
        <v>238</v>
      </c>
      <c r="E6" s="357" t="s">
        <v>184</v>
      </c>
      <c r="F6" s="354" t="s">
        <v>206</v>
      </c>
    </row>
    <row r="7" spans="1:6" x14ac:dyDescent="0.2">
      <c r="A7" s="358"/>
      <c r="B7" s="359"/>
      <c r="C7" s="361"/>
      <c r="D7" s="362"/>
      <c r="E7" s="362"/>
      <c r="F7" s="649"/>
    </row>
    <row r="8" spans="1:6" x14ac:dyDescent="0.2">
      <c r="A8" s="548">
        <v>1995</v>
      </c>
      <c r="B8" s="650">
        <f t="shared" ref="B8:B28" si="0">SUM(C8:F8)</f>
        <v>0</v>
      </c>
      <c r="C8" s="588"/>
      <c r="D8" s="302"/>
      <c r="E8" s="653"/>
      <c r="F8" s="757"/>
    </row>
    <row r="9" spans="1:6" x14ac:dyDescent="0.2">
      <c r="A9" s="367">
        <v>1996</v>
      </c>
      <c r="B9" s="368">
        <f t="shared" si="0"/>
        <v>0</v>
      </c>
      <c r="C9" s="286"/>
      <c r="D9" s="290"/>
      <c r="E9" s="382"/>
      <c r="F9" s="494"/>
    </row>
    <row r="10" spans="1:6" x14ac:dyDescent="0.2">
      <c r="A10" s="548">
        <v>1997</v>
      </c>
      <c r="B10" s="650">
        <f t="shared" si="0"/>
        <v>0</v>
      </c>
      <c r="C10" s="588"/>
      <c r="D10" s="302"/>
      <c r="E10" s="653"/>
      <c r="F10" s="757"/>
    </row>
    <row r="11" spans="1:6" x14ac:dyDescent="0.2">
      <c r="A11" s="367">
        <v>1998</v>
      </c>
      <c r="B11" s="368">
        <f t="shared" si="0"/>
        <v>0</v>
      </c>
      <c r="C11" s="286"/>
      <c r="D11" s="290"/>
      <c r="E11" s="382"/>
      <c r="F11" s="494"/>
    </row>
    <row r="12" spans="1:6" x14ac:dyDescent="0.2">
      <c r="A12" s="548">
        <v>1999</v>
      </c>
      <c r="B12" s="650">
        <f t="shared" si="0"/>
        <v>0</v>
      </c>
      <c r="C12" s="588"/>
      <c r="D12" s="302"/>
      <c r="E12" s="653"/>
      <c r="F12" s="757"/>
    </row>
    <row r="13" spans="1:6" x14ac:dyDescent="0.2">
      <c r="A13" s="367">
        <v>2000</v>
      </c>
      <c r="B13" s="368">
        <f t="shared" si="0"/>
        <v>0</v>
      </c>
      <c r="C13" s="286"/>
      <c r="D13" s="290"/>
      <c r="E13" s="382"/>
      <c r="F13" s="494"/>
    </row>
    <row r="14" spans="1:6" x14ac:dyDescent="0.2">
      <c r="A14" s="548">
        <v>2001</v>
      </c>
      <c r="B14" s="650">
        <f t="shared" si="0"/>
        <v>0</v>
      </c>
      <c r="C14" s="588"/>
      <c r="D14" s="302"/>
      <c r="E14" s="653"/>
      <c r="F14" s="757"/>
    </row>
    <row r="15" spans="1:6" x14ac:dyDescent="0.2">
      <c r="A15" s="367">
        <v>2002</v>
      </c>
      <c r="B15" s="368">
        <f t="shared" si="0"/>
        <v>0</v>
      </c>
      <c r="C15" s="286"/>
      <c r="D15" s="290"/>
      <c r="E15" s="382"/>
      <c r="F15" s="494"/>
    </row>
    <row r="16" spans="1:6" x14ac:dyDescent="0.2">
      <c r="A16" s="548">
        <v>2003</v>
      </c>
      <c r="B16" s="650">
        <f t="shared" si="0"/>
        <v>0</v>
      </c>
      <c r="C16" s="588"/>
      <c r="D16" s="302"/>
      <c r="E16" s="653"/>
      <c r="F16" s="757"/>
    </row>
    <row r="17" spans="1:13" x14ac:dyDescent="0.2">
      <c r="A17" s="367">
        <v>2004</v>
      </c>
      <c r="B17" s="368">
        <f t="shared" si="0"/>
        <v>0</v>
      </c>
      <c r="C17" s="286"/>
      <c r="D17" s="290"/>
      <c r="E17" s="382"/>
      <c r="F17" s="494"/>
    </row>
    <row r="18" spans="1:13" x14ac:dyDescent="0.2">
      <c r="A18" s="548">
        <v>2005</v>
      </c>
      <c r="B18" s="650">
        <f t="shared" si="0"/>
        <v>0</v>
      </c>
      <c r="C18" s="588"/>
      <c r="D18" s="302"/>
      <c r="E18" s="653"/>
      <c r="F18" s="757"/>
    </row>
    <row r="19" spans="1:13" x14ac:dyDescent="0.2">
      <c r="A19" s="367">
        <v>2006</v>
      </c>
      <c r="B19" s="368">
        <f t="shared" si="0"/>
        <v>0</v>
      </c>
      <c r="C19" s="286"/>
      <c r="D19" s="290"/>
      <c r="E19" s="382"/>
      <c r="F19" s="494"/>
    </row>
    <row r="20" spans="1:13" x14ac:dyDescent="0.2">
      <c r="A20" s="548">
        <v>2007</v>
      </c>
      <c r="B20" s="650">
        <f t="shared" si="0"/>
        <v>0</v>
      </c>
      <c r="C20" s="588"/>
      <c r="D20" s="302"/>
      <c r="E20" s="653"/>
      <c r="F20" s="757"/>
    </row>
    <row r="21" spans="1:13" x14ac:dyDescent="0.2">
      <c r="A21" s="367">
        <v>2008</v>
      </c>
      <c r="B21" s="368">
        <f t="shared" si="0"/>
        <v>0</v>
      </c>
      <c r="C21" s="286"/>
      <c r="D21" s="290"/>
      <c r="E21" s="382"/>
      <c r="F21" s="494"/>
    </row>
    <row r="22" spans="1:13" x14ac:dyDescent="0.2">
      <c r="A22" s="548">
        <v>2009</v>
      </c>
      <c r="B22" s="650">
        <f t="shared" si="0"/>
        <v>52.769180000000006</v>
      </c>
      <c r="C22" s="588">
        <v>52.769180000000006</v>
      </c>
      <c r="D22" s="302"/>
      <c r="E22" s="653"/>
      <c r="F22" s="757"/>
    </row>
    <row r="23" spans="1:13" x14ac:dyDescent="0.2">
      <c r="A23" s="367">
        <v>2010</v>
      </c>
      <c r="B23" s="368">
        <f t="shared" si="0"/>
        <v>321.93488300000001</v>
      </c>
      <c r="C23" s="286">
        <v>244.459239</v>
      </c>
      <c r="D23" s="290">
        <v>77.475644000000003</v>
      </c>
      <c r="E23" s="382"/>
      <c r="F23" s="494"/>
    </row>
    <row r="24" spans="1:13" x14ac:dyDescent="0.2">
      <c r="A24" s="548">
        <v>2011</v>
      </c>
      <c r="B24" s="650">
        <f t="shared" si="0"/>
        <v>386.80218599999995</v>
      </c>
      <c r="C24" s="588">
        <v>299.42873499999996</v>
      </c>
      <c r="D24" s="302">
        <v>87.373451000000003</v>
      </c>
      <c r="E24" s="653"/>
      <c r="F24" s="757"/>
    </row>
    <row r="25" spans="1:13" x14ac:dyDescent="0.2">
      <c r="A25" s="367">
        <v>2012</v>
      </c>
      <c r="B25" s="368">
        <f t="shared" si="0"/>
        <v>782.36415147289347</v>
      </c>
      <c r="C25" s="286">
        <v>568.8899381748613</v>
      </c>
      <c r="D25" s="290">
        <v>157.89084649846814</v>
      </c>
      <c r="E25" s="382">
        <v>55.583366799563997</v>
      </c>
      <c r="F25" s="494"/>
    </row>
    <row r="26" spans="1:13" x14ac:dyDescent="0.2">
      <c r="A26" s="548">
        <v>2013</v>
      </c>
      <c r="B26" s="650">
        <f t="shared" si="0"/>
        <v>1271.5761025841243</v>
      </c>
      <c r="C26" s="588">
        <v>800.54631359599205</v>
      </c>
      <c r="D26" s="302">
        <v>274.10191097608498</v>
      </c>
      <c r="E26" s="653">
        <v>196.92787801204742</v>
      </c>
      <c r="F26" s="757"/>
      <c r="J26" s="157" t="s">
        <v>239</v>
      </c>
      <c r="K26" s="157" t="s">
        <v>240</v>
      </c>
      <c r="L26" s="157" t="s">
        <v>184</v>
      </c>
      <c r="M26" s="157" t="s">
        <v>185</v>
      </c>
    </row>
    <row r="27" spans="1:13" ht="15" x14ac:dyDescent="0.25">
      <c r="A27" s="367">
        <v>2014</v>
      </c>
      <c r="B27" s="368">
        <f t="shared" si="0"/>
        <v>1591.5700082881003</v>
      </c>
      <c r="C27" s="286">
        <v>906.78473836316186</v>
      </c>
      <c r="D27" s="290">
        <v>229.16741540250001</v>
      </c>
      <c r="E27" s="382">
        <v>199.30359694553749</v>
      </c>
      <c r="F27" s="494">
        <v>256.31425757690079</v>
      </c>
      <c r="J27" s="549">
        <f>+C28/$B$28</f>
        <v>0.51711766874649923</v>
      </c>
      <c r="K27" s="549">
        <f>+D28/$B$28</f>
        <v>9.3785858233421782E-2</v>
      </c>
      <c r="L27" s="549">
        <f>+E28/$B$28</f>
        <v>0.10782106501186614</v>
      </c>
      <c r="M27" s="549">
        <f>+F28/$B$28</f>
        <v>0.28127540800821282</v>
      </c>
    </row>
    <row r="28" spans="1:13" ht="15" x14ac:dyDescent="0.25">
      <c r="A28" s="548" t="s">
        <v>136</v>
      </c>
      <c r="B28" s="650">
        <f t="shared" si="0"/>
        <v>2137.2013315360932</v>
      </c>
      <c r="C28" s="588">
        <v>1105.1845702058586</v>
      </c>
      <c r="D28" s="302">
        <v>200.43926109572431</v>
      </c>
      <c r="E28" s="653">
        <v>230.435323711</v>
      </c>
      <c r="F28" s="757">
        <v>601.14217652351033</v>
      </c>
      <c r="J28" s="549"/>
      <c r="K28" s="549"/>
      <c r="L28" s="549"/>
      <c r="M28" s="549"/>
    </row>
    <row r="29" spans="1:13" ht="13.5" thickBot="1" x14ac:dyDescent="0.25">
      <c r="A29" s="367"/>
      <c r="B29" s="368"/>
      <c r="C29" s="286"/>
      <c r="D29" s="290"/>
      <c r="E29" s="382"/>
      <c r="F29" s="494"/>
    </row>
    <row r="30" spans="1:13" ht="18.75" customHeight="1" x14ac:dyDescent="0.2">
      <c r="A30" s="758" t="s">
        <v>137</v>
      </c>
      <c r="B30" s="759">
        <f>(B28/B27)-1</f>
        <v>0.34282583889280271</v>
      </c>
      <c r="C30" s="760">
        <f t="shared" ref="C30:F30" si="1">(C28/C27)-1</f>
        <v>0.2187948511361455</v>
      </c>
      <c r="D30" s="760">
        <f t="shared" si="1"/>
        <v>-0.12535880921953402</v>
      </c>
      <c r="E30" s="760">
        <f t="shared" si="1"/>
        <v>0.15620253343430468</v>
      </c>
      <c r="F30" s="761">
        <f t="shared" si="1"/>
        <v>1.3453325702849455</v>
      </c>
    </row>
    <row r="31" spans="1:13" ht="18.75" customHeight="1" x14ac:dyDescent="0.2">
      <c r="A31" s="762" t="s">
        <v>139</v>
      </c>
      <c r="B31" s="763">
        <f>(B28/B23)-1</f>
        <v>5.6386137209495661</v>
      </c>
      <c r="C31" s="764">
        <f t="shared" ref="C31:D31" si="2">(C28/C23)-1</f>
        <v>3.5209359839570578</v>
      </c>
      <c r="D31" s="764">
        <f t="shared" si="2"/>
        <v>1.587126105021138</v>
      </c>
      <c r="E31" s="765"/>
      <c r="F31" s="766"/>
    </row>
    <row r="32" spans="1:13" ht="18.75" customHeight="1" thickBot="1" x14ac:dyDescent="0.25">
      <c r="A32" s="767" t="s">
        <v>138</v>
      </c>
      <c r="B32" s="768">
        <f>((B28/B23)^(1/5))-1</f>
        <v>0.46021054312792842</v>
      </c>
      <c r="C32" s="769">
        <f t="shared" ref="C32:D32" si="3">((C28/C23)^(1/5))-1</f>
        <v>0.35221475802685309</v>
      </c>
      <c r="D32" s="769">
        <f t="shared" si="3"/>
        <v>0.20938205345724881</v>
      </c>
      <c r="E32" s="770"/>
      <c r="F32" s="771"/>
    </row>
    <row r="33" spans="1:2" x14ac:dyDescent="0.2">
      <c r="A33" s="319"/>
      <c r="B33" s="772"/>
    </row>
    <row r="34" spans="1:2" x14ac:dyDescent="0.2">
      <c r="A34" s="464" t="s">
        <v>323</v>
      </c>
    </row>
    <row r="35" spans="1:2" x14ac:dyDescent="0.2">
      <c r="A35" s="349"/>
    </row>
    <row r="36" spans="1:2" x14ac:dyDescent="0.2">
      <c r="B36" s="190"/>
    </row>
    <row r="59" spans="2:2" ht="23.25" x14ac:dyDescent="0.35">
      <c r="B59" s="1424"/>
    </row>
  </sheetData>
  <mergeCells count="3">
    <mergeCell ref="A5:A6"/>
    <mergeCell ref="B5:B6"/>
    <mergeCell ref="C5:F5"/>
  </mergeCells>
  <printOptions horizontalCentered="1"/>
  <pageMargins left="0.51181102362204722" right="0.31496062992125984" top="0.35433070866141736" bottom="0.35433070866141736" header="0.31496062992125984" footer="0.31496062992125984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9"/>
  <sheetViews>
    <sheetView view="pageBreakPreview" topLeftCell="A37" zoomScaleNormal="75" zoomScaleSheetLayoutView="100" workbookViewId="0">
      <selection activeCell="B59" sqref="B59"/>
    </sheetView>
  </sheetViews>
  <sheetFormatPr baseColWidth="10" defaultRowHeight="12.75" x14ac:dyDescent="0.2"/>
  <cols>
    <col min="1" max="1" width="4.7109375" style="157" customWidth="1"/>
    <col min="2" max="2" width="24" style="157" customWidth="1"/>
    <col min="3" max="4" width="15" style="157" customWidth="1"/>
    <col min="5" max="5" width="13.28515625" style="157" customWidth="1"/>
    <col min="6" max="6" width="12.7109375" style="157" customWidth="1"/>
    <col min="7" max="7" width="14" style="157" customWidth="1"/>
    <col min="8" max="8" width="11" style="157" customWidth="1"/>
    <col min="9" max="256" width="11.42578125" style="157"/>
    <col min="257" max="257" width="4.7109375" style="157" customWidth="1"/>
    <col min="258" max="258" width="24" style="157" customWidth="1"/>
    <col min="259" max="260" width="15" style="157" customWidth="1"/>
    <col min="261" max="261" width="13.28515625" style="157" customWidth="1"/>
    <col min="262" max="262" width="12.7109375" style="157" customWidth="1"/>
    <col min="263" max="263" width="14" style="157" customWidth="1"/>
    <col min="264" max="264" width="11" style="157" customWidth="1"/>
    <col min="265" max="512" width="11.42578125" style="157"/>
    <col min="513" max="513" width="4.7109375" style="157" customWidth="1"/>
    <col min="514" max="514" width="24" style="157" customWidth="1"/>
    <col min="515" max="516" width="15" style="157" customWidth="1"/>
    <col min="517" max="517" width="13.28515625" style="157" customWidth="1"/>
    <col min="518" max="518" width="12.7109375" style="157" customWidth="1"/>
    <col min="519" max="519" width="14" style="157" customWidth="1"/>
    <col min="520" max="520" width="11" style="157" customWidth="1"/>
    <col min="521" max="768" width="11.42578125" style="157"/>
    <col min="769" max="769" width="4.7109375" style="157" customWidth="1"/>
    <col min="770" max="770" width="24" style="157" customWidth="1"/>
    <col min="771" max="772" width="15" style="157" customWidth="1"/>
    <col min="773" max="773" width="13.28515625" style="157" customWidth="1"/>
    <col min="774" max="774" width="12.7109375" style="157" customWidth="1"/>
    <col min="775" max="775" width="14" style="157" customWidth="1"/>
    <col min="776" max="776" width="11" style="157" customWidth="1"/>
    <col min="777" max="1024" width="11.42578125" style="157"/>
    <col min="1025" max="1025" width="4.7109375" style="157" customWidth="1"/>
    <col min="1026" max="1026" width="24" style="157" customWidth="1"/>
    <col min="1027" max="1028" width="15" style="157" customWidth="1"/>
    <col min="1029" max="1029" width="13.28515625" style="157" customWidth="1"/>
    <col min="1030" max="1030" width="12.7109375" style="157" customWidth="1"/>
    <col min="1031" max="1031" width="14" style="157" customWidth="1"/>
    <col min="1032" max="1032" width="11" style="157" customWidth="1"/>
    <col min="1033" max="1280" width="11.42578125" style="157"/>
    <col min="1281" max="1281" width="4.7109375" style="157" customWidth="1"/>
    <col min="1282" max="1282" width="24" style="157" customWidth="1"/>
    <col min="1283" max="1284" width="15" style="157" customWidth="1"/>
    <col min="1285" max="1285" width="13.28515625" style="157" customWidth="1"/>
    <col min="1286" max="1286" width="12.7109375" style="157" customWidth="1"/>
    <col min="1287" max="1287" width="14" style="157" customWidth="1"/>
    <col min="1288" max="1288" width="11" style="157" customWidth="1"/>
    <col min="1289" max="1536" width="11.42578125" style="157"/>
    <col min="1537" max="1537" width="4.7109375" style="157" customWidth="1"/>
    <col min="1538" max="1538" width="24" style="157" customWidth="1"/>
    <col min="1539" max="1540" width="15" style="157" customWidth="1"/>
    <col min="1541" max="1541" width="13.28515625" style="157" customWidth="1"/>
    <col min="1542" max="1542" width="12.7109375" style="157" customWidth="1"/>
    <col min="1543" max="1543" width="14" style="157" customWidth="1"/>
    <col min="1544" max="1544" width="11" style="157" customWidth="1"/>
    <col min="1545" max="1792" width="11.42578125" style="157"/>
    <col min="1793" max="1793" width="4.7109375" style="157" customWidth="1"/>
    <col min="1794" max="1794" width="24" style="157" customWidth="1"/>
    <col min="1795" max="1796" width="15" style="157" customWidth="1"/>
    <col min="1797" max="1797" width="13.28515625" style="157" customWidth="1"/>
    <col min="1798" max="1798" width="12.7109375" style="157" customWidth="1"/>
    <col min="1799" max="1799" width="14" style="157" customWidth="1"/>
    <col min="1800" max="1800" width="11" style="157" customWidth="1"/>
    <col min="1801" max="2048" width="11.42578125" style="157"/>
    <col min="2049" max="2049" width="4.7109375" style="157" customWidth="1"/>
    <col min="2050" max="2050" width="24" style="157" customWidth="1"/>
    <col min="2051" max="2052" width="15" style="157" customWidth="1"/>
    <col min="2053" max="2053" width="13.28515625" style="157" customWidth="1"/>
    <col min="2054" max="2054" width="12.7109375" style="157" customWidth="1"/>
    <col min="2055" max="2055" width="14" style="157" customWidth="1"/>
    <col min="2056" max="2056" width="11" style="157" customWidth="1"/>
    <col min="2057" max="2304" width="11.42578125" style="157"/>
    <col min="2305" max="2305" width="4.7109375" style="157" customWidth="1"/>
    <col min="2306" max="2306" width="24" style="157" customWidth="1"/>
    <col min="2307" max="2308" width="15" style="157" customWidth="1"/>
    <col min="2309" max="2309" width="13.28515625" style="157" customWidth="1"/>
    <col min="2310" max="2310" width="12.7109375" style="157" customWidth="1"/>
    <col min="2311" max="2311" width="14" style="157" customWidth="1"/>
    <col min="2312" max="2312" width="11" style="157" customWidth="1"/>
    <col min="2313" max="2560" width="11.42578125" style="157"/>
    <col min="2561" max="2561" width="4.7109375" style="157" customWidth="1"/>
    <col min="2562" max="2562" width="24" style="157" customWidth="1"/>
    <col min="2563" max="2564" width="15" style="157" customWidth="1"/>
    <col min="2565" max="2565" width="13.28515625" style="157" customWidth="1"/>
    <col min="2566" max="2566" width="12.7109375" style="157" customWidth="1"/>
    <col min="2567" max="2567" width="14" style="157" customWidth="1"/>
    <col min="2568" max="2568" width="11" style="157" customWidth="1"/>
    <col min="2569" max="2816" width="11.42578125" style="157"/>
    <col min="2817" max="2817" width="4.7109375" style="157" customWidth="1"/>
    <col min="2818" max="2818" width="24" style="157" customWidth="1"/>
    <col min="2819" max="2820" width="15" style="157" customWidth="1"/>
    <col min="2821" max="2821" width="13.28515625" style="157" customWidth="1"/>
    <col min="2822" max="2822" width="12.7109375" style="157" customWidth="1"/>
    <col min="2823" max="2823" width="14" style="157" customWidth="1"/>
    <col min="2824" max="2824" width="11" style="157" customWidth="1"/>
    <col min="2825" max="3072" width="11.42578125" style="157"/>
    <col min="3073" max="3073" width="4.7109375" style="157" customWidth="1"/>
    <col min="3074" max="3074" width="24" style="157" customWidth="1"/>
    <col min="3075" max="3076" width="15" style="157" customWidth="1"/>
    <col min="3077" max="3077" width="13.28515625" style="157" customWidth="1"/>
    <col min="3078" max="3078" width="12.7109375" style="157" customWidth="1"/>
    <col min="3079" max="3079" width="14" style="157" customWidth="1"/>
    <col min="3080" max="3080" width="11" style="157" customWidth="1"/>
    <col min="3081" max="3328" width="11.42578125" style="157"/>
    <col min="3329" max="3329" width="4.7109375" style="157" customWidth="1"/>
    <col min="3330" max="3330" width="24" style="157" customWidth="1"/>
    <col min="3331" max="3332" width="15" style="157" customWidth="1"/>
    <col min="3333" max="3333" width="13.28515625" style="157" customWidth="1"/>
    <col min="3334" max="3334" width="12.7109375" style="157" customWidth="1"/>
    <col min="3335" max="3335" width="14" style="157" customWidth="1"/>
    <col min="3336" max="3336" width="11" style="157" customWidth="1"/>
    <col min="3337" max="3584" width="11.42578125" style="157"/>
    <col min="3585" max="3585" width="4.7109375" style="157" customWidth="1"/>
    <col min="3586" max="3586" width="24" style="157" customWidth="1"/>
    <col min="3587" max="3588" width="15" style="157" customWidth="1"/>
    <col min="3589" max="3589" width="13.28515625" style="157" customWidth="1"/>
    <col min="3590" max="3590" width="12.7109375" style="157" customWidth="1"/>
    <col min="3591" max="3591" width="14" style="157" customWidth="1"/>
    <col min="3592" max="3592" width="11" style="157" customWidth="1"/>
    <col min="3593" max="3840" width="11.42578125" style="157"/>
    <col min="3841" max="3841" width="4.7109375" style="157" customWidth="1"/>
    <col min="3842" max="3842" width="24" style="157" customWidth="1"/>
    <col min="3843" max="3844" width="15" style="157" customWidth="1"/>
    <col min="3845" max="3845" width="13.28515625" style="157" customWidth="1"/>
    <col min="3846" max="3846" width="12.7109375" style="157" customWidth="1"/>
    <col min="3847" max="3847" width="14" style="157" customWidth="1"/>
    <col min="3848" max="3848" width="11" style="157" customWidth="1"/>
    <col min="3849" max="4096" width="11.42578125" style="157"/>
    <col min="4097" max="4097" width="4.7109375" style="157" customWidth="1"/>
    <col min="4098" max="4098" width="24" style="157" customWidth="1"/>
    <col min="4099" max="4100" width="15" style="157" customWidth="1"/>
    <col min="4101" max="4101" width="13.28515625" style="157" customWidth="1"/>
    <col min="4102" max="4102" width="12.7109375" style="157" customWidth="1"/>
    <col min="4103" max="4103" width="14" style="157" customWidth="1"/>
    <col min="4104" max="4104" width="11" style="157" customWidth="1"/>
    <col min="4105" max="4352" width="11.42578125" style="157"/>
    <col min="4353" max="4353" width="4.7109375" style="157" customWidth="1"/>
    <col min="4354" max="4354" width="24" style="157" customWidth="1"/>
    <col min="4355" max="4356" width="15" style="157" customWidth="1"/>
    <col min="4357" max="4357" width="13.28515625" style="157" customWidth="1"/>
    <col min="4358" max="4358" width="12.7109375" style="157" customWidth="1"/>
    <col min="4359" max="4359" width="14" style="157" customWidth="1"/>
    <col min="4360" max="4360" width="11" style="157" customWidth="1"/>
    <col min="4361" max="4608" width="11.42578125" style="157"/>
    <col min="4609" max="4609" width="4.7109375" style="157" customWidth="1"/>
    <col min="4610" max="4610" width="24" style="157" customWidth="1"/>
    <col min="4611" max="4612" width="15" style="157" customWidth="1"/>
    <col min="4613" max="4613" width="13.28515625" style="157" customWidth="1"/>
    <col min="4614" max="4614" width="12.7109375" style="157" customWidth="1"/>
    <col min="4615" max="4615" width="14" style="157" customWidth="1"/>
    <col min="4616" max="4616" width="11" style="157" customWidth="1"/>
    <col min="4617" max="4864" width="11.42578125" style="157"/>
    <col min="4865" max="4865" width="4.7109375" style="157" customWidth="1"/>
    <col min="4866" max="4866" width="24" style="157" customWidth="1"/>
    <col min="4867" max="4868" width="15" style="157" customWidth="1"/>
    <col min="4869" max="4869" width="13.28515625" style="157" customWidth="1"/>
    <col min="4870" max="4870" width="12.7109375" style="157" customWidth="1"/>
    <col min="4871" max="4871" width="14" style="157" customWidth="1"/>
    <col min="4872" max="4872" width="11" style="157" customWidth="1"/>
    <col min="4873" max="5120" width="11.42578125" style="157"/>
    <col min="5121" max="5121" width="4.7109375" style="157" customWidth="1"/>
    <col min="5122" max="5122" width="24" style="157" customWidth="1"/>
    <col min="5123" max="5124" width="15" style="157" customWidth="1"/>
    <col min="5125" max="5125" width="13.28515625" style="157" customWidth="1"/>
    <col min="5126" max="5126" width="12.7109375" style="157" customWidth="1"/>
    <col min="5127" max="5127" width="14" style="157" customWidth="1"/>
    <col min="5128" max="5128" width="11" style="157" customWidth="1"/>
    <col min="5129" max="5376" width="11.42578125" style="157"/>
    <col min="5377" max="5377" width="4.7109375" style="157" customWidth="1"/>
    <col min="5378" max="5378" width="24" style="157" customWidth="1"/>
    <col min="5379" max="5380" width="15" style="157" customWidth="1"/>
    <col min="5381" max="5381" width="13.28515625" style="157" customWidth="1"/>
    <col min="5382" max="5382" width="12.7109375" style="157" customWidth="1"/>
    <col min="5383" max="5383" width="14" style="157" customWidth="1"/>
    <col min="5384" max="5384" width="11" style="157" customWidth="1"/>
    <col min="5385" max="5632" width="11.42578125" style="157"/>
    <col min="5633" max="5633" width="4.7109375" style="157" customWidth="1"/>
    <col min="5634" max="5634" width="24" style="157" customWidth="1"/>
    <col min="5635" max="5636" width="15" style="157" customWidth="1"/>
    <col min="5637" max="5637" width="13.28515625" style="157" customWidth="1"/>
    <col min="5638" max="5638" width="12.7109375" style="157" customWidth="1"/>
    <col min="5639" max="5639" width="14" style="157" customWidth="1"/>
    <col min="5640" max="5640" width="11" style="157" customWidth="1"/>
    <col min="5641" max="5888" width="11.42578125" style="157"/>
    <col min="5889" max="5889" width="4.7109375" style="157" customWidth="1"/>
    <col min="5890" max="5890" width="24" style="157" customWidth="1"/>
    <col min="5891" max="5892" width="15" style="157" customWidth="1"/>
    <col min="5893" max="5893" width="13.28515625" style="157" customWidth="1"/>
    <col min="5894" max="5894" width="12.7109375" style="157" customWidth="1"/>
    <col min="5895" max="5895" width="14" style="157" customWidth="1"/>
    <col min="5896" max="5896" width="11" style="157" customWidth="1"/>
    <col min="5897" max="6144" width="11.42578125" style="157"/>
    <col min="6145" max="6145" width="4.7109375" style="157" customWidth="1"/>
    <col min="6146" max="6146" width="24" style="157" customWidth="1"/>
    <col min="6147" max="6148" width="15" style="157" customWidth="1"/>
    <col min="6149" max="6149" width="13.28515625" style="157" customWidth="1"/>
    <col min="6150" max="6150" width="12.7109375" style="157" customWidth="1"/>
    <col min="6151" max="6151" width="14" style="157" customWidth="1"/>
    <col min="6152" max="6152" width="11" style="157" customWidth="1"/>
    <col min="6153" max="6400" width="11.42578125" style="157"/>
    <col min="6401" max="6401" width="4.7109375" style="157" customWidth="1"/>
    <col min="6402" max="6402" width="24" style="157" customWidth="1"/>
    <col min="6403" max="6404" width="15" style="157" customWidth="1"/>
    <col min="6405" max="6405" width="13.28515625" style="157" customWidth="1"/>
    <col min="6406" max="6406" width="12.7109375" style="157" customWidth="1"/>
    <col min="6407" max="6407" width="14" style="157" customWidth="1"/>
    <col min="6408" max="6408" width="11" style="157" customWidth="1"/>
    <col min="6409" max="6656" width="11.42578125" style="157"/>
    <col min="6657" max="6657" width="4.7109375" style="157" customWidth="1"/>
    <col min="6658" max="6658" width="24" style="157" customWidth="1"/>
    <col min="6659" max="6660" width="15" style="157" customWidth="1"/>
    <col min="6661" max="6661" width="13.28515625" style="157" customWidth="1"/>
    <col min="6662" max="6662" width="12.7109375" style="157" customWidth="1"/>
    <col min="6663" max="6663" width="14" style="157" customWidth="1"/>
    <col min="6664" max="6664" width="11" style="157" customWidth="1"/>
    <col min="6665" max="6912" width="11.42578125" style="157"/>
    <col min="6913" max="6913" width="4.7109375" style="157" customWidth="1"/>
    <col min="6914" max="6914" width="24" style="157" customWidth="1"/>
    <col min="6915" max="6916" width="15" style="157" customWidth="1"/>
    <col min="6917" max="6917" width="13.28515625" style="157" customWidth="1"/>
    <col min="6918" max="6918" width="12.7109375" style="157" customWidth="1"/>
    <col min="6919" max="6919" width="14" style="157" customWidth="1"/>
    <col min="6920" max="6920" width="11" style="157" customWidth="1"/>
    <col min="6921" max="7168" width="11.42578125" style="157"/>
    <col min="7169" max="7169" width="4.7109375" style="157" customWidth="1"/>
    <col min="7170" max="7170" width="24" style="157" customWidth="1"/>
    <col min="7171" max="7172" width="15" style="157" customWidth="1"/>
    <col min="7173" max="7173" width="13.28515625" style="157" customWidth="1"/>
    <col min="7174" max="7174" width="12.7109375" style="157" customWidth="1"/>
    <col min="7175" max="7175" width="14" style="157" customWidth="1"/>
    <col min="7176" max="7176" width="11" style="157" customWidth="1"/>
    <col min="7177" max="7424" width="11.42578125" style="157"/>
    <col min="7425" max="7425" width="4.7109375" style="157" customWidth="1"/>
    <col min="7426" max="7426" width="24" style="157" customWidth="1"/>
    <col min="7427" max="7428" width="15" style="157" customWidth="1"/>
    <col min="7429" max="7429" width="13.28515625" style="157" customWidth="1"/>
    <col min="7430" max="7430" width="12.7109375" style="157" customWidth="1"/>
    <col min="7431" max="7431" width="14" style="157" customWidth="1"/>
    <col min="7432" max="7432" width="11" style="157" customWidth="1"/>
    <col min="7433" max="7680" width="11.42578125" style="157"/>
    <col min="7681" max="7681" width="4.7109375" style="157" customWidth="1"/>
    <col min="7682" max="7682" width="24" style="157" customWidth="1"/>
    <col min="7683" max="7684" width="15" style="157" customWidth="1"/>
    <col min="7685" max="7685" width="13.28515625" style="157" customWidth="1"/>
    <col min="7686" max="7686" width="12.7109375" style="157" customWidth="1"/>
    <col min="7687" max="7687" width="14" style="157" customWidth="1"/>
    <col min="7688" max="7688" width="11" style="157" customWidth="1"/>
    <col min="7689" max="7936" width="11.42578125" style="157"/>
    <col min="7937" max="7937" width="4.7109375" style="157" customWidth="1"/>
    <col min="7938" max="7938" width="24" style="157" customWidth="1"/>
    <col min="7939" max="7940" width="15" style="157" customWidth="1"/>
    <col min="7941" max="7941" width="13.28515625" style="157" customWidth="1"/>
    <col min="7942" max="7942" width="12.7109375" style="157" customWidth="1"/>
    <col min="7943" max="7943" width="14" style="157" customWidth="1"/>
    <col min="7944" max="7944" width="11" style="157" customWidth="1"/>
    <col min="7945" max="8192" width="11.42578125" style="157"/>
    <col min="8193" max="8193" width="4.7109375" style="157" customWidth="1"/>
    <col min="8194" max="8194" width="24" style="157" customWidth="1"/>
    <col min="8195" max="8196" width="15" style="157" customWidth="1"/>
    <col min="8197" max="8197" width="13.28515625" style="157" customWidth="1"/>
    <col min="8198" max="8198" width="12.7109375" style="157" customWidth="1"/>
    <col min="8199" max="8199" width="14" style="157" customWidth="1"/>
    <col min="8200" max="8200" width="11" style="157" customWidth="1"/>
    <col min="8201" max="8448" width="11.42578125" style="157"/>
    <col min="8449" max="8449" width="4.7109375" style="157" customWidth="1"/>
    <col min="8450" max="8450" width="24" style="157" customWidth="1"/>
    <col min="8451" max="8452" width="15" style="157" customWidth="1"/>
    <col min="8453" max="8453" width="13.28515625" style="157" customWidth="1"/>
    <col min="8454" max="8454" width="12.7109375" style="157" customWidth="1"/>
    <col min="8455" max="8455" width="14" style="157" customWidth="1"/>
    <col min="8456" max="8456" width="11" style="157" customWidth="1"/>
    <col min="8457" max="8704" width="11.42578125" style="157"/>
    <col min="8705" max="8705" width="4.7109375" style="157" customWidth="1"/>
    <col min="8706" max="8706" width="24" style="157" customWidth="1"/>
    <col min="8707" max="8708" width="15" style="157" customWidth="1"/>
    <col min="8709" max="8709" width="13.28515625" style="157" customWidth="1"/>
    <col min="8710" max="8710" width="12.7109375" style="157" customWidth="1"/>
    <col min="8711" max="8711" width="14" style="157" customWidth="1"/>
    <col min="8712" max="8712" width="11" style="157" customWidth="1"/>
    <col min="8713" max="8960" width="11.42578125" style="157"/>
    <col min="8961" max="8961" width="4.7109375" style="157" customWidth="1"/>
    <col min="8962" max="8962" width="24" style="157" customWidth="1"/>
    <col min="8963" max="8964" width="15" style="157" customWidth="1"/>
    <col min="8965" max="8965" width="13.28515625" style="157" customWidth="1"/>
    <col min="8966" max="8966" width="12.7109375" style="157" customWidth="1"/>
    <col min="8967" max="8967" width="14" style="157" customWidth="1"/>
    <col min="8968" max="8968" width="11" style="157" customWidth="1"/>
    <col min="8969" max="9216" width="11.42578125" style="157"/>
    <col min="9217" max="9217" width="4.7109375" style="157" customWidth="1"/>
    <col min="9218" max="9218" width="24" style="157" customWidth="1"/>
    <col min="9219" max="9220" width="15" style="157" customWidth="1"/>
    <col min="9221" max="9221" width="13.28515625" style="157" customWidth="1"/>
    <col min="9222" max="9222" width="12.7109375" style="157" customWidth="1"/>
    <col min="9223" max="9223" width="14" style="157" customWidth="1"/>
    <col min="9224" max="9224" width="11" style="157" customWidth="1"/>
    <col min="9225" max="9472" width="11.42578125" style="157"/>
    <col min="9473" max="9473" width="4.7109375" style="157" customWidth="1"/>
    <col min="9474" max="9474" width="24" style="157" customWidth="1"/>
    <col min="9475" max="9476" width="15" style="157" customWidth="1"/>
    <col min="9477" max="9477" width="13.28515625" style="157" customWidth="1"/>
    <col min="9478" max="9478" width="12.7109375" style="157" customWidth="1"/>
    <col min="9479" max="9479" width="14" style="157" customWidth="1"/>
    <col min="9480" max="9480" width="11" style="157" customWidth="1"/>
    <col min="9481" max="9728" width="11.42578125" style="157"/>
    <col min="9729" max="9729" width="4.7109375" style="157" customWidth="1"/>
    <col min="9730" max="9730" width="24" style="157" customWidth="1"/>
    <col min="9731" max="9732" width="15" style="157" customWidth="1"/>
    <col min="9733" max="9733" width="13.28515625" style="157" customWidth="1"/>
    <col min="9734" max="9734" width="12.7109375" style="157" customWidth="1"/>
    <col min="9735" max="9735" width="14" style="157" customWidth="1"/>
    <col min="9736" max="9736" width="11" style="157" customWidth="1"/>
    <col min="9737" max="9984" width="11.42578125" style="157"/>
    <col min="9985" max="9985" width="4.7109375" style="157" customWidth="1"/>
    <col min="9986" max="9986" width="24" style="157" customWidth="1"/>
    <col min="9987" max="9988" width="15" style="157" customWidth="1"/>
    <col min="9989" max="9989" width="13.28515625" style="157" customWidth="1"/>
    <col min="9990" max="9990" width="12.7109375" style="157" customWidth="1"/>
    <col min="9991" max="9991" width="14" style="157" customWidth="1"/>
    <col min="9992" max="9992" width="11" style="157" customWidth="1"/>
    <col min="9993" max="10240" width="11.42578125" style="157"/>
    <col min="10241" max="10241" width="4.7109375" style="157" customWidth="1"/>
    <col min="10242" max="10242" width="24" style="157" customWidth="1"/>
    <col min="10243" max="10244" width="15" style="157" customWidth="1"/>
    <col min="10245" max="10245" width="13.28515625" style="157" customWidth="1"/>
    <col min="10246" max="10246" width="12.7109375" style="157" customWidth="1"/>
    <col min="10247" max="10247" width="14" style="157" customWidth="1"/>
    <col min="10248" max="10248" width="11" style="157" customWidth="1"/>
    <col min="10249" max="10496" width="11.42578125" style="157"/>
    <col min="10497" max="10497" width="4.7109375" style="157" customWidth="1"/>
    <col min="10498" max="10498" width="24" style="157" customWidth="1"/>
    <col min="10499" max="10500" width="15" style="157" customWidth="1"/>
    <col min="10501" max="10501" width="13.28515625" style="157" customWidth="1"/>
    <col min="10502" max="10502" width="12.7109375" style="157" customWidth="1"/>
    <col min="10503" max="10503" width="14" style="157" customWidth="1"/>
    <col min="10504" max="10504" width="11" style="157" customWidth="1"/>
    <col min="10505" max="10752" width="11.42578125" style="157"/>
    <col min="10753" max="10753" width="4.7109375" style="157" customWidth="1"/>
    <col min="10754" max="10754" width="24" style="157" customWidth="1"/>
    <col min="10755" max="10756" width="15" style="157" customWidth="1"/>
    <col min="10757" max="10757" width="13.28515625" style="157" customWidth="1"/>
    <col min="10758" max="10758" width="12.7109375" style="157" customWidth="1"/>
    <col min="10759" max="10759" width="14" style="157" customWidth="1"/>
    <col min="10760" max="10760" width="11" style="157" customWidth="1"/>
    <col min="10761" max="11008" width="11.42578125" style="157"/>
    <col min="11009" max="11009" width="4.7109375" style="157" customWidth="1"/>
    <col min="11010" max="11010" width="24" style="157" customWidth="1"/>
    <col min="11011" max="11012" width="15" style="157" customWidth="1"/>
    <col min="11013" max="11013" width="13.28515625" style="157" customWidth="1"/>
    <col min="11014" max="11014" width="12.7109375" style="157" customWidth="1"/>
    <col min="11015" max="11015" width="14" style="157" customWidth="1"/>
    <col min="11016" max="11016" width="11" style="157" customWidth="1"/>
    <col min="11017" max="11264" width="11.42578125" style="157"/>
    <col min="11265" max="11265" width="4.7109375" style="157" customWidth="1"/>
    <col min="11266" max="11266" width="24" style="157" customWidth="1"/>
    <col min="11267" max="11268" width="15" style="157" customWidth="1"/>
    <col min="11269" max="11269" width="13.28515625" style="157" customWidth="1"/>
    <col min="11270" max="11270" width="12.7109375" style="157" customWidth="1"/>
    <col min="11271" max="11271" width="14" style="157" customWidth="1"/>
    <col min="11272" max="11272" width="11" style="157" customWidth="1"/>
    <col min="11273" max="11520" width="11.42578125" style="157"/>
    <col min="11521" max="11521" width="4.7109375" style="157" customWidth="1"/>
    <col min="11522" max="11522" width="24" style="157" customWidth="1"/>
    <col min="11523" max="11524" width="15" style="157" customWidth="1"/>
    <col min="11525" max="11525" width="13.28515625" style="157" customWidth="1"/>
    <col min="11526" max="11526" width="12.7109375" style="157" customWidth="1"/>
    <col min="11527" max="11527" width="14" style="157" customWidth="1"/>
    <col min="11528" max="11528" width="11" style="157" customWidth="1"/>
    <col min="11529" max="11776" width="11.42578125" style="157"/>
    <col min="11777" max="11777" width="4.7109375" style="157" customWidth="1"/>
    <col min="11778" max="11778" width="24" style="157" customWidth="1"/>
    <col min="11779" max="11780" width="15" style="157" customWidth="1"/>
    <col min="11781" max="11781" width="13.28515625" style="157" customWidth="1"/>
    <col min="11782" max="11782" width="12.7109375" style="157" customWidth="1"/>
    <col min="11783" max="11783" width="14" style="157" customWidth="1"/>
    <col min="11784" max="11784" width="11" style="157" customWidth="1"/>
    <col min="11785" max="12032" width="11.42578125" style="157"/>
    <col min="12033" max="12033" width="4.7109375" style="157" customWidth="1"/>
    <col min="12034" max="12034" width="24" style="157" customWidth="1"/>
    <col min="12035" max="12036" width="15" style="157" customWidth="1"/>
    <col min="12037" max="12037" width="13.28515625" style="157" customWidth="1"/>
    <col min="12038" max="12038" width="12.7109375" style="157" customWidth="1"/>
    <col min="12039" max="12039" width="14" style="157" customWidth="1"/>
    <col min="12040" max="12040" width="11" style="157" customWidth="1"/>
    <col min="12041" max="12288" width="11.42578125" style="157"/>
    <col min="12289" max="12289" width="4.7109375" style="157" customWidth="1"/>
    <col min="12290" max="12290" width="24" style="157" customWidth="1"/>
    <col min="12291" max="12292" width="15" style="157" customWidth="1"/>
    <col min="12293" max="12293" width="13.28515625" style="157" customWidth="1"/>
    <col min="12294" max="12294" width="12.7109375" style="157" customWidth="1"/>
    <col min="12295" max="12295" width="14" style="157" customWidth="1"/>
    <col min="12296" max="12296" width="11" style="157" customWidth="1"/>
    <col min="12297" max="12544" width="11.42578125" style="157"/>
    <col min="12545" max="12545" width="4.7109375" style="157" customWidth="1"/>
    <col min="12546" max="12546" width="24" style="157" customWidth="1"/>
    <col min="12547" max="12548" width="15" style="157" customWidth="1"/>
    <col min="12549" max="12549" width="13.28515625" style="157" customWidth="1"/>
    <col min="12550" max="12550" width="12.7109375" style="157" customWidth="1"/>
    <col min="12551" max="12551" width="14" style="157" customWidth="1"/>
    <col min="12552" max="12552" width="11" style="157" customWidth="1"/>
    <col min="12553" max="12800" width="11.42578125" style="157"/>
    <col min="12801" max="12801" width="4.7109375" style="157" customWidth="1"/>
    <col min="12802" max="12802" width="24" style="157" customWidth="1"/>
    <col min="12803" max="12804" width="15" style="157" customWidth="1"/>
    <col min="12805" max="12805" width="13.28515625" style="157" customWidth="1"/>
    <col min="12806" max="12806" width="12.7109375" style="157" customWidth="1"/>
    <col min="12807" max="12807" width="14" style="157" customWidth="1"/>
    <col min="12808" max="12808" width="11" style="157" customWidth="1"/>
    <col min="12809" max="13056" width="11.42578125" style="157"/>
    <col min="13057" max="13057" width="4.7109375" style="157" customWidth="1"/>
    <col min="13058" max="13058" width="24" style="157" customWidth="1"/>
    <col min="13059" max="13060" width="15" style="157" customWidth="1"/>
    <col min="13061" max="13061" width="13.28515625" style="157" customWidth="1"/>
    <col min="13062" max="13062" width="12.7109375" style="157" customWidth="1"/>
    <col min="13063" max="13063" width="14" style="157" customWidth="1"/>
    <col min="13064" max="13064" width="11" style="157" customWidth="1"/>
    <col min="13065" max="13312" width="11.42578125" style="157"/>
    <col min="13313" max="13313" width="4.7109375" style="157" customWidth="1"/>
    <col min="13314" max="13314" width="24" style="157" customWidth="1"/>
    <col min="13315" max="13316" width="15" style="157" customWidth="1"/>
    <col min="13317" max="13317" width="13.28515625" style="157" customWidth="1"/>
    <col min="13318" max="13318" width="12.7109375" style="157" customWidth="1"/>
    <col min="13319" max="13319" width="14" style="157" customWidth="1"/>
    <col min="13320" max="13320" width="11" style="157" customWidth="1"/>
    <col min="13321" max="13568" width="11.42578125" style="157"/>
    <col min="13569" max="13569" width="4.7109375" style="157" customWidth="1"/>
    <col min="13570" max="13570" width="24" style="157" customWidth="1"/>
    <col min="13571" max="13572" width="15" style="157" customWidth="1"/>
    <col min="13573" max="13573" width="13.28515625" style="157" customWidth="1"/>
    <col min="13574" max="13574" width="12.7109375" style="157" customWidth="1"/>
    <col min="13575" max="13575" width="14" style="157" customWidth="1"/>
    <col min="13576" max="13576" width="11" style="157" customWidth="1"/>
    <col min="13577" max="13824" width="11.42578125" style="157"/>
    <col min="13825" max="13825" width="4.7109375" style="157" customWidth="1"/>
    <col min="13826" max="13826" width="24" style="157" customWidth="1"/>
    <col min="13827" max="13828" width="15" style="157" customWidth="1"/>
    <col min="13829" max="13829" width="13.28515625" style="157" customWidth="1"/>
    <col min="13830" max="13830" width="12.7109375" style="157" customWidth="1"/>
    <col min="13831" max="13831" width="14" style="157" customWidth="1"/>
    <col min="13832" max="13832" width="11" style="157" customWidth="1"/>
    <col min="13833" max="14080" width="11.42578125" style="157"/>
    <col min="14081" max="14081" width="4.7109375" style="157" customWidth="1"/>
    <col min="14082" max="14082" width="24" style="157" customWidth="1"/>
    <col min="14083" max="14084" width="15" style="157" customWidth="1"/>
    <col min="14085" max="14085" width="13.28515625" style="157" customWidth="1"/>
    <col min="14086" max="14086" width="12.7109375" style="157" customWidth="1"/>
    <col min="14087" max="14087" width="14" style="157" customWidth="1"/>
    <col min="14088" max="14088" width="11" style="157" customWidth="1"/>
    <col min="14089" max="14336" width="11.42578125" style="157"/>
    <col min="14337" max="14337" width="4.7109375" style="157" customWidth="1"/>
    <col min="14338" max="14338" width="24" style="157" customWidth="1"/>
    <col min="14339" max="14340" width="15" style="157" customWidth="1"/>
    <col min="14341" max="14341" width="13.28515625" style="157" customWidth="1"/>
    <col min="14342" max="14342" width="12.7109375" style="157" customWidth="1"/>
    <col min="14343" max="14343" width="14" style="157" customWidth="1"/>
    <col min="14344" max="14344" width="11" style="157" customWidth="1"/>
    <col min="14345" max="14592" width="11.42578125" style="157"/>
    <col min="14593" max="14593" width="4.7109375" style="157" customWidth="1"/>
    <col min="14594" max="14594" width="24" style="157" customWidth="1"/>
    <col min="14595" max="14596" width="15" style="157" customWidth="1"/>
    <col min="14597" max="14597" width="13.28515625" style="157" customWidth="1"/>
    <col min="14598" max="14598" width="12.7109375" style="157" customWidth="1"/>
    <col min="14599" max="14599" width="14" style="157" customWidth="1"/>
    <col min="14600" max="14600" width="11" style="157" customWidth="1"/>
    <col min="14601" max="14848" width="11.42578125" style="157"/>
    <col min="14849" max="14849" width="4.7109375" style="157" customWidth="1"/>
    <col min="14850" max="14850" width="24" style="157" customWidth="1"/>
    <col min="14851" max="14852" width="15" style="157" customWidth="1"/>
    <col min="14853" max="14853" width="13.28515625" style="157" customWidth="1"/>
    <col min="14854" max="14854" width="12.7109375" style="157" customWidth="1"/>
    <col min="14855" max="14855" width="14" style="157" customWidth="1"/>
    <col min="14856" max="14856" width="11" style="157" customWidth="1"/>
    <col min="14857" max="15104" width="11.42578125" style="157"/>
    <col min="15105" max="15105" width="4.7109375" style="157" customWidth="1"/>
    <col min="15106" max="15106" width="24" style="157" customWidth="1"/>
    <col min="15107" max="15108" width="15" style="157" customWidth="1"/>
    <col min="15109" max="15109" width="13.28515625" style="157" customWidth="1"/>
    <col min="15110" max="15110" width="12.7109375" style="157" customWidth="1"/>
    <col min="15111" max="15111" width="14" style="157" customWidth="1"/>
    <col min="15112" max="15112" width="11" style="157" customWidth="1"/>
    <col min="15113" max="15360" width="11.42578125" style="157"/>
    <col min="15361" max="15361" width="4.7109375" style="157" customWidth="1"/>
    <col min="15362" max="15362" width="24" style="157" customWidth="1"/>
    <col min="15363" max="15364" width="15" style="157" customWidth="1"/>
    <col min="15365" max="15365" width="13.28515625" style="157" customWidth="1"/>
    <col min="15366" max="15366" width="12.7109375" style="157" customWidth="1"/>
    <col min="15367" max="15367" width="14" style="157" customWidth="1"/>
    <col min="15368" max="15368" width="11" style="157" customWidth="1"/>
    <col min="15369" max="15616" width="11.42578125" style="157"/>
    <col min="15617" max="15617" width="4.7109375" style="157" customWidth="1"/>
    <col min="15618" max="15618" width="24" style="157" customWidth="1"/>
    <col min="15619" max="15620" width="15" style="157" customWidth="1"/>
    <col min="15621" max="15621" width="13.28515625" style="157" customWidth="1"/>
    <col min="15622" max="15622" width="12.7109375" style="157" customWidth="1"/>
    <col min="15623" max="15623" width="14" style="157" customWidth="1"/>
    <col min="15624" max="15624" width="11" style="157" customWidth="1"/>
    <col min="15625" max="15872" width="11.42578125" style="157"/>
    <col min="15873" max="15873" width="4.7109375" style="157" customWidth="1"/>
    <col min="15874" max="15874" width="24" style="157" customWidth="1"/>
    <col min="15875" max="15876" width="15" style="157" customWidth="1"/>
    <col min="15877" max="15877" width="13.28515625" style="157" customWidth="1"/>
    <col min="15878" max="15878" width="12.7109375" style="157" customWidth="1"/>
    <col min="15879" max="15879" width="14" style="157" customWidth="1"/>
    <col min="15880" max="15880" width="11" style="157" customWidth="1"/>
    <col min="15881" max="16128" width="11.42578125" style="157"/>
    <col min="16129" max="16129" width="4.7109375" style="157" customWidth="1"/>
    <col min="16130" max="16130" width="24" style="157" customWidth="1"/>
    <col min="16131" max="16132" width="15" style="157" customWidth="1"/>
    <col min="16133" max="16133" width="13.28515625" style="157" customWidth="1"/>
    <col min="16134" max="16134" width="12.7109375" style="157" customWidth="1"/>
    <col min="16135" max="16135" width="14" style="157" customWidth="1"/>
    <col min="16136" max="16136" width="11" style="157" customWidth="1"/>
    <col min="16137" max="16384" width="11.42578125" style="157"/>
  </cols>
  <sheetData>
    <row r="2" spans="1:20" ht="18" x14ac:dyDescent="0.25">
      <c r="A2" s="159" t="s">
        <v>241</v>
      </c>
      <c r="C2" s="160"/>
      <c r="D2" s="160"/>
      <c r="E2" s="160"/>
      <c r="F2" s="160"/>
      <c r="G2" s="160"/>
      <c r="H2" s="160"/>
    </row>
    <row r="4" spans="1:20" x14ac:dyDescent="0.2">
      <c r="B4" s="217" t="s">
        <v>242</v>
      </c>
    </row>
    <row r="5" spans="1:20" ht="13.5" thickBot="1" x14ac:dyDescent="0.25"/>
    <row r="6" spans="1:20" x14ac:dyDescent="0.2">
      <c r="B6" s="1349" t="s">
        <v>132</v>
      </c>
      <c r="C6" s="1354" t="s">
        <v>243</v>
      </c>
      <c r="D6" s="1384"/>
      <c r="E6" s="1384"/>
      <c r="F6" s="1384"/>
      <c r="G6" s="1384"/>
      <c r="H6" s="1394"/>
    </row>
    <row r="7" spans="1:20" x14ac:dyDescent="0.2">
      <c r="B7" s="1350"/>
      <c r="C7" s="1655" t="s">
        <v>244</v>
      </c>
      <c r="D7" s="1656"/>
      <c r="E7" s="1656"/>
      <c r="F7" s="1656"/>
      <c r="G7" s="1656"/>
      <c r="H7" s="1657"/>
    </row>
    <row r="8" spans="1:20" x14ac:dyDescent="0.2">
      <c r="B8" s="177"/>
      <c r="C8" s="1658" t="s">
        <v>151</v>
      </c>
      <c r="D8" s="1659">
        <v>500</v>
      </c>
      <c r="E8" s="1660">
        <v>220</v>
      </c>
      <c r="F8" s="1661">
        <v>138</v>
      </c>
      <c r="G8" s="1661" t="s">
        <v>245</v>
      </c>
      <c r="H8" s="1662" t="s">
        <v>246</v>
      </c>
    </row>
    <row r="9" spans="1:20" x14ac:dyDescent="0.2">
      <c r="B9" s="780"/>
      <c r="C9" s="781"/>
      <c r="D9" s="781"/>
      <c r="E9" s="782"/>
      <c r="F9" s="783"/>
      <c r="G9" s="783"/>
      <c r="H9" s="784"/>
    </row>
    <row r="10" spans="1:20" x14ac:dyDescent="0.2">
      <c r="B10" s="1221">
        <v>1995</v>
      </c>
      <c r="C10" s="1663">
        <f>SUM(E10:H10)</f>
        <v>9131.5360000000001</v>
      </c>
      <c r="D10" s="1663"/>
      <c r="E10" s="1664">
        <v>3129.692</v>
      </c>
      <c r="F10" s="1665">
        <v>1872.9719999999998</v>
      </c>
      <c r="G10" s="1665">
        <v>3030.6320000000001</v>
      </c>
      <c r="H10" s="1666">
        <v>1098.24</v>
      </c>
      <c r="I10" s="163"/>
      <c r="J10" s="201"/>
    </row>
    <row r="11" spans="1:20" x14ac:dyDescent="0.2">
      <c r="B11" s="791">
        <v>1996</v>
      </c>
      <c r="C11" s="792">
        <f t="shared" ref="C11:C25" si="0">SUM(E11:H11)</f>
        <v>9410.0730000000003</v>
      </c>
      <c r="D11" s="792"/>
      <c r="E11" s="793">
        <v>3129.692</v>
      </c>
      <c r="F11" s="794">
        <v>1872.9719999999998</v>
      </c>
      <c r="G11" s="794">
        <v>3277.7189999999996</v>
      </c>
      <c r="H11" s="795">
        <v>1129.69</v>
      </c>
      <c r="I11" s="163"/>
      <c r="J11" s="201"/>
    </row>
    <row r="12" spans="1:20" x14ac:dyDescent="0.2">
      <c r="B12" s="1221">
        <v>1997</v>
      </c>
      <c r="C12" s="1663">
        <f t="shared" si="0"/>
        <v>10824.466</v>
      </c>
      <c r="D12" s="1663"/>
      <c r="E12" s="1664">
        <v>3625.4960000000001</v>
      </c>
      <c r="F12" s="1665">
        <v>2240.8330000000005</v>
      </c>
      <c r="G12" s="1665">
        <v>3629.1389999999992</v>
      </c>
      <c r="H12" s="1666">
        <v>1328.998</v>
      </c>
      <c r="I12" s="163"/>
      <c r="J12" s="201"/>
    </row>
    <row r="13" spans="1:20" x14ac:dyDescent="0.2">
      <c r="B13" s="791">
        <v>1998</v>
      </c>
      <c r="C13" s="792">
        <f t="shared" si="0"/>
        <v>11328.207999999999</v>
      </c>
      <c r="D13" s="792"/>
      <c r="E13" s="793">
        <v>3625.4960000000001</v>
      </c>
      <c r="F13" s="794">
        <v>2410.5329999999999</v>
      </c>
      <c r="G13" s="794">
        <v>3894.5229999999988</v>
      </c>
      <c r="H13" s="795">
        <v>1397.6559999999999</v>
      </c>
      <c r="I13" s="163"/>
      <c r="J13" s="201"/>
      <c r="O13" s="773" t="s">
        <v>244</v>
      </c>
      <c r="P13" s="774"/>
      <c r="Q13" s="775"/>
      <c r="R13" s="775"/>
      <c r="S13" s="775"/>
      <c r="T13" s="775"/>
    </row>
    <row r="14" spans="1:20" x14ac:dyDescent="0.2">
      <c r="B14" s="1221">
        <v>1999</v>
      </c>
      <c r="C14" s="1663">
        <f t="shared" si="0"/>
        <v>12527.669999999998</v>
      </c>
      <c r="D14" s="1663"/>
      <c r="E14" s="1664">
        <v>3996.306</v>
      </c>
      <c r="F14" s="1665">
        <v>2920.413</v>
      </c>
      <c r="G14" s="1665">
        <v>4189.570999999999</v>
      </c>
      <c r="H14" s="1666">
        <v>1421.38</v>
      </c>
      <c r="I14" s="163"/>
      <c r="J14" s="201"/>
      <c r="O14" s="776" t="s">
        <v>151</v>
      </c>
      <c r="P14" s="777">
        <v>500</v>
      </c>
      <c r="Q14" s="778">
        <v>220</v>
      </c>
      <c r="R14" s="777">
        <v>138</v>
      </c>
      <c r="S14" s="779" t="s">
        <v>245</v>
      </c>
      <c r="T14" s="778" t="s">
        <v>246</v>
      </c>
    </row>
    <row r="15" spans="1:20" x14ac:dyDescent="0.2">
      <c r="B15" s="791">
        <v>2000</v>
      </c>
      <c r="C15" s="792">
        <f t="shared" si="0"/>
        <v>13656.000090000001</v>
      </c>
      <c r="D15" s="792"/>
      <c r="E15" s="793">
        <v>4860.0660900000003</v>
      </c>
      <c r="F15" s="794">
        <v>3135.1529999999998</v>
      </c>
      <c r="G15" s="794">
        <v>4213.37</v>
      </c>
      <c r="H15" s="795">
        <v>1447.4109999999998</v>
      </c>
      <c r="I15" s="163"/>
      <c r="J15" s="201"/>
      <c r="O15" s="785"/>
      <c r="P15" s="786"/>
      <c r="Q15" s="787"/>
      <c r="R15" s="788"/>
      <c r="S15" s="788"/>
      <c r="T15" s="787"/>
    </row>
    <row r="16" spans="1:20" x14ac:dyDescent="0.2">
      <c r="B16" s="1221">
        <v>2001</v>
      </c>
      <c r="C16" s="1663">
        <f t="shared" si="0"/>
        <v>14260.63609</v>
      </c>
      <c r="D16" s="1663"/>
      <c r="E16" s="1664">
        <v>5318.1030899999996</v>
      </c>
      <c r="F16" s="1665">
        <v>3183.0039999999999</v>
      </c>
      <c r="G16" s="1665">
        <v>4309.5889999999999</v>
      </c>
      <c r="H16" s="1666">
        <v>1449.94</v>
      </c>
      <c r="I16" s="163"/>
      <c r="J16" s="201"/>
      <c r="N16" s="157">
        <f t="shared" ref="N16:N36" si="1">+B10</f>
        <v>1995</v>
      </c>
      <c r="O16" s="789">
        <f t="shared" ref="O16:O33" si="2">SUM(P16:T16)</f>
        <v>9131.5360000000001</v>
      </c>
      <c r="P16" s="790">
        <f t="shared" ref="P16:T31" si="3">+D10</f>
        <v>0</v>
      </c>
      <c r="Q16" s="790">
        <f t="shared" si="3"/>
        <v>3129.692</v>
      </c>
      <c r="R16" s="790">
        <f t="shared" si="3"/>
        <v>1872.9719999999998</v>
      </c>
      <c r="S16" s="790">
        <f t="shared" si="3"/>
        <v>3030.6320000000001</v>
      </c>
      <c r="T16" s="790">
        <f t="shared" si="3"/>
        <v>1098.24</v>
      </c>
    </row>
    <row r="17" spans="2:20" x14ac:dyDescent="0.2">
      <c r="B17" s="791">
        <v>2002</v>
      </c>
      <c r="C17" s="792">
        <f t="shared" si="0"/>
        <v>14678.775089999999</v>
      </c>
      <c r="D17" s="792"/>
      <c r="E17" s="793">
        <v>5558.6770900000001</v>
      </c>
      <c r="F17" s="794">
        <v>3331.1639999999998</v>
      </c>
      <c r="G17" s="794">
        <v>4334.5889999999999</v>
      </c>
      <c r="H17" s="795">
        <v>1454.345</v>
      </c>
      <c r="I17" s="163"/>
      <c r="J17" s="201"/>
      <c r="N17" s="157">
        <f t="shared" si="1"/>
        <v>1996</v>
      </c>
      <c r="O17" s="789">
        <f t="shared" si="2"/>
        <v>9410.0730000000003</v>
      </c>
      <c r="P17" s="790">
        <f t="shared" si="3"/>
        <v>0</v>
      </c>
      <c r="Q17" s="790">
        <f t="shared" si="3"/>
        <v>3129.692</v>
      </c>
      <c r="R17" s="790">
        <f t="shared" si="3"/>
        <v>1872.9719999999998</v>
      </c>
      <c r="S17" s="790">
        <f t="shared" si="3"/>
        <v>3277.7189999999996</v>
      </c>
      <c r="T17" s="790">
        <f t="shared" si="3"/>
        <v>1129.69</v>
      </c>
    </row>
    <row r="18" spans="2:20" x14ac:dyDescent="0.2">
      <c r="B18" s="1221">
        <v>2003</v>
      </c>
      <c r="C18" s="1663">
        <f>SUM(E18:H18)</f>
        <v>14692.997089999999</v>
      </c>
      <c r="D18" s="1663"/>
      <c r="E18" s="1664">
        <v>5558.6770900000001</v>
      </c>
      <c r="F18" s="1665">
        <v>3338.1639999999998</v>
      </c>
      <c r="G18" s="1665">
        <v>4335.3109999999997</v>
      </c>
      <c r="H18" s="1666">
        <v>1460.845</v>
      </c>
      <c r="I18" s="163"/>
      <c r="J18" s="201"/>
      <c r="N18" s="157">
        <f t="shared" si="1"/>
        <v>1997</v>
      </c>
      <c r="O18" s="789">
        <f t="shared" si="2"/>
        <v>10824.466</v>
      </c>
      <c r="P18" s="790">
        <f t="shared" si="3"/>
        <v>0</v>
      </c>
      <c r="Q18" s="790">
        <f t="shared" si="3"/>
        <v>3625.4960000000001</v>
      </c>
      <c r="R18" s="790">
        <f t="shared" si="3"/>
        <v>2240.8330000000005</v>
      </c>
      <c r="S18" s="790">
        <f t="shared" si="3"/>
        <v>3629.1389999999992</v>
      </c>
      <c r="T18" s="790">
        <f t="shared" si="3"/>
        <v>1328.998</v>
      </c>
    </row>
    <row r="19" spans="2:20" x14ac:dyDescent="0.2">
      <c r="B19" s="791">
        <v>2004</v>
      </c>
      <c r="C19" s="792">
        <f t="shared" si="0"/>
        <v>14856.66409</v>
      </c>
      <c r="D19" s="792"/>
      <c r="E19" s="793">
        <v>5613.9770900000003</v>
      </c>
      <c r="F19" s="794">
        <v>3337.61</v>
      </c>
      <c r="G19" s="794">
        <v>4335.3109999999997</v>
      </c>
      <c r="H19" s="795">
        <v>1569.7659999999996</v>
      </c>
      <c r="I19" s="163"/>
      <c r="J19" s="201"/>
      <c r="N19" s="157">
        <f t="shared" si="1"/>
        <v>1998</v>
      </c>
      <c r="O19" s="789">
        <f t="shared" si="2"/>
        <v>11328.207999999999</v>
      </c>
      <c r="P19" s="790">
        <f t="shared" si="3"/>
        <v>0</v>
      </c>
      <c r="Q19" s="790">
        <f t="shared" si="3"/>
        <v>3625.4960000000001</v>
      </c>
      <c r="R19" s="790">
        <f t="shared" si="3"/>
        <v>2410.5329999999999</v>
      </c>
      <c r="S19" s="790">
        <f t="shared" si="3"/>
        <v>3894.5229999999988</v>
      </c>
      <c r="T19" s="790">
        <f t="shared" si="3"/>
        <v>1397.6559999999999</v>
      </c>
    </row>
    <row r="20" spans="2:20" x14ac:dyDescent="0.2">
      <c r="B20" s="1221">
        <v>2005</v>
      </c>
      <c r="C20" s="1663">
        <f t="shared" si="0"/>
        <v>15271.97709</v>
      </c>
      <c r="D20" s="1663"/>
      <c r="E20" s="1664">
        <v>5613.9770900000003</v>
      </c>
      <c r="F20" s="1665">
        <v>3435</v>
      </c>
      <c r="G20" s="1665">
        <v>4678</v>
      </c>
      <c r="H20" s="1666">
        <v>1545</v>
      </c>
      <c r="I20" s="163"/>
      <c r="J20" s="201"/>
      <c r="N20" s="157">
        <f t="shared" si="1"/>
        <v>1999</v>
      </c>
      <c r="O20" s="789">
        <f t="shared" si="2"/>
        <v>12527.669999999998</v>
      </c>
      <c r="P20" s="790">
        <f t="shared" si="3"/>
        <v>0</v>
      </c>
      <c r="Q20" s="790">
        <f t="shared" si="3"/>
        <v>3996.306</v>
      </c>
      <c r="R20" s="790">
        <f t="shared" si="3"/>
        <v>2920.413</v>
      </c>
      <c r="S20" s="790">
        <f t="shared" si="3"/>
        <v>4189.570999999999</v>
      </c>
      <c r="T20" s="790">
        <f t="shared" si="3"/>
        <v>1421.38</v>
      </c>
    </row>
    <row r="21" spans="2:20" x14ac:dyDescent="0.2">
      <c r="B21" s="791">
        <v>2006</v>
      </c>
      <c r="C21" s="792">
        <f t="shared" si="0"/>
        <v>15688.071089999998</v>
      </c>
      <c r="D21" s="792"/>
      <c r="E21" s="793">
        <v>5664.0870899999991</v>
      </c>
      <c r="F21" s="794">
        <v>3636.3779999999997</v>
      </c>
      <c r="G21" s="794">
        <v>4841.8579999999993</v>
      </c>
      <c r="H21" s="795">
        <v>1545.7479999999998</v>
      </c>
      <c r="I21" s="163"/>
      <c r="J21" s="201"/>
      <c r="N21" s="157">
        <f t="shared" si="1"/>
        <v>2000</v>
      </c>
      <c r="O21" s="789">
        <f t="shared" si="2"/>
        <v>13656.000090000001</v>
      </c>
      <c r="P21" s="790">
        <f t="shared" si="3"/>
        <v>0</v>
      </c>
      <c r="Q21" s="790">
        <f t="shared" si="3"/>
        <v>4860.0660900000003</v>
      </c>
      <c r="R21" s="790">
        <f t="shared" si="3"/>
        <v>3135.1529999999998</v>
      </c>
      <c r="S21" s="790">
        <f t="shared" si="3"/>
        <v>4213.37</v>
      </c>
      <c r="T21" s="790">
        <f t="shared" si="3"/>
        <v>1447.4109999999998</v>
      </c>
    </row>
    <row r="22" spans="2:20" x14ac:dyDescent="0.2">
      <c r="B22" s="1221">
        <v>2007</v>
      </c>
      <c r="C22" s="1663">
        <f t="shared" si="0"/>
        <v>15711.891089999997</v>
      </c>
      <c r="D22" s="1663"/>
      <c r="E22" s="1664">
        <v>5676.9770899999985</v>
      </c>
      <c r="F22" s="1665">
        <v>3636.3779999999997</v>
      </c>
      <c r="G22" s="1665">
        <v>4852.7879999999996</v>
      </c>
      <c r="H22" s="1666">
        <v>1545.7479999999998</v>
      </c>
      <c r="I22" s="163"/>
      <c r="J22" s="201"/>
      <c r="N22" s="157">
        <f t="shared" si="1"/>
        <v>2001</v>
      </c>
      <c r="O22" s="789">
        <f t="shared" si="2"/>
        <v>14260.63609</v>
      </c>
      <c r="P22" s="790">
        <f t="shared" si="3"/>
        <v>0</v>
      </c>
      <c r="Q22" s="790">
        <f t="shared" si="3"/>
        <v>5318.1030899999996</v>
      </c>
      <c r="R22" s="790">
        <f t="shared" si="3"/>
        <v>3183.0039999999999</v>
      </c>
      <c r="S22" s="790">
        <f t="shared" si="3"/>
        <v>4309.5889999999999</v>
      </c>
      <c r="T22" s="790">
        <f t="shared" si="3"/>
        <v>1449.94</v>
      </c>
    </row>
    <row r="23" spans="2:20" x14ac:dyDescent="0.2">
      <c r="B23" s="791">
        <v>2008</v>
      </c>
      <c r="C23" s="792">
        <f t="shared" si="0"/>
        <v>15755.003089999998</v>
      </c>
      <c r="D23" s="792"/>
      <c r="E23" s="793">
        <v>5710.7150899999997</v>
      </c>
      <c r="F23" s="794">
        <v>3636.3779999999992</v>
      </c>
      <c r="G23" s="794">
        <v>4862.1620000000003</v>
      </c>
      <c r="H23" s="795">
        <v>1545.7479999999998</v>
      </c>
      <c r="I23" s="163"/>
      <c r="J23" s="201"/>
      <c r="N23" s="157">
        <f t="shared" si="1"/>
        <v>2002</v>
      </c>
      <c r="O23" s="789">
        <f t="shared" si="2"/>
        <v>14678.775089999999</v>
      </c>
      <c r="P23" s="790">
        <f t="shared" si="3"/>
        <v>0</v>
      </c>
      <c r="Q23" s="790">
        <f t="shared" si="3"/>
        <v>5558.6770900000001</v>
      </c>
      <c r="R23" s="790">
        <f t="shared" si="3"/>
        <v>3331.1639999999998</v>
      </c>
      <c r="S23" s="790">
        <f t="shared" si="3"/>
        <v>4334.5889999999999</v>
      </c>
      <c r="T23" s="790">
        <f t="shared" si="3"/>
        <v>1454.345</v>
      </c>
    </row>
    <row r="24" spans="2:20" x14ac:dyDescent="0.2">
      <c r="B24" s="1221">
        <v>2009</v>
      </c>
      <c r="C24" s="1663">
        <f t="shared" si="0"/>
        <v>16319.401089999999</v>
      </c>
      <c r="D24" s="1663"/>
      <c r="E24" s="1664">
        <v>5714.2660900000001</v>
      </c>
      <c r="F24" s="1665">
        <v>4057.0279999999998</v>
      </c>
      <c r="G24" s="1665">
        <v>4992.9470000000001</v>
      </c>
      <c r="H24" s="1666">
        <v>1555.16</v>
      </c>
      <c r="I24" s="163"/>
      <c r="J24" s="201"/>
      <c r="N24" s="157">
        <f t="shared" si="1"/>
        <v>2003</v>
      </c>
      <c r="O24" s="789">
        <f t="shared" si="2"/>
        <v>14692.997089999999</v>
      </c>
      <c r="P24" s="790">
        <f t="shared" si="3"/>
        <v>0</v>
      </c>
      <c r="Q24" s="790">
        <f t="shared" si="3"/>
        <v>5558.6770900000001</v>
      </c>
      <c r="R24" s="790">
        <f t="shared" si="3"/>
        <v>3338.1639999999998</v>
      </c>
      <c r="S24" s="790">
        <f t="shared" si="3"/>
        <v>4335.3109999999997</v>
      </c>
      <c r="T24" s="790">
        <f t="shared" si="3"/>
        <v>1460.845</v>
      </c>
    </row>
    <row r="25" spans="2:20" x14ac:dyDescent="0.2">
      <c r="B25" s="791">
        <v>2010</v>
      </c>
      <c r="C25" s="792">
        <f t="shared" si="0"/>
        <v>17064.863289999998</v>
      </c>
      <c r="D25" s="792"/>
      <c r="E25" s="793">
        <v>5862.5670899999986</v>
      </c>
      <c r="F25" s="794">
        <v>4252.0780000000004</v>
      </c>
      <c r="G25" s="794">
        <v>5204.0582000000004</v>
      </c>
      <c r="H25" s="795">
        <v>1746.1599999999999</v>
      </c>
      <c r="I25" s="163"/>
      <c r="J25" s="201"/>
      <c r="N25" s="157">
        <f t="shared" si="1"/>
        <v>2004</v>
      </c>
      <c r="O25" s="789">
        <f t="shared" si="2"/>
        <v>14856.66409</v>
      </c>
      <c r="P25" s="790">
        <f t="shared" si="3"/>
        <v>0</v>
      </c>
      <c r="Q25" s="790">
        <f t="shared" si="3"/>
        <v>5613.9770900000003</v>
      </c>
      <c r="R25" s="790">
        <f t="shared" si="3"/>
        <v>3337.61</v>
      </c>
      <c r="S25" s="790">
        <f t="shared" si="3"/>
        <v>4335.3109999999997</v>
      </c>
      <c r="T25" s="790">
        <f t="shared" si="3"/>
        <v>1569.7659999999996</v>
      </c>
    </row>
    <row r="26" spans="2:20" x14ac:dyDescent="0.2">
      <c r="B26" s="1221" t="s">
        <v>247</v>
      </c>
      <c r="C26" s="1663">
        <f>SUM(D26:H26)</f>
        <v>18833.281290000003</v>
      </c>
      <c r="D26" s="1663">
        <v>89.9</v>
      </c>
      <c r="E26" s="1664">
        <v>7105.9870899999996</v>
      </c>
      <c r="F26" s="1665">
        <v>4277.8440000000001</v>
      </c>
      <c r="G26" s="1665">
        <v>5607.8222000000023</v>
      </c>
      <c r="H26" s="1666">
        <v>1751.7279999999994</v>
      </c>
      <c r="I26" s="163"/>
      <c r="J26" s="201"/>
      <c r="N26" s="157">
        <f t="shared" si="1"/>
        <v>2005</v>
      </c>
      <c r="O26" s="789">
        <f t="shared" si="2"/>
        <v>15271.97709</v>
      </c>
      <c r="P26" s="790">
        <f t="shared" si="3"/>
        <v>0</v>
      </c>
      <c r="Q26" s="790">
        <f t="shared" si="3"/>
        <v>5613.9770900000003</v>
      </c>
      <c r="R26" s="790">
        <f t="shared" si="3"/>
        <v>3435</v>
      </c>
      <c r="S26" s="790">
        <f t="shared" si="3"/>
        <v>4678</v>
      </c>
      <c r="T26" s="790">
        <f t="shared" si="3"/>
        <v>1545</v>
      </c>
    </row>
    <row r="27" spans="2:20" x14ac:dyDescent="0.2">
      <c r="B27" s="791">
        <v>2012</v>
      </c>
      <c r="C27" s="792">
        <f>SUM(D27:H27)</f>
        <v>19935.758290000002</v>
      </c>
      <c r="D27" s="792">
        <v>611.9</v>
      </c>
      <c r="E27" s="793">
        <v>7459.7680899999996</v>
      </c>
      <c r="F27" s="794">
        <v>4285.6540000000005</v>
      </c>
      <c r="G27" s="794">
        <v>5782.9882000000034</v>
      </c>
      <c r="H27" s="795">
        <v>1795.4479999999992</v>
      </c>
      <c r="I27" s="163"/>
      <c r="J27" s="201"/>
      <c r="N27" s="157">
        <f t="shared" si="1"/>
        <v>2006</v>
      </c>
      <c r="O27" s="789">
        <f t="shared" si="2"/>
        <v>15688.071089999998</v>
      </c>
      <c r="P27" s="790">
        <f t="shared" si="3"/>
        <v>0</v>
      </c>
      <c r="Q27" s="790">
        <f t="shared" si="3"/>
        <v>5664.0870899999991</v>
      </c>
      <c r="R27" s="790">
        <f t="shared" si="3"/>
        <v>3636.3779999999997</v>
      </c>
      <c r="S27" s="790">
        <f t="shared" si="3"/>
        <v>4841.8579999999993</v>
      </c>
      <c r="T27" s="790">
        <f t="shared" si="3"/>
        <v>1545.7479999999998</v>
      </c>
    </row>
    <row r="28" spans="2:20" x14ac:dyDescent="0.2">
      <c r="B28" s="1221">
        <v>2013</v>
      </c>
      <c r="C28" s="1663">
        <f>SUM(D28:H28)</f>
        <v>20585.119200000001</v>
      </c>
      <c r="D28" s="1663">
        <v>621.86</v>
      </c>
      <c r="E28" s="1664">
        <v>7841.6769999999997</v>
      </c>
      <c r="F28" s="1665">
        <v>4416.9339999999993</v>
      </c>
      <c r="G28" s="1665">
        <v>5907.1522000000004</v>
      </c>
      <c r="H28" s="1666">
        <v>1797.4960000000001</v>
      </c>
      <c r="I28" s="163"/>
      <c r="J28" s="201"/>
      <c r="N28" s="216">
        <f t="shared" si="1"/>
        <v>2007</v>
      </c>
      <c r="O28" s="789">
        <f t="shared" si="2"/>
        <v>15711.891089999997</v>
      </c>
      <c r="P28" s="790">
        <f t="shared" si="3"/>
        <v>0</v>
      </c>
      <c r="Q28" s="790">
        <f t="shared" si="3"/>
        <v>5676.9770899999985</v>
      </c>
      <c r="R28" s="790">
        <f t="shared" si="3"/>
        <v>3636.3779999999997</v>
      </c>
      <c r="S28" s="790">
        <f t="shared" si="3"/>
        <v>4852.7879999999996</v>
      </c>
      <c r="T28" s="790">
        <f t="shared" si="3"/>
        <v>1545.7479999999998</v>
      </c>
    </row>
    <row r="29" spans="2:20" x14ac:dyDescent="0.2">
      <c r="B29" s="796">
        <v>2014</v>
      </c>
      <c r="C29" s="792">
        <f>SUM(D29:H29)</f>
        <v>21589.042330000004</v>
      </c>
      <c r="D29" s="792">
        <v>1838.46</v>
      </c>
      <c r="E29" s="793">
        <v>8240.8355100000008</v>
      </c>
      <c r="F29" s="794">
        <v>4368.3289000000004</v>
      </c>
      <c r="G29" s="794">
        <v>4888.8531000000021</v>
      </c>
      <c r="H29" s="795">
        <v>2252.5648200000005</v>
      </c>
      <c r="I29" s="163"/>
      <c r="J29" s="201"/>
      <c r="N29" s="216">
        <f t="shared" si="1"/>
        <v>2008</v>
      </c>
      <c r="O29" s="789">
        <f t="shared" si="2"/>
        <v>15755.003089999998</v>
      </c>
      <c r="P29" s="790">
        <f t="shared" si="3"/>
        <v>0</v>
      </c>
      <c r="Q29" s="790">
        <f t="shared" si="3"/>
        <v>5710.7150899999997</v>
      </c>
      <c r="R29" s="790">
        <f t="shared" si="3"/>
        <v>3636.3779999999992</v>
      </c>
      <c r="S29" s="790">
        <f t="shared" si="3"/>
        <v>4862.1620000000003</v>
      </c>
      <c r="T29" s="790">
        <f t="shared" si="3"/>
        <v>1545.7479999999998</v>
      </c>
    </row>
    <row r="30" spans="2:20" x14ac:dyDescent="0.2">
      <c r="B30" s="1221" t="s">
        <v>136</v>
      </c>
      <c r="C30" s="1663">
        <f>SUM(D30:H30)</f>
        <v>22098.072</v>
      </c>
      <c r="D30" s="1663">
        <v>1838.46</v>
      </c>
      <c r="E30" s="1664">
        <v>8665.1200000000008</v>
      </c>
      <c r="F30" s="1665">
        <v>4368.78</v>
      </c>
      <c r="G30" s="1665">
        <v>4947.1499999999996</v>
      </c>
      <c r="H30" s="1666">
        <v>2278.5619999999999</v>
      </c>
      <c r="I30" s="163"/>
      <c r="J30" s="201"/>
      <c r="N30" s="216">
        <f t="shared" si="1"/>
        <v>2009</v>
      </c>
      <c r="O30" s="789">
        <f t="shared" si="2"/>
        <v>16319.401089999999</v>
      </c>
      <c r="P30" s="790">
        <f t="shared" si="3"/>
        <v>0</v>
      </c>
      <c r="Q30" s="790">
        <f t="shared" si="3"/>
        <v>5714.2660900000001</v>
      </c>
      <c r="R30" s="790">
        <f t="shared" si="3"/>
        <v>4057.0279999999998</v>
      </c>
      <c r="S30" s="790">
        <f t="shared" si="3"/>
        <v>4992.9470000000001</v>
      </c>
      <c r="T30" s="790">
        <f t="shared" si="3"/>
        <v>1555.16</v>
      </c>
    </row>
    <row r="31" spans="2:20" ht="13.5" thickBot="1" x14ac:dyDescent="0.25">
      <c r="B31" s="796"/>
      <c r="C31" s="792"/>
      <c r="D31" s="792"/>
      <c r="E31" s="793"/>
      <c r="F31" s="794"/>
      <c r="G31" s="794"/>
      <c r="H31" s="795"/>
      <c r="I31" s="163"/>
      <c r="J31" s="201"/>
      <c r="N31" s="216">
        <f t="shared" si="1"/>
        <v>2010</v>
      </c>
      <c r="O31" s="789">
        <f t="shared" si="2"/>
        <v>17064.863289999998</v>
      </c>
      <c r="P31" s="790">
        <f t="shared" si="3"/>
        <v>0</v>
      </c>
      <c r="Q31" s="790">
        <f t="shared" si="3"/>
        <v>5862.5670899999986</v>
      </c>
      <c r="R31" s="790">
        <f t="shared" si="3"/>
        <v>4252.0780000000004</v>
      </c>
      <c r="S31" s="790">
        <f t="shared" si="3"/>
        <v>5204.0582000000004</v>
      </c>
      <c r="T31" s="790">
        <f t="shared" si="3"/>
        <v>1746.1599999999999</v>
      </c>
    </row>
    <row r="32" spans="2:20" x14ac:dyDescent="0.2">
      <c r="B32" s="799" t="s">
        <v>137</v>
      </c>
      <c r="C32" s="800">
        <f t="shared" ref="C32:H32" si="4">(C30/C29)-1</f>
        <v>2.3578149610307353E-2</v>
      </c>
      <c r="D32" s="800">
        <f t="shared" si="4"/>
        <v>0</v>
      </c>
      <c r="E32" s="800">
        <f t="shared" ref="E32:H32" si="5">(E30/E29)-1</f>
        <v>5.1485615686072572E-2</v>
      </c>
      <c r="F32" s="800">
        <f t="shared" si="5"/>
        <v>1.0326603383714605E-4</v>
      </c>
      <c r="G32" s="800">
        <f t="shared" si="5"/>
        <v>1.1924453201508145E-2</v>
      </c>
      <c r="H32" s="801">
        <f t="shared" si="5"/>
        <v>1.1541146238801314E-2</v>
      </c>
      <c r="I32" s="163"/>
      <c r="J32" s="201"/>
      <c r="N32" s="216" t="str">
        <f t="shared" si="1"/>
        <v>2011**</v>
      </c>
      <c r="O32" s="789">
        <f t="shared" si="2"/>
        <v>18833.281290000003</v>
      </c>
      <c r="P32" s="790">
        <f>+D26</f>
        <v>89.9</v>
      </c>
      <c r="Q32" s="790">
        <f t="shared" ref="Q32:T36" si="6">+E26</f>
        <v>7105.9870899999996</v>
      </c>
      <c r="R32" s="790">
        <f t="shared" si="6"/>
        <v>4277.8440000000001</v>
      </c>
      <c r="S32" s="790">
        <f t="shared" si="6"/>
        <v>5607.8222000000023</v>
      </c>
      <c r="T32" s="790">
        <f t="shared" si="6"/>
        <v>1751.7279999999994</v>
      </c>
    </row>
    <row r="33" spans="1:20" x14ac:dyDescent="0.2">
      <c r="B33" s="1667" t="s">
        <v>138</v>
      </c>
      <c r="C33" s="1668">
        <f>((C30/C25)^(1/5))-1</f>
        <v>5.3053204789773822E-2</v>
      </c>
      <c r="D33" s="1668"/>
      <c r="E33" s="1668">
        <f t="shared" ref="E33:H33" si="7">((E30/E25)^(1/5))-1</f>
        <v>8.127796104080276E-2</v>
      </c>
      <c r="F33" s="1668">
        <f t="shared" si="7"/>
        <v>5.4298865478568104E-3</v>
      </c>
      <c r="G33" s="1668">
        <f t="shared" si="7"/>
        <v>-1.0074328752362582E-2</v>
      </c>
      <c r="H33" s="1669">
        <f t="shared" si="7"/>
        <v>5.46670136100329E-2</v>
      </c>
      <c r="N33" s="216">
        <f t="shared" si="1"/>
        <v>2012</v>
      </c>
      <c r="O33" s="789">
        <f t="shared" si="2"/>
        <v>19935.758290000002</v>
      </c>
      <c r="P33" s="790">
        <f>+D27</f>
        <v>611.9</v>
      </c>
      <c r="Q33" s="790">
        <f t="shared" si="6"/>
        <v>7459.7680899999996</v>
      </c>
      <c r="R33" s="790">
        <f t="shared" si="6"/>
        <v>4285.6540000000005</v>
      </c>
      <c r="S33" s="790">
        <f t="shared" si="6"/>
        <v>5782.9882000000034</v>
      </c>
      <c r="T33" s="790">
        <f t="shared" si="6"/>
        <v>1795.4479999999992</v>
      </c>
    </row>
    <row r="34" spans="1:20" x14ac:dyDescent="0.2">
      <c r="B34" s="802" t="s">
        <v>144</v>
      </c>
      <c r="C34" s="803">
        <f>(C30/C20)-1</f>
        <v>0.44696864523648916</v>
      </c>
      <c r="D34" s="803"/>
      <c r="E34" s="803">
        <f t="shared" ref="E34:H34" si="8">(E30/E20)-1</f>
        <v>0.54349044555862269</v>
      </c>
      <c r="F34" s="803">
        <f t="shared" si="8"/>
        <v>0.2718427947598252</v>
      </c>
      <c r="G34" s="803">
        <f t="shared" si="8"/>
        <v>5.7535271483539985E-2</v>
      </c>
      <c r="H34" s="804">
        <f t="shared" si="8"/>
        <v>0.47479741100323625</v>
      </c>
      <c r="N34" s="216">
        <f t="shared" si="1"/>
        <v>2013</v>
      </c>
      <c r="O34" s="789">
        <f>SUM(P34:T34)</f>
        <v>20585.119200000001</v>
      </c>
      <c r="P34" s="790">
        <f>+D28</f>
        <v>621.86</v>
      </c>
      <c r="Q34" s="790">
        <f t="shared" si="6"/>
        <v>7841.6769999999997</v>
      </c>
      <c r="R34" s="790">
        <f t="shared" si="6"/>
        <v>4416.9339999999993</v>
      </c>
      <c r="S34" s="790">
        <f t="shared" si="6"/>
        <v>5907.1522000000004</v>
      </c>
      <c r="T34" s="790">
        <f t="shared" si="6"/>
        <v>1797.4960000000001</v>
      </c>
    </row>
    <row r="35" spans="1:20" ht="13.5" thickBot="1" x14ac:dyDescent="0.25">
      <c r="B35" s="1670" t="s">
        <v>140</v>
      </c>
      <c r="C35" s="1671">
        <f>((C30/C20)^(1/10))-1</f>
        <v>3.7638105356768037E-2</v>
      </c>
      <c r="D35" s="1671"/>
      <c r="E35" s="1671">
        <f t="shared" ref="E35:H35" si="9">((E30/E20)^(1/10))-1</f>
        <v>4.4360396726726314E-2</v>
      </c>
      <c r="F35" s="1671">
        <f t="shared" si="9"/>
        <v>2.4338139870261788E-2</v>
      </c>
      <c r="G35" s="1671">
        <f t="shared" si="9"/>
        <v>5.6097746898580159E-3</v>
      </c>
      <c r="H35" s="1672">
        <f t="shared" si="9"/>
        <v>3.9616674697526832E-2</v>
      </c>
      <c r="N35" s="216">
        <f t="shared" si="1"/>
        <v>2014</v>
      </c>
      <c r="O35" s="789">
        <f>SUM(P35:T35)</f>
        <v>21589.042330000004</v>
      </c>
      <c r="P35" s="790">
        <f>+D29</f>
        <v>1838.46</v>
      </c>
      <c r="Q35" s="790">
        <f t="shared" si="6"/>
        <v>8240.8355100000008</v>
      </c>
      <c r="R35" s="790">
        <f t="shared" si="6"/>
        <v>4368.3289000000004</v>
      </c>
      <c r="S35" s="790">
        <f t="shared" si="6"/>
        <v>4888.8531000000021</v>
      </c>
      <c r="T35" s="790">
        <f t="shared" si="6"/>
        <v>2252.5648200000005</v>
      </c>
    </row>
    <row r="36" spans="1:20" x14ac:dyDescent="0.2">
      <c r="A36" s="162"/>
      <c r="B36" s="568"/>
      <c r="C36" s="805"/>
      <c r="D36" s="805"/>
      <c r="E36" s="805"/>
      <c r="F36" s="805"/>
      <c r="G36" s="805"/>
      <c r="H36" s="805"/>
      <c r="I36" s="162"/>
      <c r="J36" s="162"/>
      <c r="N36" s="216" t="str">
        <f t="shared" si="1"/>
        <v>2015*</v>
      </c>
      <c r="O36" s="789">
        <f>SUM(P36:T36)</f>
        <v>22098.072</v>
      </c>
      <c r="P36" s="790">
        <f>+D30</f>
        <v>1838.46</v>
      </c>
      <c r="Q36" s="790">
        <f t="shared" si="6"/>
        <v>8665.1200000000008</v>
      </c>
      <c r="R36" s="790">
        <f t="shared" si="6"/>
        <v>4368.78</v>
      </c>
      <c r="S36" s="790">
        <f t="shared" si="6"/>
        <v>4947.1499999999996</v>
      </c>
      <c r="T36" s="790">
        <f t="shared" si="6"/>
        <v>2278.5619999999999</v>
      </c>
    </row>
    <row r="37" spans="1:20" x14ac:dyDescent="0.2">
      <c r="B37" s="806" t="s">
        <v>248</v>
      </c>
      <c r="K37" s="262"/>
      <c r="M37" s="797"/>
      <c r="N37" s="798"/>
      <c r="O37" s="798"/>
      <c r="P37" s="798"/>
      <c r="Q37" s="798"/>
      <c r="R37" s="798"/>
    </row>
    <row r="38" spans="1:20" x14ac:dyDescent="0.2">
      <c r="B38" s="806"/>
      <c r="M38" s="797"/>
      <c r="N38" s="798"/>
      <c r="O38" s="798"/>
      <c r="P38" s="798"/>
      <c r="Q38" s="798"/>
      <c r="R38" s="798"/>
    </row>
    <row r="39" spans="1:20" x14ac:dyDescent="0.2">
      <c r="B39" s="320" t="s">
        <v>323</v>
      </c>
    </row>
    <row r="40" spans="1:20" x14ac:dyDescent="0.2">
      <c r="B40" s="807" t="s">
        <v>249</v>
      </c>
      <c r="K40" s="262"/>
    </row>
    <row r="42" spans="1:20" s="162" customFormat="1" ht="6" customHeight="1" x14ac:dyDescent="0.2">
      <c r="A42" s="157"/>
      <c r="B42" s="157"/>
      <c r="C42" s="157"/>
      <c r="D42" s="157"/>
      <c r="E42" s="157"/>
      <c r="F42" s="157"/>
      <c r="G42" s="157"/>
      <c r="H42" s="157"/>
      <c r="I42" s="157"/>
      <c r="J42" s="201"/>
    </row>
    <row r="44" spans="1:20" ht="4.5" customHeight="1" x14ac:dyDescent="0.2"/>
    <row r="48" spans="1:20" x14ac:dyDescent="0.2">
      <c r="L48" s="203"/>
    </row>
    <row r="49" spans="2:13" x14ac:dyDescent="0.2">
      <c r="L49" s="203"/>
    </row>
    <row r="50" spans="2:13" x14ac:dyDescent="0.2">
      <c r="L50" s="203"/>
    </row>
    <row r="51" spans="2:13" x14ac:dyDescent="0.2">
      <c r="L51" s="203"/>
    </row>
    <row r="52" spans="2:13" x14ac:dyDescent="0.2">
      <c r="L52" s="203"/>
    </row>
    <row r="53" spans="2:13" x14ac:dyDescent="0.2">
      <c r="L53" s="203"/>
    </row>
    <row r="54" spans="2:13" x14ac:dyDescent="0.2">
      <c r="L54" s="203"/>
    </row>
    <row r="55" spans="2:13" x14ac:dyDescent="0.2">
      <c r="L55" s="203"/>
      <c r="M55" s="203"/>
    </row>
    <row r="56" spans="2:13" x14ac:dyDescent="0.2">
      <c r="L56" s="203"/>
      <c r="M56" s="203"/>
    </row>
    <row r="57" spans="2:13" x14ac:dyDescent="0.2">
      <c r="K57" s="216"/>
      <c r="L57" s="203"/>
      <c r="M57" s="203"/>
    </row>
    <row r="58" spans="2:13" x14ac:dyDescent="0.2">
      <c r="L58" s="203"/>
      <c r="M58" s="203"/>
    </row>
    <row r="59" spans="2:13" ht="23.25" x14ac:dyDescent="0.35">
      <c r="B59" s="1424"/>
    </row>
  </sheetData>
  <autoFilter ref="B2:B59"/>
  <mergeCells count="3">
    <mergeCell ref="B6:B7"/>
    <mergeCell ref="C6:H6"/>
    <mergeCell ref="C7:H7"/>
  </mergeCells>
  <printOptions horizontalCentered="1"/>
  <pageMargins left="0.51181102362204722" right="0.27559055118110237" top="0.35433070866141736" bottom="0.19685039370078741" header="0" footer="0"/>
  <pageSetup paperSize="9" scale="71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3"/>
  <sheetViews>
    <sheetView view="pageBreakPreview" topLeftCell="A22" zoomScaleNormal="100" workbookViewId="0">
      <selection activeCell="K48" sqref="K48"/>
    </sheetView>
  </sheetViews>
  <sheetFormatPr baseColWidth="10" defaultRowHeight="12.75" x14ac:dyDescent="0.2"/>
  <cols>
    <col min="1" max="1" width="7.28515625" style="157" customWidth="1"/>
    <col min="2" max="2" width="20.7109375" style="157" customWidth="1"/>
    <col min="3" max="3" width="28.140625" style="157" customWidth="1"/>
    <col min="4" max="4" width="16.7109375" style="157" customWidth="1"/>
    <col min="5" max="6" width="11.42578125" style="157"/>
    <col min="7" max="7" width="4.42578125" style="157" customWidth="1"/>
    <col min="8" max="8" width="9.5703125" style="157" customWidth="1"/>
    <col min="9" max="256" width="11.42578125" style="157"/>
    <col min="257" max="257" width="7.28515625" style="157" customWidth="1"/>
    <col min="258" max="258" width="20.7109375" style="157" customWidth="1"/>
    <col min="259" max="259" width="28.140625" style="157" customWidth="1"/>
    <col min="260" max="260" width="16.7109375" style="157" customWidth="1"/>
    <col min="261" max="262" width="11.42578125" style="157"/>
    <col min="263" max="263" width="4.42578125" style="157" customWidth="1"/>
    <col min="264" max="264" width="9.5703125" style="157" customWidth="1"/>
    <col min="265" max="512" width="11.42578125" style="157"/>
    <col min="513" max="513" width="7.28515625" style="157" customWidth="1"/>
    <col min="514" max="514" width="20.7109375" style="157" customWidth="1"/>
    <col min="515" max="515" width="28.140625" style="157" customWidth="1"/>
    <col min="516" max="516" width="16.7109375" style="157" customWidth="1"/>
    <col min="517" max="518" width="11.42578125" style="157"/>
    <col min="519" max="519" width="4.42578125" style="157" customWidth="1"/>
    <col min="520" max="520" width="9.5703125" style="157" customWidth="1"/>
    <col min="521" max="768" width="11.42578125" style="157"/>
    <col min="769" max="769" width="7.28515625" style="157" customWidth="1"/>
    <col min="770" max="770" width="20.7109375" style="157" customWidth="1"/>
    <col min="771" max="771" width="28.140625" style="157" customWidth="1"/>
    <col min="772" max="772" width="16.7109375" style="157" customWidth="1"/>
    <col min="773" max="774" width="11.42578125" style="157"/>
    <col min="775" max="775" width="4.42578125" style="157" customWidth="1"/>
    <col min="776" max="776" width="9.5703125" style="157" customWidth="1"/>
    <col min="777" max="1024" width="11.42578125" style="157"/>
    <col min="1025" max="1025" width="7.28515625" style="157" customWidth="1"/>
    <col min="1026" max="1026" width="20.7109375" style="157" customWidth="1"/>
    <col min="1027" max="1027" width="28.140625" style="157" customWidth="1"/>
    <col min="1028" max="1028" width="16.7109375" style="157" customWidth="1"/>
    <col min="1029" max="1030" width="11.42578125" style="157"/>
    <col min="1031" max="1031" width="4.42578125" style="157" customWidth="1"/>
    <col min="1032" max="1032" width="9.5703125" style="157" customWidth="1"/>
    <col min="1033" max="1280" width="11.42578125" style="157"/>
    <col min="1281" max="1281" width="7.28515625" style="157" customWidth="1"/>
    <col min="1282" max="1282" width="20.7109375" style="157" customWidth="1"/>
    <col min="1283" max="1283" width="28.140625" style="157" customWidth="1"/>
    <col min="1284" max="1284" width="16.7109375" style="157" customWidth="1"/>
    <col min="1285" max="1286" width="11.42578125" style="157"/>
    <col min="1287" max="1287" width="4.42578125" style="157" customWidth="1"/>
    <col min="1288" max="1288" width="9.5703125" style="157" customWidth="1"/>
    <col min="1289" max="1536" width="11.42578125" style="157"/>
    <col min="1537" max="1537" width="7.28515625" style="157" customWidth="1"/>
    <col min="1538" max="1538" width="20.7109375" style="157" customWidth="1"/>
    <col min="1539" max="1539" width="28.140625" style="157" customWidth="1"/>
    <col min="1540" max="1540" width="16.7109375" style="157" customWidth="1"/>
    <col min="1541" max="1542" width="11.42578125" style="157"/>
    <col min="1543" max="1543" width="4.42578125" style="157" customWidth="1"/>
    <col min="1544" max="1544" width="9.5703125" style="157" customWidth="1"/>
    <col min="1545" max="1792" width="11.42578125" style="157"/>
    <col min="1793" max="1793" width="7.28515625" style="157" customWidth="1"/>
    <col min="1794" max="1794" width="20.7109375" style="157" customWidth="1"/>
    <col min="1795" max="1795" width="28.140625" style="157" customWidth="1"/>
    <col min="1796" max="1796" width="16.7109375" style="157" customWidth="1"/>
    <col min="1797" max="1798" width="11.42578125" style="157"/>
    <col min="1799" max="1799" width="4.42578125" style="157" customWidth="1"/>
    <col min="1800" max="1800" width="9.5703125" style="157" customWidth="1"/>
    <col min="1801" max="2048" width="11.42578125" style="157"/>
    <col min="2049" max="2049" width="7.28515625" style="157" customWidth="1"/>
    <col min="2050" max="2050" width="20.7109375" style="157" customWidth="1"/>
    <col min="2051" max="2051" width="28.140625" style="157" customWidth="1"/>
    <col min="2052" max="2052" width="16.7109375" style="157" customWidth="1"/>
    <col min="2053" max="2054" width="11.42578125" style="157"/>
    <col min="2055" max="2055" width="4.42578125" style="157" customWidth="1"/>
    <col min="2056" max="2056" width="9.5703125" style="157" customWidth="1"/>
    <col min="2057" max="2304" width="11.42578125" style="157"/>
    <col min="2305" max="2305" width="7.28515625" style="157" customWidth="1"/>
    <col min="2306" max="2306" width="20.7109375" style="157" customWidth="1"/>
    <col min="2307" max="2307" width="28.140625" style="157" customWidth="1"/>
    <col min="2308" max="2308" width="16.7109375" style="157" customWidth="1"/>
    <col min="2309" max="2310" width="11.42578125" style="157"/>
    <col min="2311" max="2311" width="4.42578125" style="157" customWidth="1"/>
    <col min="2312" max="2312" width="9.5703125" style="157" customWidth="1"/>
    <col min="2313" max="2560" width="11.42578125" style="157"/>
    <col min="2561" max="2561" width="7.28515625" style="157" customWidth="1"/>
    <col min="2562" max="2562" width="20.7109375" style="157" customWidth="1"/>
    <col min="2563" max="2563" width="28.140625" style="157" customWidth="1"/>
    <col min="2564" max="2564" width="16.7109375" style="157" customWidth="1"/>
    <col min="2565" max="2566" width="11.42578125" style="157"/>
    <col min="2567" max="2567" width="4.42578125" style="157" customWidth="1"/>
    <col min="2568" max="2568" width="9.5703125" style="157" customWidth="1"/>
    <col min="2569" max="2816" width="11.42578125" style="157"/>
    <col min="2817" max="2817" width="7.28515625" style="157" customWidth="1"/>
    <col min="2818" max="2818" width="20.7109375" style="157" customWidth="1"/>
    <col min="2819" max="2819" width="28.140625" style="157" customWidth="1"/>
    <col min="2820" max="2820" width="16.7109375" style="157" customWidth="1"/>
    <col min="2821" max="2822" width="11.42578125" style="157"/>
    <col min="2823" max="2823" width="4.42578125" style="157" customWidth="1"/>
    <col min="2824" max="2824" width="9.5703125" style="157" customWidth="1"/>
    <col min="2825" max="3072" width="11.42578125" style="157"/>
    <col min="3073" max="3073" width="7.28515625" style="157" customWidth="1"/>
    <col min="3074" max="3074" width="20.7109375" style="157" customWidth="1"/>
    <col min="3075" max="3075" width="28.140625" style="157" customWidth="1"/>
    <col min="3076" max="3076" width="16.7109375" style="157" customWidth="1"/>
    <col min="3077" max="3078" width="11.42578125" style="157"/>
    <col min="3079" max="3079" width="4.42578125" style="157" customWidth="1"/>
    <col min="3080" max="3080" width="9.5703125" style="157" customWidth="1"/>
    <col min="3081" max="3328" width="11.42578125" style="157"/>
    <col min="3329" max="3329" width="7.28515625" style="157" customWidth="1"/>
    <col min="3330" max="3330" width="20.7109375" style="157" customWidth="1"/>
    <col min="3331" max="3331" width="28.140625" style="157" customWidth="1"/>
    <col min="3332" max="3332" width="16.7109375" style="157" customWidth="1"/>
    <col min="3333" max="3334" width="11.42578125" style="157"/>
    <col min="3335" max="3335" width="4.42578125" style="157" customWidth="1"/>
    <col min="3336" max="3336" width="9.5703125" style="157" customWidth="1"/>
    <col min="3337" max="3584" width="11.42578125" style="157"/>
    <col min="3585" max="3585" width="7.28515625" style="157" customWidth="1"/>
    <col min="3586" max="3586" width="20.7109375" style="157" customWidth="1"/>
    <col min="3587" max="3587" width="28.140625" style="157" customWidth="1"/>
    <col min="3588" max="3588" width="16.7109375" style="157" customWidth="1"/>
    <col min="3589" max="3590" width="11.42578125" style="157"/>
    <col min="3591" max="3591" width="4.42578125" style="157" customWidth="1"/>
    <col min="3592" max="3592" width="9.5703125" style="157" customWidth="1"/>
    <col min="3593" max="3840" width="11.42578125" style="157"/>
    <col min="3841" max="3841" width="7.28515625" style="157" customWidth="1"/>
    <col min="3842" max="3842" width="20.7109375" style="157" customWidth="1"/>
    <col min="3843" max="3843" width="28.140625" style="157" customWidth="1"/>
    <col min="3844" max="3844" width="16.7109375" style="157" customWidth="1"/>
    <col min="3845" max="3846" width="11.42578125" style="157"/>
    <col min="3847" max="3847" width="4.42578125" style="157" customWidth="1"/>
    <col min="3848" max="3848" width="9.5703125" style="157" customWidth="1"/>
    <col min="3849" max="4096" width="11.42578125" style="157"/>
    <col min="4097" max="4097" width="7.28515625" style="157" customWidth="1"/>
    <col min="4098" max="4098" width="20.7109375" style="157" customWidth="1"/>
    <col min="4099" max="4099" width="28.140625" style="157" customWidth="1"/>
    <col min="4100" max="4100" width="16.7109375" style="157" customWidth="1"/>
    <col min="4101" max="4102" width="11.42578125" style="157"/>
    <col min="4103" max="4103" width="4.42578125" style="157" customWidth="1"/>
    <col min="4104" max="4104" width="9.5703125" style="157" customWidth="1"/>
    <col min="4105" max="4352" width="11.42578125" style="157"/>
    <col min="4353" max="4353" width="7.28515625" style="157" customWidth="1"/>
    <col min="4354" max="4354" width="20.7109375" style="157" customWidth="1"/>
    <col min="4355" max="4355" width="28.140625" style="157" customWidth="1"/>
    <col min="4356" max="4356" width="16.7109375" style="157" customWidth="1"/>
    <col min="4357" max="4358" width="11.42578125" style="157"/>
    <col min="4359" max="4359" width="4.42578125" style="157" customWidth="1"/>
    <col min="4360" max="4360" width="9.5703125" style="157" customWidth="1"/>
    <col min="4361" max="4608" width="11.42578125" style="157"/>
    <col min="4609" max="4609" width="7.28515625" style="157" customWidth="1"/>
    <col min="4610" max="4610" width="20.7109375" style="157" customWidth="1"/>
    <col min="4611" max="4611" width="28.140625" style="157" customWidth="1"/>
    <col min="4612" max="4612" width="16.7109375" style="157" customWidth="1"/>
    <col min="4613" max="4614" width="11.42578125" style="157"/>
    <col min="4615" max="4615" width="4.42578125" style="157" customWidth="1"/>
    <col min="4616" max="4616" width="9.5703125" style="157" customWidth="1"/>
    <col min="4617" max="4864" width="11.42578125" style="157"/>
    <col min="4865" max="4865" width="7.28515625" style="157" customWidth="1"/>
    <col min="4866" max="4866" width="20.7109375" style="157" customWidth="1"/>
    <col min="4867" max="4867" width="28.140625" style="157" customWidth="1"/>
    <col min="4868" max="4868" width="16.7109375" style="157" customWidth="1"/>
    <col min="4869" max="4870" width="11.42578125" style="157"/>
    <col min="4871" max="4871" width="4.42578125" style="157" customWidth="1"/>
    <col min="4872" max="4872" width="9.5703125" style="157" customWidth="1"/>
    <col min="4873" max="5120" width="11.42578125" style="157"/>
    <col min="5121" max="5121" width="7.28515625" style="157" customWidth="1"/>
    <col min="5122" max="5122" width="20.7109375" style="157" customWidth="1"/>
    <col min="5123" max="5123" width="28.140625" style="157" customWidth="1"/>
    <col min="5124" max="5124" width="16.7109375" style="157" customWidth="1"/>
    <col min="5125" max="5126" width="11.42578125" style="157"/>
    <col min="5127" max="5127" width="4.42578125" style="157" customWidth="1"/>
    <col min="5128" max="5128" width="9.5703125" style="157" customWidth="1"/>
    <col min="5129" max="5376" width="11.42578125" style="157"/>
    <col min="5377" max="5377" width="7.28515625" style="157" customWidth="1"/>
    <col min="5378" max="5378" width="20.7109375" style="157" customWidth="1"/>
    <col min="5379" max="5379" width="28.140625" style="157" customWidth="1"/>
    <col min="5380" max="5380" width="16.7109375" style="157" customWidth="1"/>
    <col min="5381" max="5382" width="11.42578125" style="157"/>
    <col min="5383" max="5383" width="4.42578125" style="157" customWidth="1"/>
    <col min="5384" max="5384" width="9.5703125" style="157" customWidth="1"/>
    <col min="5385" max="5632" width="11.42578125" style="157"/>
    <col min="5633" max="5633" width="7.28515625" style="157" customWidth="1"/>
    <col min="5634" max="5634" width="20.7109375" style="157" customWidth="1"/>
    <col min="5635" max="5635" width="28.140625" style="157" customWidth="1"/>
    <col min="5636" max="5636" width="16.7109375" style="157" customWidth="1"/>
    <col min="5637" max="5638" width="11.42578125" style="157"/>
    <col min="5639" max="5639" width="4.42578125" style="157" customWidth="1"/>
    <col min="5640" max="5640" width="9.5703125" style="157" customWidth="1"/>
    <col min="5641" max="5888" width="11.42578125" style="157"/>
    <col min="5889" max="5889" width="7.28515625" style="157" customWidth="1"/>
    <col min="5890" max="5890" width="20.7109375" style="157" customWidth="1"/>
    <col min="5891" max="5891" width="28.140625" style="157" customWidth="1"/>
    <col min="5892" max="5892" width="16.7109375" style="157" customWidth="1"/>
    <col min="5893" max="5894" width="11.42578125" style="157"/>
    <col min="5895" max="5895" width="4.42578125" style="157" customWidth="1"/>
    <col min="5896" max="5896" width="9.5703125" style="157" customWidth="1"/>
    <col min="5897" max="6144" width="11.42578125" style="157"/>
    <col min="6145" max="6145" width="7.28515625" style="157" customWidth="1"/>
    <col min="6146" max="6146" width="20.7109375" style="157" customWidth="1"/>
    <col min="6147" max="6147" width="28.140625" style="157" customWidth="1"/>
    <col min="6148" max="6148" width="16.7109375" style="157" customWidth="1"/>
    <col min="6149" max="6150" width="11.42578125" style="157"/>
    <col min="6151" max="6151" width="4.42578125" style="157" customWidth="1"/>
    <col min="6152" max="6152" width="9.5703125" style="157" customWidth="1"/>
    <col min="6153" max="6400" width="11.42578125" style="157"/>
    <col min="6401" max="6401" width="7.28515625" style="157" customWidth="1"/>
    <col min="6402" max="6402" width="20.7109375" style="157" customWidth="1"/>
    <col min="6403" max="6403" width="28.140625" style="157" customWidth="1"/>
    <col min="6404" max="6404" width="16.7109375" style="157" customWidth="1"/>
    <col min="6405" max="6406" width="11.42578125" style="157"/>
    <col min="6407" max="6407" width="4.42578125" style="157" customWidth="1"/>
    <col min="6408" max="6408" width="9.5703125" style="157" customWidth="1"/>
    <col min="6409" max="6656" width="11.42578125" style="157"/>
    <col min="6657" max="6657" width="7.28515625" style="157" customWidth="1"/>
    <col min="6658" max="6658" width="20.7109375" style="157" customWidth="1"/>
    <col min="6659" max="6659" width="28.140625" style="157" customWidth="1"/>
    <col min="6660" max="6660" width="16.7109375" style="157" customWidth="1"/>
    <col min="6661" max="6662" width="11.42578125" style="157"/>
    <col min="6663" max="6663" width="4.42578125" style="157" customWidth="1"/>
    <col min="6664" max="6664" width="9.5703125" style="157" customWidth="1"/>
    <col min="6665" max="6912" width="11.42578125" style="157"/>
    <col min="6913" max="6913" width="7.28515625" style="157" customWidth="1"/>
    <col min="6914" max="6914" width="20.7109375" style="157" customWidth="1"/>
    <col min="6915" max="6915" width="28.140625" style="157" customWidth="1"/>
    <col min="6916" max="6916" width="16.7109375" style="157" customWidth="1"/>
    <col min="6917" max="6918" width="11.42578125" style="157"/>
    <col min="6919" max="6919" width="4.42578125" style="157" customWidth="1"/>
    <col min="6920" max="6920" width="9.5703125" style="157" customWidth="1"/>
    <col min="6921" max="7168" width="11.42578125" style="157"/>
    <col min="7169" max="7169" width="7.28515625" style="157" customWidth="1"/>
    <col min="7170" max="7170" width="20.7109375" style="157" customWidth="1"/>
    <col min="7171" max="7171" width="28.140625" style="157" customWidth="1"/>
    <col min="7172" max="7172" width="16.7109375" style="157" customWidth="1"/>
    <col min="7173" max="7174" width="11.42578125" style="157"/>
    <col min="7175" max="7175" width="4.42578125" style="157" customWidth="1"/>
    <col min="7176" max="7176" width="9.5703125" style="157" customWidth="1"/>
    <col min="7177" max="7424" width="11.42578125" style="157"/>
    <col min="7425" max="7425" width="7.28515625" style="157" customWidth="1"/>
    <col min="7426" max="7426" width="20.7109375" style="157" customWidth="1"/>
    <col min="7427" max="7427" width="28.140625" style="157" customWidth="1"/>
    <col min="7428" max="7428" width="16.7109375" style="157" customWidth="1"/>
    <col min="7429" max="7430" width="11.42578125" style="157"/>
    <col min="7431" max="7431" width="4.42578125" style="157" customWidth="1"/>
    <col min="7432" max="7432" width="9.5703125" style="157" customWidth="1"/>
    <col min="7433" max="7680" width="11.42578125" style="157"/>
    <col min="7681" max="7681" width="7.28515625" style="157" customWidth="1"/>
    <col min="7682" max="7682" width="20.7109375" style="157" customWidth="1"/>
    <col min="7683" max="7683" width="28.140625" style="157" customWidth="1"/>
    <col min="7684" max="7684" width="16.7109375" style="157" customWidth="1"/>
    <col min="7685" max="7686" width="11.42578125" style="157"/>
    <col min="7687" max="7687" width="4.42578125" style="157" customWidth="1"/>
    <col min="7688" max="7688" width="9.5703125" style="157" customWidth="1"/>
    <col min="7689" max="7936" width="11.42578125" style="157"/>
    <col min="7937" max="7937" width="7.28515625" style="157" customWidth="1"/>
    <col min="7938" max="7938" width="20.7109375" style="157" customWidth="1"/>
    <col min="7939" max="7939" width="28.140625" style="157" customWidth="1"/>
    <col min="7940" max="7940" width="16.7109375" style="157" customWidth="1"/>
    <col min="7941" max="7942" width="11.42578125" style="157"/>
    <col min="7943" max="7943" width="4.42578125" style="157" customWidth="1"/>
    <col min="7944" max="7944" width="9.5703125" style="157" customWidth="1"/>
    <col min="7945" max="8192" width="11.42578125" style="157"/>
    <col min="8193" max="8193" width="7.28515625" style="157" customWidth="1"/>
    <col min="8194" max="8194" width="20.7109375" style="157" customWidth="1"/>
    <col min="8195" max="8195" width="28.140625" style="157" customWidth="1"/>
    <col min="8196" max="8196" width="16.7109375" style="157" customWidth="1"/>
    <col min="8197" max="8198" width="11.42578125" style="157"/>
    <col min="8199" max="8199" width="4.42578125" style="157" customWidth="1"/>
    <col min="8200" max="8200" width="9.5703125" style="157" customWidth="1"/>
    <col min="8201" max="8448" width="11.42578125" style="157"/>
    <col min="8449" max="8449" width="7.28515625" style="157" customWidth="1"/>
    <col min="8450" max="8450" width="20.7109375" style="157" customWidth="1"/>
    <col min="8451" max="8451" width="28.140625" style="157" customWidth="1"/>
    <col min="8452" max="8452" width="16.7109375" style="157" customWidth="1"/>
    <col min="8453" max="8454" width="11.42578125" style="157"/>
    <col min="8455" max="8455" width="4.42578125" style="157" customWidth="1"/>
    <col min="8456" max="8456" width="9.5703125" style="157" customWidth="1"/>
    <col min="8457" max="8704" width="11.42578125" style="157"/>
    <col min="8705" max="8705" width="7.28515625" style="157" customWidth="1"/>
    <col min="8706" max="8706" width="20.7109375" style="157" customWidth="1"/>
    <col min="8707" max="8707" width="28.140625" style="157" customWidth="1"/>
    <col min="8708" max="8708" width="16.7109375" style="157" customWidth="1"/>
    <col min="8709" max="8710" width="11.42578125" style="157"/>
    <col min="8711" max="8711" width="4.42578125" style="157" customWidth="1"/>
    <col min="8712" max="8712" width="9.5703125" style="157" customWidth="1"/>
    <col min="8713" max="8960" width="11.42578125" style="157"/>
    <col min="8961" max="8961" width="7.28515625" style="157" customWidth="1"/>
    <col min="8962" max="8962" width="20.7109375" style="157" customWidth="1"/>
    <col min="8963" max="8963" width="28.140625" style="157" customWidth="1"/>
    <col min="8964" max="8964" width="16.7109375" style="157" customWidth="1"/>
    <col min="8965" max="8966" width="11.42578125" style="157"/>
    <col min="8967" max="8967" width="4.42578125" style="157" customWidth="1"/>
    <col min="8968" max="8968" width="9.5703125" style="157" customWidth="1"/>
    <col min="8969" max="9216" width="11.42578125" style="157"/>
    <col min="9217" max="9217" width="7.28515625" style="157" customWidth="1"/>
    <col min="9218" max="9218" width="20.7109375" style="157" customWidth="1"/>
    <col min="9219" max="9219" width="28.140625" style="157" customWidth="1"/>
    <col min="9220" max="9220" width="16.7109375" style="157" customWidth="1"/>
    <col min="9221" max="9222" width="11.42578125" style="157"/>
    <col min="9223" max="9223" width="4.42578125" style="157" customWidth="1"/>
    <col min="9224" max="9224" width="9.5703125" style="157" customWidth="1"/>
    <col min="9225" max="9472" width="11.42578125" style="157"/>
    <col min="9473" max="9473" width="7.28515625" style="157" customWidth="1"/>
    <col min="9474" max="9474" width="20.7109375" style="157" customWidth="1"/>
    <col min="9475" max="9475" width="28.140625" style="157" customWidth="1"/>
    <col min="9476" max="9476" width="16.7109375" style="157" customWidth="1"/>
    <col min="9477" max="9478" width="11.42578125" style="157"/>
    <col min="9479" max="9479" width="4.42578125" style="157" customWidth="1"/>
    <col min="9480" max="9480" width="9.5703125" style="157" customWidth="1"/>
    <col min="9481" max="9728" width="11.42578125" style="157"/>
    <col min="9729" max="9729" width="7.28515625" style="157" customWidth="1"/>
    <col min="9730" max="9730" width="20.7109375" style="157" customWidth="1"/>
    <col min="9731" max="9731" width="28.140625" style="157" customWidth="1"/>
    <col min="9732" max="9732" width="16.7109375" style="157" customWidth="1"/>
    <col min="9733" max="9734" width="11.42578125" style="157"/>
    <col min="9735" max="9735" width="4.42578125" style="157" customWidth="1"/>
    <col min="9736" max="9736" width="9.5703125" style="157" customWidth="1"/>
    <col min="9737" max="9984" width="11.42578125" style="157"/>
    <col min="9985" max="9985" width="7.28515625" style="157" customWidth="1"/>
    <col min="9986" max="9986" width="20.7109375" style="157" customWidth="1"/>
    <col min="9987" max="9987" width="28.140625" style="157" customWidth="1"/>
    <col min="9988" max="9988" width="16.7109375" style="157" customWidth="1"/>
    <col min="9989" max="9990" width="11.42578125" style="157"/>
    <col min="9991" max="9991" width="4.42578125" style="157" customWidth="1"/>
    <col min="9992" max="9992" width="9.5703125" style="157" customWidth="1"/>
    <col min="9993" max="10240" width="11.42578125" style="157"/>
    <col min="10241" max="10241" width="7.28515625" style="157" customWidth="1"/>
    <col min="10242" max="10242" width="20.7109375" style="157" customWidth="1"/>
    <col min="10243" max="10243" width="28.140625" style="157" customWidth="1"/>
    <col min="10244" max="10244" width="16.7109375" style="157" customWidth="1"/>
    <col min="10245" max="10246" width="11.42578125" style="157"/>
    <col min="10247" max="10247" width="4.42578125" style="157" customWidth="1"/>
    <col min="10248" max="10248" width="9.5703125" style="157" customWidth="1"/>
    <col min="10249" max="10496" width="11.42578125" style="157"/>
    <col min="10497" max="10497" width="7.28515625" style="157" customWidth="1"/>
    <col min="10498" max="10498" width="20.7109375" style="157" customWidth="1"/>
    <col min="10499" max="10499" width="28.140625" style="157" customWidth="1"/>
    <col min="10500" max="10500" width="16.7109375" style="157" customWidth="1"/>
    <col min="10501" max="10502" width="11.42578125" style="157"/>
    <col min="10503" max="10503" width="4.42578125" style="157" customWidth="1"/>
    <col min="10504" max="10504" width="9.5703125" style="157" customWidth="1"/>
    <col min="10505" max="10752" width="11.42578125" style="157"/>
    <col min="10753" max="10753" width="7.28515625" style="157" customWidth="1"/>
    <col min="10754" max="10754" width="20.7109375" style="157" customWidth="1"/>
    <col min="10755" max="10755" width="28.140625" style="157" customWidth="1"/>
    <col min="10756" max="10756" width="16.7109375" style="157" customWidth="1"/>
    <col min="10757" max="10758" width="11.42578125" style="157"/>
    <col min="10759" max="10759" width="4.42578125" style="157" customWidth="1"/>
    <col min="10760" max="10760" width="9.5703125" style="157" customWidth="1"/>
    <col min="10761" max="11008" width="11.42578125" style="157"/>
    <col min="11009" max="11009" width="7.28515625" style="157" customWidth="1"/>
    <col min="11010" max="11010" width="20.7109375" style="157" customWidth="1"/>
    <col min="11011" max="11011" width="28.140625" style="157" customWidth="1"/>
    <col min="11012" max="11012" width="16.7109375" style="157" customWidth="1"/>
    <col min="11013" max="11014" width="11.42578125" style="157"/>
    <col min="11015" max="11015" width="4.42578125" style="157" customWidth="1"/>
    <col min="11016" max="11016" width="9.5703125" style="157" customWidth="1"/>
    <col min="11017" max="11264" width="11.42578125" style="157"/>
    <col min="11265" max="11265" width="7.28515625" style="157" customWidth="1"/>
    <col min="11266" max="11266" width="20.7109375" style="157" customWidth="1"/>
    <col min="11267" max="11267" width="28.140625" style="157" customWidth="1"/>
    <col min="11268" max="11268" width="16.7109375" style="157" customWidth="1"/>
    <col min="11269" max="11270" width="11.42578125" style="157"/>
    <col min="11271" max="11271" width="4.42578125" style="157" customWidth="1"/>
    <col min="11272" max="11272" width="9.5703125" style="157" customWidth="1"/>
    <col min="11273" max="11520" width="11.42578125" style="157"/>
    <col min="11521" max="11521" width="7.28515625" style="157" customWidth="1"/>
    <col min="11522" max="11522" width="20.7109375" style="157" customWidth="1"/>
    <col min="11523" max="11523" width="28.140625" style="157" customWidth="1"/>
    <col min="11524" max="11524" width="16.7109375" style="157" customWidth="1"/>
    <col min="11525" max="11526" width="11.42578125" style="157"/>
    <col min="11527" max="11527" width="4.42578125" style="157" customWidth="1"/>
    <col min="11528" max="11528" width="9.5703125" style="157" customWidth="1"/>
    <col min="11529" max="11776" width="11.42578125" style="157"/>
    <col min="11777" max="11777" width="7.28515625" style="157" customWidth="1"/>
    <col min="11778" max="11778" width="20.7109375" style="157" customWidth="1"/>
    <col min="11779" max="11779" width="28.140625" style="157" customWidth="1"/>
    <col min="11780" max="11780" width="16.7109375" style="157" customWidth="1"/>
    <col min="11781" max="11782" width="11.42578125" style="157"/>
    <col min="11783" max="11783" width="4.42578125" style="157" customWidth="1"/>
    <col min="11784" max="11784" width="9.5703125" style="157" customWidth="1"/>
    <col min="11785" max="12032" width="11.42578125" style="157"/>
    <col min="12033" max="12033" width="7.28515625" style="157" customWidth="1"/>
    <col min="12034" max="12034" width="20.7109375" style="157" customWidth="1"/>
    <col min="12035" max="12035" width="28.140625" style="157" customWidth="1"/>
    <col min="12036" max="12036" width="16.7109375" style="157" customWidth="1"/>
    <col min="12037" max="12038" width="11.42578125" style="157"/>
    <col min="12039" max="12039" width="4.42578125" style="157" customWidth="1"/>
    <col min="12040" max="12040" width="9.5703125" style="157" customWidth="1"/>
    <col min="12041" max="12288" width="11.42578125" style="157"/>
    <col min="12289" max="12289" width="7.28515625" style="157" customWidth="1"/>
    <col min="12290" max="12290" width="20.7109375" style="157" customWidth="1"/>
    <col min="12291" max="12291" width="28.140625" style="157" customWidth="1"/>
    <col min="12292" max="12292" width="16.7109375" style="157" customWidth="1"/>
    <col min="12293" max="12294" width="11.42578125" style="157"/>
    <col min="12295" max="12295" width="4.42578125" style="157" customWidth="1"/>
    <col min="12296" max="12296" width="9.5703125" style="157" customWidth="1"/>
    <col min="12297" max="12544" width="11.42578125" style="157"/>
    <col min="12545" max="12545" width="7.28515625" style="157" customWidth="1"/>
    <col min="12546" max="12546" width="20.7109375" style="157" customWidth="1"/>
    <col min="12547" max="12547" width="28.140625" style="157" customWidth="1"/>
    <col min="12548" max="12548" width="16.7109375" style="157" customWidth="1"/>
    <col min="12549" max="12550" width="11.42578125" style="157"/>
    <col min="12551" max="12551" width="4.42578125" style="157" customWidth="1"/>
    <col min="12552" max="12552" width="9.5703125" style="157" customWidth="1"/>
    <col min="12553" max="12800" width="11.42578125" style="157"/>
    <col min="12801" max="12801" width="7.28515625" style="157" customWidth="1"/>
    <col min="12802" max="12802" width="20.7109375" style="157" customWidth="1"/>
    <col min="12803" max="12803" width="28.140625" style="157" customWidth="1"/>
    <col min="12804" max="12804" width="16.7109375" style="157" customWidth="1"/>
    <col min="12805" max="12806" width="11.42578125" style="157"/>
    <col min="12807" max="12807" width="4.42578125" style="157" customWidth="1"/>
    <col min="12808" max="12808" width="9.5703125" style="157" customWidth="1"/>
    <col min="12809" max="13056" width="11.42578125" style="157"/>
    <col min="13057" max="13057" width="7.28515625" style="157" customWidth="1"/>
    <col min="13058" max="13058" width="20.7109375" style="157" customWidth="1"/>
    <col min="13059" max="13059" width="28.140625" style="157" customWidth="1"/>
    <col min="13060" max="13060" width="16.7109375" style="157" customWidth="1"/>
    <col min="13061" max="13062" width="11.42578125" style="157"/>
    <col min="13063" max="13063" width="4.42578125" style="157" customWidth="1"/>
    <col min="13064" max="13064" width="9.5703125" style="157" customWidth="1"/>
    <col min="13065" max="13312" width="11.42578125" style="157"/>
    <col min="13313" max="13313" width="7.28515625" style="157" customWidth="1"/>
    <col min="13314" max="13314" width="20.7109375" style="157" customWidth="1"/>
    <col min="13315" max="13315" width="28.140625" style="157" customWidth="1"/>
    <col min="13316" max="13316" width="16.7109375" style="157" customWidth="1"/>
    <col min="13317" max="13318" width="11.42578125" style="157"/>
    <col min="13319" max="13319" width="4.42578125" style="157" customWidth="1"/>
    <col min="13320" max="13320" width="9.5703125" style="157" customWidth="1"/>
    <col min="13321" max="13568" width="11.42578125" style="157"/>
    <col min="13569" max="13569" width="7.28515625" style="157" customWidth="1"/>
    <col min="13570" max="13570" width="20.7109375" style="157" customWidth="1"/>
    <col min="13571" max="13571" width="28.140625" style="157" customWidth="1"/>
    <col min="13572" max="13572" width="16.7109375" style="157" customWidth="1"/>
    <col min="13573" max="13574" width="11.42578125" style="157"/>
    <col min="13575" max="13575" width="4.42578125" style="157" customWidth="1"/>
    <col min="13576" max="13576" width="9.5703125" style="157" customWidth="1"/>
    <col min="13577" max="13824" width="11.42578125" style="157"/>
    <col min="13825" max="13825" width="7.28515625" style="157" customWidth="1"/>
    <col min="13826" max="13826" width="20.7109375" style="157" customWidth="1"/>
    <col min="13827" max="13827" width="28.140625" style="157" customWidth="1"/>
    <col min="13828" max="13828" width="16.7109375" style="157" customWidth="1"/>
    <col min="13829" max="13830" width="11.42578125" style="157"/>
    <col min="13831" max="13831" width="4.42578125" style="157" customWidth="1"/>
    <col min="13832" max="13832" width="9.5703125" style="157" customWidth="1"/>
    <col min="13833" max="14080" width="11.42578125" style="157"/>
    <col min="14081" max="14081" width="7.28515625" style="157" customWidth="1"/>
    <col min="14082" max="14082" width="20.7109375" style="157" customWidth="1"/>
    <col min="14083" max="14083" width="28.140625" style="157" customWidth="1"/>
    <col min="14084" max="14084" width="16.7109375" style="157" customWidth="1"/>
    <col min="14085" max="14086" width="11.42578125" style="157"/>
    <col min="14087" max="14087" width="4.42578125" style="157" customWidth="1"/>
    <col min="14088" max="14088" width="9.5703125" style="157" customWidth="1"/>
    <col min="14089" max="14336" width="11.42578125" style="157"/>
    <col min="14337" max="14337" width="7.28515625" style="157" customWidth="1"/>
    <col min="14338" max="14338" width="20.7109375" style="157" customWidth="1"/>
    <col min="14339" max="14339" width="28.140625" style="157" customWidth="1"/>
    <col min="14340" max="14340" width="16.7109375" style="157" customWidth="1"/>
    <col min="14341" max="14342" width="11.42578125" style="157"/>
    <col min="14343" max="14343" width="4.42578125" style="157" customWidth="1"/>
    <col min="14344" max="14344" width="9.5703125" style="157" customWidth="1"/>
    <col min="14345" max="14592" width="11.42578125" style="157"/>
    <col min="14593" max="14593" width="7.28515625" style="157" customWidth="1"/>
    <col min="14594" max="14594" width="20.7109375" style="157" customWidth="1"/>
    <col min="14595" max="14595" width="28.140625" style="157" customWidth="1"/>
    <col min="14596" max="14596" width="16.7109375" style="157" customWidth="1"/>
    <col min="14597" max="14598" width="11.42578125" style="157"/>
    <col min="14599" max="14599" width="4.42578125" style="157" customWidth="1"/>
    <col min="14600" max="14600" width="9.5703125" style="157" customWidth="1"/>
    <col min="14601" max="14848" width="11.42578125" style="157"/>
    <col min="14849" max="14849" width="7.28515625" style="157" customWidth="1"/>
    <col min="14850" max="14850" width="20.7109375" style="157" customWidth="1"/>
    <col min="14851" max="14851" width="28.140625" style="157" customWidth="1"/>
    <col min="14852" max="14852" width="16.7109375" style="157" customWidth="1"/>
    <col min="14853" max="14854" width="11.42578125" style="157"/>
    <col min="14855" max="14855" width="4.42578125" style="157" customWidth="1"/>
    <col min="14856" max="14856" width="9.5703125" style="157" customWidth="1"/>
    <col min="14857" max="15104" width="11.42578125" style="157"/>
    <col min="15105" max="15105" width="7.28515625" style="157" customWidth="1"/>
    <col min="15106" max="15106" width="20.7109375" style="157" customWidth="1"/>
    <col min="15107" max="15107" width="28.140625" style="157" customWidth="1"/>
    <col min="15108" max="15108" width="16.7109375" style="157" customWidth="1"/>
    <col min="15109" max="15110" width="11.42578125" style="157"/>
    <col min="15111" max="15111" width="4.42578125" style="157" customWidth="1"/>
    <col min="15112" max="15112" width="9.5703125" style="157" customWidth="1"/>
    <col min="15113" max="15360" width="11.42578125" style="157"/>
    <col min="15361" max="15361" width="7.28515625" style="157" customWidth="1"/>
    <col min="15362" max="15362" width="20.7109375" style="157" customWidth="1"/>
    <col min="15363" max="15363" width="28.140625" style="157" customWidth="1"/>
    <col min="15364" max="15364" width="16.7109375" style="157" customWidth="1"/>
    <col min="15365" max="15366" width="11.42578125" style="157"/>
    <col min="15367" max="15367" width="4.42578125" style="157" customWidth="1"/>
    <col min="15368" max="15368" width="9.5703125" style="157" customWidth="1"/>
    <col min="15369" max="15616" width="11.42578125" style="157"/>
    <col min="15617" max="15617" width="7.28515625" style="157" customWidth="1"/>
    <col min="15618" max="15618" width="20.7109375" style="157" customWidth="1"/>
    <col min="15619" max="15619" width="28.140625" style="157" customWidth="1"/>
    <col min="15620" max="15620" width="16.7109375" style="157" customWidth="1"/>
    <col min="15621" max="15622" width="11.42578125" style="157"/>
    <col min="15623" max="15623" width="4.42578125" style="157" customWidth="1"/>
    <col min="15624" max="15624" width="9.5703125" style="157" customWidth="1"/>
    <col min="15625" max="15872" width="11.42578125" style="157"/>
    <col min="15873" max="15873" width="7.28515625" style="157" customWidth="1"/>
    <col min="15874" max="15874" width="20.7109375" style="157" customWidth="1"/>
    <col min="15875" max="15875" width="28.140625" style="157" customWidth="1"/>
    <col min="15876" max="15876" width="16.7109375" style="157" customWidth="1"/>
    <col min="15877" max="15878" width="11.42578125" style="157"/>
    <col min="15879" max="15879" width="4.42578125" style="157" customWidth="1"/>
    <col min="15880" max="15880" width="9.5703125" style="157" customWidth="1"/>
    <col min="15881" max="16128" width="11.42578125" style="157"/>
    <col min="16129" max="16129" width="7.28515625" style="157" customWidth="1"/>
    <col min="16130" max="16130" width="20.7109375" style="157" customWidth="1"/>
    <col min="16131" max="16131" width="28.140625" style="157" customWidth="1"/>
    <col min="16132" max="16132" width="16.7109375" style="157" customWidth="1"/>
    <col min="16133" max="16134" width="11.42578125" style="157"/>
    <col min="16135" max="16135" width="4.42578125" style="157" customWidth="1"/>
    <col min="16136" max="16136" width="9.5703125" style="157" customWidth="1"/>
    <col min="16137" max="16384" width="11.42578125" style="157"/>
  </cols>
  <sheetData>
    <row r="3" spans="1:4" ht="16.5" x14ac:dyDescent="0.25">
      <c r="A3" s="808" t="s">
        <v>250</v>
      </c>
    </row>
    <row r="4" spans="1:4" ht="18" x14ac:dyDescent="0.25">
      <c r="A4" s="159"/>
      <c r="B4" s="1381"/>
      <c r="C4" s="1381"/>
      <c r="D4" s="1381"/>
    </row>
    <row r="5" spans="1:4" ht="12.75" customHeight="1" x14ac:dyDescent="0.2"/>
    <row r="6" spans="1:4" ht="38.25" customHeight="1" x14ac:dyDescent="0.2">
      <c r="B6" s="809" t="s">
        <v>132</v>
      </c>
      <c r="C6" s="810" t="s">
        <v>251</v>
      </c>
    </row>
    <row r="7" spans="1:4" ht="12.75" customHeight="1" x14ac:dyDescent="0.2">
      <c r="B7" s="811"/>
      <c r="C7" s="812"/>
    </row>
    <row r="8" spans="1:4" ht="12.75" customHeight="1" x14ac:dyDescent="0.2">
      <c r="B8" s="1673">
        <v>1995</v>
      </c>
      <c r="C8" s="1674">
        <v>3.66</v>
      </c>
    </row>
    <row r="9" spans="1:4" x14ac:dyDescent="0.2">
      <c r="B9" s="813">
        <v>1996</v>
      </c>
      <c r="C9" s="814">
        <v>3.57</v>
      </c>
    </row>
    <row r="10" spans="1:4" x14ac:dyDescent="0.2">
      <c r="B10" s="1673">
        <v>1997</v>
      </c>
      <c r="C10" s="1674">
        <v>3.38</v>
      </c>
    </row>
    <row r="11" spans="1:4" x14ac:dyDescent="0.2">
      <c r="B11" s="813">
        <v>1998</v>
      </c>
      <c r="C11" s="814">
        <v>2.9</v>
      </c>
    </row>
    <row r="12" spans="1:4" x14ac:dyDescent="0.2">
      <c r="B12" s="1673">
        <v>1999</v>
      </c>
      <c r="C12" s="1674">
        <v>2.77</v>
      </c>
    </row>
    <row r="13" spans="1:4" x14ac:dyDescent="0.2">
      <c r="B13" s="813">
        <v>2000</v>
      </c>
      <c r="C13" s="814">
        <v>2.52</v>
      </c>
    </row>
    <row r="14" spans="1:4" x14ac:dyDescent="0.2">
      <c r="B14" s="1673">
        <v>2001</v>
      </c>
      <c r="C14" s="1674">
        <v>2.31</v>
      </c>
    </row>
    <row r="15" spans="1:4" x14ac:dyDescent="0.2">
      <c r="B15" s="813">
        <v>2002</v>
      </c>
      <c r="C15" s="814">
        <v>2.2999999999999998</v>
      </c>
    </row>
    <row r="16" spans="1:4" x14ac:dyDescent="0.2">
      <c r="B16" s="1673">
        <v>2003</v>
      </c>
      <c r="C16" s="1674">
        <v>2.08</v>
      </c>
    </row>
    <row r="17" spans="2:4" x14ac:dyDescent="0.2">
      <c r="B17" s="813">
        <v>2004</v>
      </c>
      <c r="C17" s="814">
        <v>1.81</v>
      </c>
    </row>
    <row r="18" spans="2:4" x14ac:dyDescent="0.2">
      <c r="B18" s="1673">
        <v>2005</v>
      </c>
      <c r="C18" s="1674">
        <v>1.88</v>
      </c>
    </row>
    <row r="19" spans="2:4" x14ac:dyDescent="0.2">
      <c r="B19" s="815" t="s">
        <v>252</v>
      </c>
      <c r="C19" s="814">
        <v>1.86</v>
      </c>
    </row>
    <row r="20" spans="2:4" x14ac:dyDescent="0.2">
      <c r="B20" s="1673">
        <v>2007</v>
      </c>
      <c r="C20" s="1674">
        <v>2.15</v>
      </c>
    </row>
    <row r="21" spans="2:4" x14ac:dyDescent="0.2">
      <c r="B21" s="813">
        <v>2008</v>
      </c>
      <c r="C21" s="814">
        <v>2.11</v>
      </c>
    </row>
    <row r="22" spans="2:4" x14ac:dyDescent="0.2">
      <c r="B22" s="1673">
        <v>2009</v>
      </c>
      <c r="C22" s="1674">
        <v>2.2400000000000002</v>
      </c>
      <c r="D22" s="816"/>
    </row>
    <row r="23" spans="2:4" x14ac:dyDescent="0.2">
      <c r="B23" s="813">
        <v>2010</v>
      </c>
      <c r="C23" s="814">
        <v>2.68</v>
      </c>
      <c r="D23" s="816"/>
    </row>
    <row r="24" spans="2:4" x14ac:dyDescent="0.2">
      <c r="B24" s="1673">
        <v>2011</v>
      </c>
      <c r="C24" s="1674">
        <v>2.93</v>
      </c>
      <c r="D24" s="816"/>
    </row>
    <row r="25" spans="2:4" x14ac:dyDescent="0.2">
      <c r="B25" s="813">
        <v>2012</v>
      </c>
      <c r="C25" s="814">
        <v>4.32</v>
      </c>
      <c r="D25" s="816"/>
    </row>
    <row r="26" spans="2:4" x14ac:dyDescent="0.2">
      <c r="B26" s="1673">
        <v>2013</v>
      </c>
      <c r="C26" s="1674">
        <v>4.3499999999999996</v>
      </c>
      <c r="D26" s="816"/>
    </row>
    <row r="27" spans="2:4" x14ac:dyDescent="0.2">
      <c r="B27" s="813">
        <v>2014</v>
      </c>
      <c r="C27" s="814">
        <v>3.8</v>
      </c>
      <c r="D27" s="816"/>
    </row>
    <row r="28" spans="2:4" x14ac:dyDescent="0.2">
      <c r="B28" s="813"/>
      <c r="C28" s="814"/>
    </row>
    <row r="29" spans="2:4" x14ac:dyDescent="0.2">
      <c r="B29" s="817" t="s">
        <v>253</v>
      </c>
      <c r="C29" s="818">
        <f>(C27/C26)-1</f>
        <v>-0.12643678160919536</v>
      </c>
    </row>
    <row r="30" spans="2:4" x14ac:dyDescent="0.2">
      <c r="B30" s="1675" t="s">
        <v>254</v>
      </c>
      <c r="C30" s="1676">
        <f>((C27/C22)^(1/5))-1</f>
        <v>0.11149398207848793</v>
      </c>
    </row>
    <row r="31" spans="2:4" x14ac:dyDescent="0.2">
      <c r="B31" s="819" t="s">
        <v>255</v>
      </c>
      <c r="C31" s="820">
        <f>(C27/C17)-1</f>
        <v>1.0994475138121547</v>
      </c>
    </row>
    <row r="32" spans="2:4" x14ac:dyDescent="0.2">
      <c r="B32" s="1677" t="s">
        <v>256</v>
      </c>
      <c r="C32" s="1678">
        <f>((C27/C17)^(1/10))-1</f>
        <v>7.6987101894226306E-2</v>
      </c>
    </row>
    <row r="34" spans="2:2" x14ac:dyDescent="0.2">
      <c r="B34" s="190" t="s">
        <v>257</v>
      </c>
    </row>
    <row r="35" spans="2:2" x14ac:dyDescent="0.2">
      <c r="B35" s="345" t="s">
        <v>258</v>
      </c>
    </row>
    <row r="59" spans="2:2" ht="23.25" x14ac:dyDescent="0.35">
      <c r="B59" s="1424"/>
    </row>
    <row r="63" spans="2:2" x14ac:dyDescent="0.2">
      <c r="B63" s="821"/>
    </row>
  </sheetData>
  <autoFilter ref="B3:B63"/>
  <mergeCells count="1">
    <mergeCell ref="B4:D4"/>
  </mergeCells>
  <printOptions horizontalCentered="1"/>
  <pageMargins left="0.35433070866141736" right="0.23622047244094491" top="0.39370078740157483" bottom="0.19685039370078741" header="0" footer="0"/>
  <pageSetup paperSize="9" scale="8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view="pageBreakPreview" zoomScaleNormal="75" zoomScaleSheetLayoutView="100" workbookViewId="0">
      <selection activeCell="C33" sqref="C33"/>
    </sheetView>
  </sheetViews>
  <sheetFormatPr baseColWidth="10" defaultRowHeight="12.75" x14ac:dyDescent="0.2"/>
  <cols>
    <col min="1" max="1" width="5.42578125" style="573" customWidth="1"/>
    <col min="2" max="2" width="22.140625" style="157" customWidth="1"/>
    <col min="3" max="3" width="15" style="157" customWidth="1"/>
    <col min="4" max="4" width="12.85546875" style="157" customWidth="1"/>
    <col min="5" max="5" width="12.7109375" style="157" customWidth="1"/>
    <col min="6" max="6" width="14" style="157" customWidth="1"/>
    <col min="7" max="8" width="12.42578125" style="157" customWidth="1"/>
    <col min="9" max="9" width="11.7109375" style="157" customWidth="1"/>
    <col min="10" max="10" width="11" style="157" customWidth="1"/>
    <col min="11" max="11" width="11.28515625" style="157" customWidth="1"/>
    <col min="12" max="12" width="4.140625" style="573" customWidth="1"/>
    <col min="13" max="14" width="11.42578125" style="157"/>
    <col min="15" max="15" width="12.42578125" style="157" bestFit="1" customWidth="1"/>
    <col min="16" max="256" width="11.42578125" style="157"/>
    <col min="257" max="257" width="5.42578125" style="157" customWidth="1"/>
    <col min="258" max="258" width="22.140625" style="157" customWidth="1"/>
    <col min="259" max="259" width="15" style="157" customWidth="1"/>
    <col min="260" max="260" width="12.85546875" style="157" customWidth="1"/>
    <col min="261" max="261" width="12.7109375" style="157" customWidth="1"/>
    <col min="262" max="262" width="14" style="157" customWidth="1"/>
    <col min="263" max="264" width="12.42578125" style="157" customWidth="1"/>
    <col min="265" max="265" width="11.7109375" style="157" customWidth="1"/>
    <col min="266" max="266" width="11" style="157" customWidth="1"/>
    <col min="267" max="267" width="11.28515625" style="157" customWidth="1"/>
    <col min="268" max="268" width="4.140625" style="157" customWidth="1"/>
    <col min="269" max="270" width="11.42578125" style="157"/>
    <col min="271" max="271" width="12.42578125" style="157" bestFit="1" customWidth="1"/>
    <col min="272" max="512" width="11.42578125" style="157"/>
    <col min="513" max="513" width="5.42578125" style="157" customWidth="1"/>
    <col min="514" max="514" width="22.140625" style="157" customWidth="1"/>
    <col min="515" max="515" width="15" style="157" customWidth="1"/>
    <col min="516" max="516" width="12.85546875" style="157" customWidth="1"/>
    <col min="517" max="517" width="12.7109375" style="157" customWidth="1"/>
    <col min="518" max="518" width="14" style="157" customWidth="1"/>
    <col min="519" max="520" width="12.42578125" style="157" customWidth="1"/>
    <col min="521" max="521" width="11.7109375" style="157" customWidth="1"/>
    <col min="522" max="522" width="11" style="157" customWidth="1"/>
    <col min="523" max="523" width="11.28515625" style="157" customWidth="1"/>
    <col min="524" max="524" width="4.140625" style="157" customWidth="1"/>
    <col min="525" max="526" width="11.42578125" style="157"/>
    <col min="527" max="527" width="12.42578125" style="157" bestFit="1" customWidth="1"/>
    <col min="528" max="768" width="11.42578125" style="157"/>
    <col min="769" max="769" width="5.42578125" style="157" customWidth="1"/>
    <col min="770" max="770" width="22.140625" style="157" customWidth="1"/>
    <col min="771" max="771" width="15" style="157" customWidth="1"/>
    <col min="772" max="772" width="12.85546875" style="157" customWidth="1"/>
    <col min="773" max="773" width="12.7109375" style="157" customWidth="1"/>
    <col min="774" max="774" width="14" style="157" customWidth="1"/>
    <col min="775" max="776" width="12.42578125" style="157" customWidth="1"/>
    <col min="777" max="777" width="11.7109375" style="157" customWidth="1"/>
    <col min="778" max="778" width="11" style="157" customWidth="1"/>
    <col min="779" max="779" width="11.28515625" style="157" customWidth="1"/>
    <col min="780" max="780" width="4.140625" style="157" customWidth="1"/>
    <col min="781" max="782" width="11.42578125" style="157"/>
    <col min="783" max="783" width="12.42578125" style="157" bestFit="1" customWidth="1"/>
    <col min="784" max="1024" width="11.42578125" style="157"/>
    <col min="1025" max="1025" width="5.42578125" style="157" customWidth="1"/>
    <col min="1026" max="1026" width="22.140625" style="157" customWidth="1"/>
    <col min="1027" max="1027" width="15" style="157" customWidth="1"/>
    <col min="1028" max="1028" width="12.85546875" style="157" customWidth="1"/>
    <col min="1029" max="1029" width="12.7109375" style="157" customWidth="1"/>
    <col min="1030" max="1030" width="14" style="157" customWidth="1"/>
    <col min="1031" max="1032" width="12.42578125" style="157" customWidth="1"/>
    <col min="1033" max="1033" width="11.7109375" style="157" customWidth="1"/>
    <col min="1034" max="1034" width="11" style="157" customWidth="1"/>
    <col min="1035" max="1035" width="11.28515625" style="157" customWidth="1"/>
    <col min="1036" max="1036" width="4.140625" style="157" customWidth="1"/>
    <col min="1037" max="1038" width="11.42578125" style="157"/>
    <col min="1039" max="1039" width="12.42578125" style="157" bestFit="1" customWidth="1"/>
    <col min="1040" max="1280" width="11.42578125" style="157"/>
    <col min="1281" max="1281" width="5.42578125" style="157" customWidth="1"/>
    <col min="1282" max="1282" width="22.140625" style="157" customWidth="1"/>
    <col min="1283" max="1283" width="15" style="157" customWidth="1"/>
    <col min="1284" max="1284" width="12.85546875" style="157" customWidth="1"/>
    <col min="1285" max="1285" width="12.7109375" style="157" customWidth="1"/>
    <col min="1286" max="1286" width="14" style="157" customWidth="1"/>
    <col min="1287" max="1288" width="12.42578125" style="157" customWidth="1"/>
    <col min="1289" max="1289" width="11.7109375" style="157" customWidth="1"/>
    <col min="1290" max="1290" width="11" style="157" customWidth="1"/>
    <col min="1291" max="1291" width="11.28515625" style="157" customWidth="1"/>
    <col min="1292" max="1292" width="4.140625" style="157" customWidth="1"/>
    <col min="1293" max="1294" width="11.42578125" style="157"/>
    <col min="1295" max="1295" width="12.42578125" style="157" bestFit="1" customWidth="1"/>
    <col min="1296" max="1536" width="11.42578125" style="157"/>
    <col min="1537" max="1537" width="5.42578125" style="157" customWidth="1"/>
    <col min="1538" max="1538" width="22.140625" style="157" customWidth="1"/>
    <col min="1539" max="1539" width="15" style="157" customWidth="1"/>
    <col min="1540" max="1540" width="12.85546875" style="157" customWidth="1"/>
    <col min="1541" max="1541" width="12.7109375" style="157" customWidth="1"/>
    <col min="1542" max="1542" width="14" style="157" customWidth="1"/>
    <col min="1543" max="1544" width="12.42578125" style="157" customWidth="1"/>
    <col min="1545" max="1545" width="11.7109375" style="157" customWidth="1"/>
    <col min="1546" max="1546" width="11" style="157" customWidth="1"/>
    <col min="1547" max="1547" width="11.28515625" style="157" customWidth="1"/>
    <col min="1548" max="1548" width="4.140625" style="157" customWidth="1"/>
    <col min="1549" max="1550" width="11.42578125" style="157"/>
    <col min="1551" max="1551" width="12.42578125" style="157" bestFit="1" customWidth="1"/>
    <col min="1552" max="1792" width="11.42578125" style="157"/>
    <col min="1793" max="1793" width="5.42578125" style="157" customWidth="1"/>
    <col min="1794" max="1794" width="22.140625" style="157" customWidth="1"/>
    <col min="1795" max="1795" width="15" style="157" customWidth="1"/>
    <col min="1796" max="1796" width="12.85546875" style="157" customWidth="1"/>
    <col min="1797" max="1797" width="12.7109375" style="157" customWidth="1"/>
    <col min="1798" max="1798" width="14" style="157" customWidth="1"/>
    <col min="1799" max="1800" width="12.42578125" style="157" customWidth="1"/>
    <col min="1801" max="1801" width="11.7109375" style="157" customWidth="1"/>
    <col min="1802" max="1802" width="11" style="157" customWidth="1"/>
    <col min="1803" max="1803" width="11.28515625" style="157" customWidth="1"/>
    <col min="1804" max="1804" width="4.140625" style="157" customWidth="1"/>
    <col min="1805" max="1806" width="11.42578125" style="157"/>
    <col min="1807" max="1807" width="12.42578125" style="157" bestFit="1" customWidth="1"/>
    <col min="1808" max="2048" width="11.42578125" style="157"/>
    <col min="2049" max="2049" width="5.42578125" style="157" customWidth="1"/>
    <col min="2050" max="2050" width="22.140625" style="157" customWidth="1"/>
    <col min="2051" max="2051" width="15" style="157" customWidth="1"/>
    <col min="2052" max="2052" width="12.85546875" style="157" customWidth="1"/>
    <col min="2053" max="2053" width="12.7109375" style="157" customWidth="1"/>
    <col min="2054" max="2054" width="14" style="157" customWidth="1"/>
    <col min="2055" max="2056" width="12.42578125" style="157" customWidth="1"/>
    <col min="2057" max="2057" width="11.7109375" style="157" customWidth="1"/>
    <col min="2058" max="2058" width="11" style="157" customWidth="1"/>
    <col min="2059" max="2059" width="11.28515625" style="157" customWidth="1"/>
    <col min="2060" max="2060" width="4.140625" style="157" customWidth="1"/>
    <col min="2061" max="2062" width="11.42578125" style="157"/>
    <col min="2063" max="2063" width="12.42578125" style="157" bestFit="1" customWidth="1"/>
    <col min="2064" max="2304" width="11.42578125" style="157"/>
    <col min="2305" max="2305" width="5.42578125" style="157" customWidth="1"/>
    <col min="2306" max="2306" width="22.140625" style="157" customWidth="1"/>
    <col min="2307" max="2307" width="15" style="157" customWidth="1"/>
    <col min="2308" max="2308" width="12.85546875" style="157" customWidth="1"/>
    <col min="2309" max="2309" width="12.7109375" style="157" customWidth="1"/>
    <col min="2310" max="2310" width="14" style="157" customWidth="1"/>
    <col min="2311" max="2312" width="12.42578125" style="157" customWidth="1"/>
    <col min="2313" max="2313" width="11.7109375" style="157" customWidth="1"/>
    <col min="2314" max="2314" width="11" style="157" customWidth="1"/>
    <col min="2315" max="2315" width="11.28515625" style="157" customWidth="1"/>
    <col min="2316" max="2316" width="4.140625" style="157" customWidth="1"/>
    <col min="2317" max="2318" width="11.42578125" style="157"/>
    <col min="2319" max="2319" width="12.42578125" style="157" bestFit="1" customWidth="1"/>
    <col min="2320" max="2560" width="11.42578125" style="157"/>
    <col min="2561" max="2561" width="5.42578125" style="157" customWidth="1"/>
    <col min="2562" max="2562" width="22.140625" style="157" customWidth="1"/>
    <col min="2563" max="2563" width="15" style="157" customWidth="1"/>
    <col min="2564" max="2564" width="12.85546875" style="157" customWidth="1"/>
    <col min="2565" max="2565" width="12.7109375" style="157" customWidth="1"/>
    <col min="2566" max="2566" width="14" style="157" customWidth="1"/>
    <col min="2567" max="2568" width="12.42578125" style="157" customWidth="1"/>
    <col min="2569" max="2569" width="11.7109375" style="157" customWidth="1"/>
    <col min="2570" max="2570" width="11" style="157" customWidth="1"/>
    <col min="2571" max="2571" width="11.28515625" style="157" customWidth="1"/>
    <col min="2572" max="2572" width="4.140625" style="157" customWidth="1"/>
    <col min="2573" max="2574" width="11.42578125" style="157"/>
    <col min="2575" max="2575" width="12.42578125" style="157" bestFit="1" customWidth="1"/>
    <col min="2576" max="2816" width="11.42578125" style="157"/>
    <col min="2817" max="2817" width="5.42578125" style="157" customWidth="1"/>
    <col min="2818" max="2818" width="22.140625" style="157" customWidth="1"/>
    <col min="2819" max="2819" width="15" style="157" customWidth="1"/>
    <col min="2820" max="2820" width="12.85546875" style="157" customWidth="1"/>
    <col min="2821" max="2821" width="12.7109375" style="157" customWidth="1"/>
    <col min="2822" max="2822" width="14" style="157" customWidth="1"/>
    <col min="2823" max="2824" width="12.42578125" style="157" customWidth="1"/>
    <col min="2825" max="2825" width="11.7109375" style="157" customWidth="1"/>
    <col min="2826" max="2826" width="11" style="157" customWidth="1"/>
    <col min="2827" max="2827" width="11.28515625" style="157" customWidth="1"/>
    <col min="2828" max="2828" width="4.140625" style="157" customWidth="1"/>
    <col min="2829" max="2830" width="11.42578125" style="157"/>
    <col min="2831" max="2831" width="12.42578125" style="157" bestFit="1" customWidth="1"/>
    <col min="2832" max="3072" width="11.42578125" style="157"/>
    <col min="3073" max="3073" width="5.42578125" style="157" customWidth="1"/>
    <col min="3074" max="3074" width="22.140625" style="157" customWidth="1"/>
    <col min="3075" max="3075" width="15" style="157" customWidth="1"/>
    <col min="3076" max="3076" width="12.85546875" style="157" customWidth="1"/>
    <col min="3077" max="3077" width="12.7109375" style="157" customWidth="1"/>
    <col min="3078" max="3078" width="14" style="157" customWidth="1"/>
    <col min="3079" max="3080" width="12.42578125" style="157" customWidth="1"/>
    <col min="3081" max="3081" width="11.7109375" style="157" customWidth="1"/>
    <col min="3082" max="3082" width="11" style="157" customWidth="1"/>
    <col min="3083" max="3083" width="11.28515625" style="157" customWidth="1"/>
    <col min="3084" max="3084" width="4.140625" style="157" customWidth="1"/>
    <col min="3085" max="3086" width="11.42578125" style="157"/>
    <col min="3087" max="3087" width="12.42578125" style="157" bestFit="1" customWidth="1"/>
    <col min="3088" max="3328" width="11.42578125" style="157"/>
    <col min="3329" max="3329" width="5.42578125" style="157" customWidth="1"/>
    <col min="3330" max="3330" width="22.140625" style="157" customWidth="1"/>
    <col min="3331" max="3331" width="15" style="157" customWidth="1"/>
    <col min="3332" max="3332" width="12.85546875" style="157" customWidth="1"/>
    <col min="3333" max="3333" width="12.7109375" style="157" customWidth="1"/>
    <col min="3334" max="3334" width="14" style="157" customWidth="1"/>
    <col min="3335" max="3336" width="12.42578125" style="157" customWidth="1"/>
    <col min="3337" max="3337" width="11.7109375" style="157" customWidth="1"/>
    <col min="3338" max="3338" width="11" style="157" customWidth="1"/>
    <col min="3339" max="3339" width="11.28515625" style="157" customWidth="1"/>
    <col min="3340" max="3340" width="4.140625" style="157" customWidth="1"/>
    <col min="3341" max="3342" width="11.42578125" style="157"/>
    <col min="3343" max="3343" width="12.42578125" style="157" bestFit="1" customWidth="1"/>
    <col min="3344" max="3584" width="11.42578125" style="157"/>
    <col min="3585" max="3585" width="5.42578125" style="157" customWidth="1"/>
    <col min="3586" max="3586" width="22.140625" style="157" customWidth="1"/>
    <col min="3587" max="3587" width="15" style="157" customWidth="1"/>
    <col min="3588" max="3588" width="12.85546875" style="157" customWidth="1"/>
    <col min="3589" max="3589" width="12.7109375" style="157" customWidth="1"/>
    <col min="3590" max="3590" width="14" style="157" customWidth="1"/>
    <col min="3591" max="3592" width="12.42578125" style="157" customWidth="1"/>
    <col min="3593" max="3593" width="11.7109375" style="157" customWidth="1"/>
    <col min="3594" max="3594" width="11" style="157" customWidth="1"/>
    <col min="3595" max="3595" width="11.28515625" style="157" customWidth="1"/>
    <col min="3596" max="3596" width="4.140625" style="157" customWidth="1"/>
    <col min="3597" max="3598" width="11.42578125" style="157"/>
    <col min="3599" max="3599" width="12.42578125" style="157" bestFit="1" customWidth="1"/>
    <col min="3600" max="3840" width="11.42578125" style="157"/>
    <col min="3841" max="3841" width="5.42578125" style="157" customWidth="1"/>
    <col min="3842" max="3842" width="22.140625" style="157" customWidth="1"/>
    <col min="3843" max="3843" width="15" style="157" customWidth="1"/>
    <col min="3844" max="3844" width="12.85546875" style="157" customWidth="1"/>
    <col min="3845" max="3845" width="12.7109375" style="157" customWidth="1"/>
    <col min="3846" max="3846" width="14" style="157" customWidth="1"/>
    <col min="3847" max="3848" width="12.42578125" style="157" customWidth="1"/>
    <col min="3849" max="3849" width="11.7109375" style="157" customWidth="1"/>
    <col min="3850" max="3850" width="11" style="157" customWidth="1"/>
    <col min="3851" max="3851" width="11.28515625" style="157" customWidth="1"/>
    <col min="3852" max="3852" width="4.140625" style="157" customWidth="1"/>
    <col min="3853" max="3854" width="11.42578125" style="157"/>
    <col min="3855" max="3855" width="12.42578125" style="157" bestFit="1" customWidth="1"/>
    <col min="3856" max="4096" width="11.42578125" style="157"/>
    <col min="4097" max="4097" width="5.42578125" style="157" customWidth="1"/>
    <col min="4098" max="4098" width="22.140625" style="157" customWidth="1"/>
    <col min="4099" max="4099" width="15" style="157" customWidth="1"/>
    <col min="4100" max="4100" width="12.85546875" style="157" customWidth="1"/>
    <col min="4101" max="4101" width="12.7109375" style="157" customWidth="1"/>
    <col min="4102" max="4102" width="14" style="157" customWidth="1"/>
    <col min="4103" max="4104" width="12.42578125" style="157" customWidth="1"/>
    <col min="4105" max="4105" width="11.7109375" style="157" customWidth="1"/>
    <col min="4106" max="4106" width="11" style="157" customWidth="1"/>
    <col min="4107" max="4107" width="11.28515625" style="157" customWidth="1"/>
    <col min="4108" max="4108" width="4.140625" style="157" customWidth="1"/>
    <col min="4109" max="4110" width="11.42578125" style="157"/>
    <col min="4111" max="4111" width="12.42578125" style="157" bestFit="1" customWidth="1"/>
    <col min="4112" max="4352" width="11.42578125" style="157"/>
    <col min="4353" max="4353" width="5.42578125" style="157" customWidth="1"/>
    <col min="4354" max="4354" width="22.140625" style="157" customWidth="1"/>
    <col min="4355" max="4355" width="15" style="157" customWidth="1"/>
    <col min="4356" max="4356" width="12.85546875" style="157" customWidth="1"/>
    <col min="4357" max="4357" width="12.7109375" style="157" customWidth="1"/>
    <col min="4358" max="4358" width="14" style="157" customWidth="1"/>
    <col min="4359" max="4360" width="12.42578125" style="157" customWidth="1"/>
    <col min="4361" max="4361" width="11.7109375" style="157" customWidth="1"/>
    <col min="4362" max="4362" width="11" style="157" customWidth="1"/>
    <col min="4363" max="4363" width="11.28515625" style="157" customWidth="1"/>
    <col min="4364" max="4364" width="4.140625" style="157" customWidth="1"/>
    <col min="4365" max="4366" width="11.42578125" style="157"/>
    <col min="4367" max="4367" width="12.42578125" style="157" bestFit="1" customWidth="1"/>
    <col min="4368" max="4608" width="11.42578125" style="157"/>
    <col min="4609" max="4609" width="5.42578125" style="157" customWidth="1"/>
    <col min="4610" max="4610" width="22.140625" style="157" customWidth="1"/>
    <col min="4611" max="4611" width="15" style="157" customWidth="1"/>
    <col min="4612" max="4612" width="12.85546875" style="157" customWidth="1"/>
    <col min="4613" max="4613" width="12.7109375" style="157" customWidth="1"/>
    <col min="4614" max="4614" width="14" style="157" customWidth="1"/>
    <col min="4615" max="4616" width="12.42578125" style="157" customWidth="1"/>
    <col min="4617" max="4617" width="11.7109375" style="157" customWidth="1"/>
    <col min="4618" max="4618" width="11" style="157" customWidth="1"/>
    <col min="4619" max="4619" width="11.28515625" style="157" customWidth="1"/>
    <col min="4620" max="4620" width="4.140625" style="157" customWidth="1"/>
    <col min="4621" max="4622" width="11.42578125" style="157"/>
    <col min="4623" max="4623" width="12.42578125" style="157" bestFit="1" customWidth="1"/>
    <col min="4624" max="4864" width="11.42578125" style="157"/>
    <col min="4865" max="4865" width="5.42578125" style="157" customWidth="1"/>
    <col min="4866" max="4866" width="22.140625" style="157" customWidth="1"/>
    <col min="4867" max="4867" width="15" style="157" customWidth="1"/>
    <col min="4868" max="4868" width="12.85546875" style="157" customWidth="1"/>
    <col min="4869" max="4869" width="12.7109375" style="157" customWidth="1"/>
    <col min="4870" max="4870" width="14" style="157" customWidth="1"/>
    <col min="4871" max="4872" width="12.42578125" style="157" customWidth="1"/>
    <col min="4873" max="4873" width="11.7109375" style="157" customWidth="1"/>
    <col min="4874" max="4874" width="11" style="157" customWidth="1"/>
    <col min="4875" max="4875" width="11.28515625" style="157" customWidth="1"/>
    <col min="4876" max="4876" width="4.140625" style="157" customWidth="1"/>
    <col min="4877" max="4878" width="11.42578125" style="157"/>
    <col min="4879" max="4879" width="12.42578125" style="157" bestFit="1" customWidth="1"/>
    <col min="4880" max="5120" width="11.42578125" style="157"/>
    <col min="5121" max="5121" width="5.42578125" style="157" customWidth="1"/>
    <col min="5122" max="5122" width="22.140625" style="157" customWidth="1"/>
    <col min="5123" max="5123" width="15" style="157" customWidth="1"/>
    <col min="5124" max="5124" width="12.85546875" style="157" customWidth="1"/>
    <col min="5125" max="5125" width="12.7109375" style="157" customWidth="1"/>
    <col min="5126" max="5126" width="14" style="157" customWidth="1"/>
    <col min="5127" max="5128" width="12.42578125" style="157" customWidth="1"/>
    <col min="5129" max="5129" width="11.7109375" style="157" customWidth="1"/>
    <col min="5130" max="5130" width="11" style="157" customWidth="1"/>
    <col min="5131" max="5131" width="11.28515625" style="157" customWidth="1"/>
    <col min="5132" max="5132" width="4.140625" style="157" customWidth="1"/>
    <col min="5133" max="5134" width="11.42578125" style="157"/>
    <col min="5135" max="5135" width="12.42578125" style="157" bestFit="1" customWidth="1"/>
    <col min="5136" max="5376" width="11.42578125" style="157"/>
    <col min="5377" max="5377" width="5.42578125" style="157" customWidth="1"/>
    <col min="5378" max="5378" width="22.140625" style="157" customWidth="1"/>
    <col min="5379" max="5379" width="15" style="157" customWidth="1"/>
    <col min="5380" max="5380" width="12.85546875" style="157" customWidth="1"/>
    <col min="5381" max="5381" width="12.7109375" style="157" customWidth="1"/>
    <col min="5382" max="5382" width="14" style="157" customWidth="1"/>
    <col min="5383" max="5384" width="12.42578125" style="157" customWidth="1"/>
    <col min="5385" max="5385" width="11.7109375" style="157" customWidth="1"/>
    <col min="5386" max="5386" width="11" style="157" customWidth="1"/>
    <col min="5387" max="5387" width="11.28515625" style="157" customWidth="1"/>
    <col min="5388" max="5388" width="4.140625" style="157" customWidth="1"/>
    <col min="5389" max="5390" width="11.42578125" style="157"/>
    <col min="5391" max="5391" width="12.42578125" style="157" bestFit="1" customWidth="1"/>
    <col min="5392" max="5632" width="11.42578125" style="157"/>
    <col min="5633" max="5633" width="5.42578125" style="157" customWidth="1"/>
    <col min="5634" max="5634" width="22.140625" style="157" customWidth="1"/>
    <col min="5635" max="5635" width="15" style="157" customWidth="1"/>
    <col min="5636" max="5636" width="12.85546875" style="157" customWidth="1"/>
    <col min="5637" max="5637" width="12.7109375" style="157" customWidth="1"/>
    <col min="5638" max="5638" width="14" style="157" customWidth="1"/>
    <col min="5639" max="5640" width="12.42578125" style="157" customWidth="1"/>
    <col min="5641" max="5641" width="11.7109375" style="157" customWidth="1"/>
    <col min="5642" max="5642" width="11" style="157" customWidth="1"/>
    <col min="5643" max="5643" width="11.28515625" style="157" customWidth="1"/>
    <col min="5644" max="5644" width="4.140625" style="157" customWidth="1"/>
    <col min="5645" max="5646" width="11.42578125" style="157"/>
    <col min="5647" max="5647" width="12.42578125" style="157" bestFit="1" customWidth="1"/>
    <col min="5648" max="5888" width="11.42578125" style="157"/>
    <col min="5889" max="5889" width="5.42578125" style="157" customWidth="1"/>
    <col min="5890" max="5890" width="22.140625" style="157" customWidth="1"/>
    <col min="5891" max="5891" width="15" style="157" customWidth="1"/>
    <col min="5892" max="5892" width="12.85546875" style="157" customWidth="1"/>
    <col min="5893" max="5893" width="12.7109375" style="157" customWidth="1"/>
    <col min="5894" max="5894" width="14" style="157" customWidth="1"/>
    <col min="5895" max="5896" width="12.42578125" style="157" customWidth="1"/>
    <col min="5897" max="5897" width="11.7109375" style="157" customWidth="1"/>
    <col min="5898" max="5898" width="11" style="157" customWidth="1"/>
    <col min="5899" max="5899" width="11.28515625" style="157" customWidth="1"/>
    <col min="5900" max="5900" width="4.140625" style="157" customWidth="1"/>
    <col min="5901" max="5902" width="11.42578125" style="157"/>
    <col min="5903" max="5903" width="12.42578125" style="157" bestFit="1" customWidth="1"/>
    <col min="5904" max="6144" width="11.42578125" style="157"/>
    <col min="6145" max="6145" width="5.42578125" style="157" customWidth="1"/>
    <col min="6146" max="6146" width="22.140625" style="157" customWidth="1"/>
    <col min="6147" max="6147" width="15" style="157" customWidth="1"/>
    <col min="6148" max="6148" width="12.85546875" style="157" customWidth="1"/>
    <col min="6149" max="6149" width="12.7109375" style="157" customWidth="1"/>
    <col min="6150" max="6150" width="14" style="157" customWidth="1"/>
    <col min="6151" max="6152" width="12.42578125" style="157" customWidth="1"/>
    <col min="6153" max="6153" width="11.7109375" style="157" customWidth="1"/>
    <col min="6154" max="6154" width="11" style="157" customWidth="1"/>
    <col min="6155" max="6155" width="11.28515625" style="157" customWidth="1"/>
    <col min="6156" max="6156" width="4.140625" style="157" customWidth="1"/>
    <col min="6157" max="6158" width="11.42578125" style="157"/>
    <col min="6159" max="6159" width="12.42578125" style="157" bestFit="1" customWidth="1"/>
    <col min="6160" max="6400" width="11.42578125" style="157"/>
    <col min="6401" max="6401" width="5.42578125" style="157" customWidth="1"/>
    <col min="6402" max="6402" width="22.140625" style="157" customWidth="1"/>
    <col min="6403" max="6403" width="15" style="157" customWidth="1"/>
    <col min="6404" max="6404" width="12.85546875" style="157" customWidth="1"/>
    <col min="6405" max="6405" width="12.7109375" style="157" customWidth="1"/>
    <col min="6406" max="6406" width="14" style="157" customWidth="1"/>
    <col min="6407" max="6408" width="12.42578125" style="157" customWidth="1"/>
    <col min="6409" max="6409" width="11.7109375" style="157" customWidth="1"/>
    <col min="6410" max="6410" width="11" style="157" customWidth="1"/>
    <col min="6411" max="6411" width="11.28515625" style="157" customWidth="1"/>
    <col min="6412" max="6412" width="4.140625" style="157" customWidth="1"/>
    <col min="6413" max="6414" width="11.42578125" style="157"/>
    <col min="6415" max="6415" width="12.42578125" style="157" bestFit="1" customWidth="1"/>
    <col min="6416" max="6656" width="11.42578125" style="157"/>
    <col min="6657" max="6657" width="5.42578125" style="157" customWidth="1"/>
    <col min="6658" max="6658" width="22.140625" style="157" customWidth="1"/>
    <col min="6659" max="6659" width="15" style="157" customWidth="1"/>
    <col min="6660" max="6660" width="12.85546875" style="157" customWidth="1"/>
    <col min="6661" max="6661" width="12.7109375" style="157" customWidth="1"/>
    <col min="6662" max="6662" width="14" style="157" customWidth="1"/>
    <col min="6663" max="6664" width="12.42578125" style="157" customWidth="1"/>
    <col min="6665" max="6665" width="11.7109375" style="157" customWidth="1"/>
    <col min="6666" max="6666" width="11" style="157" customWidth="1"/>
    <col min="6667" max="6667" width="11.28515625" style="157" customWidth="1"/>
    <col min="6668" max="6668" width="4.140625" style="157" customWidth="1"/>
    <col min="6669" max="6670" width="11.42578125" style="157"/>
    <col min="6671" max="6671" width="12.42578125" style="157" bestFit="1" customWidth="1"/>
    <col min="6672" max="6912" width="11.42578125" style="157"/>
    <col min="6913" max="6913" width="5.42578125" style="157" customWidth="1"/>
    <col min="6914" max="6914" width="22.140625" style="157" customWidth="1"/>
    <col min="6915" max="6915" width="15" style="157" customWidth="1"/>
    <col min="6916" max="6916" width="12.85546875" style="157" customWidth="1"/>
    <col min="6917" max="6917" width="12.7109375" style="157" customWidth="1"/>
    <col min="6918" max="6918" width="14" style="157" customWidth="1"/>
    <col min="6919" max="6920" width="12.42578125" style="157" customWidth="1"/>
    <col min="6921" max="6921" width="11.7109375" style="157" customWidth="1"/>
    <col min="6922" max="6922" width="11" style="157" customWidth="1"/>
    <col min="6923" max="6923" width="11.28515625" style="157" customWidth="1"/>
    <col min="6924" max="6924" width="4.140625" style="157" customWidth="1"/>
    <col min="6925" max="6926" width="11.42578125" style="157"/>
    <col min="6927" max="6927" width="12.42578125" style="157" bestFit="1" customWidth="1"/>
    <col min="6928" max="7168" width="11.42578125" style="157"/>
    <col min="7169" max="7169" width="5.42578125" style="157" customWidth="1"/>
    <col min="7170" max="7170" width="22.140625" style="157" customWidth="1"/>
    <col min="7171" max="7171" width="15" style="157" customWidth="1"/>
    <col min="7172" max="7172" width="12.85546875" style="157" customWidth="1"/>
    <col min="7173" max="7173" width="12.7109375" style="157" customWidth="1"/>
    <col min="7174" max="7174" width="14" style="157" customWidth="1"/>
    <col min="7175" max="7176" width="12.42578125" style="157" customWidth="1"/>
    <col min="7177" max="7177" width="11.7109375" style="157" customWidth="1"/>
    <col min="7178" max="7178" width="11" style="157" customWidth="1"/>
    <col min="7179" max="7179" width="11.28515625" style="157" customWidth="1"/>
    <col min="7180" max="7180" width="4.140625" style="157" customWidth="1"/>
    <col min="7181" max="7182" width="11.42578125" style="157"/>
    <col min="7183" max="7183" width="12.42578125" style="157" bestFit="1" customWidth="1"/>
    <col min="7184" max="7424" width="11.42578125" style="157"/>
    <col min="7425" max="7425" width="5.42578125" style="157" customWidth="1"/>
    <col min="7426" max="7426" width="22.140625" style="157" customWidth="1"/>
    <col min="7427" max="7427" width="15" style="157" customWidth="1"/>
    <col min="7428" max="7428" width="12.85546875" style="157" customWidth="1"/>
    <col min="7429" max="7429" width="12.7109375" style="157" customWidth="1"/>
    <col min="7430" max="7430" width="14" style="157" customWidth="1"/>
    <col min="7431" max="7432" width="12.42578125" style="157" customWidth="1"/>
    <col min="7433" max="7433" width="11.7109375" style="157" customWidth="1"/>
    <col min="7434" max="7434" width="11" style="157" customWidth="1"/>
    <col min="7435" max="7435" width="11.28515625" style="157" customWidth="1"/>
    <col min="7436" max="7436" width="4.140625" style="157" customWidth="1"/>
    <col min="7437" max="7438" width="11.42578125" style="157"/>
    <col min="7439" max="7439" width="12.42578125" style="157" bestFit="1" customWidth="1"/>
    <col min="7440" max="7680" width="11.42578125" style="157"/>
    <col min="7681" max="7681" width="5.42578125" style="157" customWidth="1"/>
    <col min="7682" max="7682" width="22.140625" style="157" customWidth="1"/>
    <col min="7683" max="7683" width="15" style="157" customWidth="1"/>
    <col min="7684" max="7684" width="12.85546875" style="157" customWidth="1"/>
    <col min="7685" max="7685" width="12.7109375" style="157" customWidth="1"/>
    <col min="7686" max="7686" width="14" style="157" customWidth="1"/>
    <col min="7687" max="7688" width="12.42578125" style="157" customWidth="1"/>
    <col min="7689" max="7689" width="11.7109375" style="157" customWidth="1"/>
    <col min="7690" max="7690" width="11" style="157" customWidth="1"/>
    <col min="7691" max="7691" width="11.28515625" style="157" customWidth="1"/>
    <col min="7692" max="7692" width="4.140625" style="157" customWidth="1"/>
    <col min="7693" max="7694" width="11.42578125" style="157"/>
    <col min="7695" max="7695" width="12.42578125" style="157" bestFit="1" customWidth="1"/>
    <col min="7696" max="7936" width="11.42578125" style="157"/>
    <col min="7937" max="7937" width="5.42578125" style="157" customWidth="1"/>
    <col min="7938" max="7938" width="22.140625" style="157" customWidth="1"/>
    <col min="7939" max="7939" width="15" style="157" customWidth="1"/>
    <col min="7940" max="7940" width="12.85546875" style="157" customWidth="1"/>
    <col min="7941" max="7941" width="12.7109375" style="157" customWidth="1"/>
    <col min="7942" max="7942" width="14" style="157" customWidth="1"/>
    <col min="7943" max="7944" width="12.42578125" style="157" customWidth="1"/>
    <col min="7945" max="7945" width="11.7109375" style="157" customWidth="1"/>
    <col min="7946" max="7946" width="11" style="157" customWidth="1"/>
    <col min="7947" max="7947" width="11.28515625" style="157" customWidth="1"/>
    <col min="7948" max="7948" width="4.140625" style="157" customWidth="1"/>
    <col min="7949" max="7950" width="11.42578125" style="157"/>
    <col min="7951" max="7951" width="12.42578125" style="157" bestFit="1" customWidth="1"/>
    <col min="7952" max="8192" width="11.42578125" style="157"/>
    <col min="8193" max="8193" width="5.42578125" style="157" customWidth="1"/>
    <col min="8194" max="8194" width="22.140625" style="157" customWidth="1"/>
    <col min="8195" max="8195" width="15" style="157" customWidth="1"/>
    <col min="8196" max="8196" width="12.85546875" style="157" customWidth="1"/>
    <col min="8197" max="8197" width="12.7109375" style="157" customWidth="1"/>
    <col min="8198" max="8198" width="14" style="157" customWidth="1"/>
    <col min="8199" max="8200" width="12.42578125" style="157" customWidth="1"/>
    <col min="8201" max="8201" width="11.7109375" style="157" customWidth="1"/>
    <col min="8202" max="8202" width="11" style="157" customWidth="1"/>
    <col min="8203" max="8203" width="11.28515625" style="157" customWidth="1"/>
    <col min="8204" max="8204" width="4.140625" style="157" customWidth="1"/>
    <col min="8205" max="8206" width="11.42578125" style="157"/>
    <col min="8207" max="8207" width="12.42578125" style="157" bestFit="1" customWidth="1"/>
    <col min="8208" max="8448" width="11.42578125" style="157"/>
    <col min="8449" max="8449" width="5.42578125" style="157" customWidth="1"/>
    <col min="8450" max="8450" width="22.140625" style="157" customWidth="1"/>
    <col min="8451" max="8451" width="15" style="157" customWidth="1"/>
    <col min="8452" max="8452" width="12.85546875" style="157" customWidth="1"/>
    <col min="8453" max="8453" width="12.7109375" style="157" customWidth="1"/>
    <col min="8454" max="8454" width="14" style="157" customWidth="1"/>
    <col min="8455" max="8456" width="12.42578125" style="157" customWidth="1"/>
    <col min="8457" max="8457" width="11.7109375" style="157" customWidth="1"/>
    <col min="8458" max="8458" width="11" style="157" customWidth="1"/>
    <col min="8459" max="8459" width="11.28515625" style="157" customWidth="1"/>
    <col min="8460" max="8460" width="4.140625" style="157" customWidth="1"/>
    <col min="8461" max="8462" width="11.42578125" style="157"/>
    <col min="8463" max="8463" width="12.42578125" style="157" bestFit="1" customWidth="1"/>
    <col min="8464" max="8704" width="11.42578125" style="157"/>
    <col min="8705" max="8705" width="5.42578125" style="157" customWidth="1"/>
    <col min="8706" max="8706" width="22.140625" style="157" customWidth="1"/>
    <col min="8707" max="8707" width="15" style="157" customWidth="1"/>
    <col min="8708" max="8708" width="12.85546875" style="157" customWidth="1"/>
    <col min="8709" max="8709" width="12.7109375" style="157" customWidth="1"/>
    <col min="8710" max="8710" width="14" style="157" customWidth="1"/>
    <col min="8711" max="8712" width="12.42578125" style="157" customWidth="1"/>
    <col min="8713" max="8713" width="11.7109375" style="157" customWidth="1"/>
    <col min="8714" max="8714" width="11" style="157" customWidth="1"/>
    <col min="8715" max="8715" width="11.28515625" style="157" customWidth="1"/>
    <col min="8716" max="8716" width="4.140625" style="157" customWidth="1"/>
    <col min="8717" max="8718" width="11.42578125" style="157"/>
    <col min="8719" max="8719" width="12.42578125" style="157" bestFit="1" customWidth="1"/>
    <col min="8720" max="8960" width="11.42578125" style="157"/>
    <col min="8961" max="8961" width="5.42578125" style="157" customWidth="1"/>
    <col min="8962" max="8962" width="22.140625" style="157" customWidth="1"/>
    <col min="8963" max="8963" width="15" style="157" customWidth="1"/>
    <col min="8964" max="8964" width="12.85546875" style="157" customWidth="1"/>
    <col min="8965" max="8965" width="12.7109375" style="157" customWidth="1"/>
    <col min="8966" max="8966" width="14" style="157" customWidth="1"/>
    <col min="8967" max="8968" width="12.42578125" style="157" customWidth="1"/>
    <col min="8969" max="8969" width="11.7109375" style="157" customWidth="1"/>
    <col min="8970" max="8970" width="11" style="157" customWidth="1"/>
    <col min="8971" max="8971" width="11.28515625" style="157" customWidth="1"/>
    <col min="8972" max="8972" width="4.140625" style="157" customWidth="1"/>
    <col min="8973" max="8974" width="11.42578125" style="157"/>
    <col min="8975" max="8975" width="12.42578125" style="157" bestFit="1" customWidth="1"/>
    <col min="8976" max="9216" width="11.42578125" style="157"/>
    <col min="9217" max="9217" width="5.42578125" style="157" customWidth="1"/>
    <col min="9218" max="9218" width="22.140625" style="157" customWidth="1"/>
    <col min="9219" max="9219" width="15" style="157" customWidth="1"/>
    <col min="9220" max="9220" width="12.85546875" style="157" customWidth="1"/>
    <col min="9221" max="9221" width="12.7109375" style="157" customWidth="1"/>
    <col min="9222" max="9222" width="14" style="157" customWidth="1"/>
    <col min="9223" max="9224" width="12.42578125" style="157" customWidth="1"/>
    <col min="9225" max="9225" width="11.7109375" style="157" customWidth="1"/>
    <col min="9226" max="9226" width="11" style="157" customWidth="1"/>
    <col min="9227" max="9227" width="11.28515625" style="157" customWidth="1"/>
    <col min="9228" max="9228" width="4.140625" style="157" customWidth="1"/>
    <col min="9229" max="9230" width="11.42578125" style="157"/>
    <col min="9231" max="9231" width="12.42578125" style="157" bestFit="1" customWidth="1"/>
    <col min="9232" max="9472" width="11.42578125" style="157"/>
    <col min="9473" max="9473" width="5.42578125" style="157" customWidth="1"/>
    <col min="9474" max="9474" width="22.140625" style="157" customWidth="1"/>
    <col min="9475" max="9475" width="15" style="157" customWidth="1"/>
    <col min="9476" max="9476" width="12.85546875" style="157" customWidth="1"/>
    <col min="9477" max="9477" width="12.7109375" style="157" customWidth="1"/>
    <col min="9478" max="9478" width="14" style="157" customWidth="1"/>
    <col min="9479" max="9480" width="12.42578125" style="157" customWidth="1"/>
    <col min="9481" max="9481" width="11.7109375" style="157" customWidth="1"/>
    <col min="9482" max="9482" width="11" style="157" customWidth="1"/>
    <col min="9483" max="9483" width="11.28515625" style="157" customWidth="1"/>
    <col min="9484" max="9484" width="4.140625" style="157" customWidth="1"/>
    <col min="9485" max="9486" width="11.42578125" style="157"/>
    <col min="9487" max="9487" width="12.42578125" style="157" bestFit="1" customWidth="1"/>
    <col min="9488" max="9728" width="11.42578125" style="157"/>
    <col min="9729" max="9729" width="5.42578125" style="157" customWidth="1"/>
    <col min="9730" max="9730" width="22.140625" style="157" customWidth="1"/>
    <col min="9731" max="9731" width="15" style="157" customWidth="1"/>
    <col min="9732" max="9732" width="12.85546875" style="157" customWidth="1"/>
    <col min="9733" max="9733" width="12.7109375" style="157" customWidth="1"/>
    <col min="9734" max="9734" width="14" style="157" customWidth="1"/>
    <col min="9735" max="9736" width="12.42578125" style="157" customWidth="1"/>
    <col min="9737" max="9737" width="11.7109375" style="157" customWidth="1"/>
    <col min="9738" max="9738" width="11" style="157" customWidth="1"/>
    <col min="9739" max="9739" width="11.28515625" style="157" customWidth="1"/>
    <col min="9740" max="9740" width="4.140625" style="157" customWidth="1"/>
    <col min="9741" max="9742" width="11.42578125" style="157"/>
    <col min="9743" max="9743" width="12.42578125" style="157" bestFit="1" customWidth="1"/>
    <col min="9744" max="9984" width="11.42578125" style="157"/>
    <col min="9985" max="9985" width="5.42578125" style="157" customWidth="1"/>
    <col min="9986" max="9986" width="22.140625" style="157" customWidth="1"/>
    <col min="9987" max="9987" width="15" style="157" customWidth="1"/>
    <col min="9988" max="9988" width="12.85546875" style="157" customWidth="1"/>
    <col min="9989" max="9989" width="12.7109375" style="157" customWidth="1"/>
    <col min="9990" max="9990" width="14" style="157" customWidth="1"/>
    <col min="9991" max="9992" width="12.42578125" style="157" customWidth="1"/>
    <col min="9993" max="9993" width="11.7109375" style="157" customWidth="1"/>
    <col min="9994" max="9994" width="11" style="157" customWidth="1"/>
    <col min="9995" max="9995" width="11.28515625" style="157" customWidth="1"/>
    <col min="9996" max="9996" width="4.140625" style="157" customWidth="1"/>
    <col min="9997" max="9998" width="11.42578125" style="157"/>
    <col min="9999" max="9999" width="12.42578125" style="157" bestFit="1" customWidth="1"/>
    <col min="10000" max="10240" width="11.42578125" style="157"/>
    <col min="10241" max="10241" width="5.42578125" style="157" customWidth="1"/>
    <col min="10242" max="10242" width="22.140625" style="157" customWidth="1"/>
    <col min="10243" max="10243" width="15" style="157" customWidth="1"/>
    <col min="10244" max="10244" width="12.85546875" style="157" customWidth="1"/>
    <col min="10245" max="10245" width="12.7109375" style="157" customWidth="1"/>
    <col min="10246" max="10246" width="14" style="157" customWidth="1"/>
    <col min="10247" max="10248" width="12.42578125" style="157" customWidth="1"/>
    <col min="10249" max="10249" width="11.7109375" style="157" customWidth="1"/>
    <col min="10250" max="10250" width="11" style="157" customWidth="1"/>
    <col min="10251" max="10251" width="11.28515625" style="157" customWidth="1"/>
    <col min="10252" max="10252" width="4.140625" style="157" customWidth="1"/>
    <col min="10253" max="10254" width="11.42578125" style="157"/>
    <col min="10255" max="10255" width="12.42578125" style="157" bestFit="1" customWidth="1"/>
    <col min="10256" max="10496" width="11.42578125" style="157"/>
    <col min="10497" max="10497" width="5.42578125" style="157" customWidth="1"/>
    <col min="10498" max="10498" width="22.140625" style="157" customWidth="1"/>
    <col min="10499" max="10499" width="15" style="157" customWidth="1"/>
    <col min="10500" max="10500" width="12.85546875" style="157" customWidth="1"/>
    <col min="10501" max="10501" width="12.7109375" style="157" customWidth="1"/>
    <col min="10502" max="10502" width="14" style="157" customWidth="1"/>
    <col min="10503" max="10504" width="12.42578125" style="157" customWidth="1"/>
    <col min="10505" max="10505" width="11.7109375" style="157" customWidth="1"/>
    <col min="10506" max="10506" width="11" style="157" customWidth="1"/>
    <col min="10507" max="10507" width="11.28515625" style="157" customWidth="1"/>
    <col min="10508" max="10508" width="4.140625" style="157" customWidth="1"/>
    <col min="10509" max="10510" width="11.42578125" style="157"/>
    <col min="10511" max="10511" width="12.42578125" style="157" bestFit="1" customWidth="1"/>
    <col min="10512" max="10752" width="11.42578125" style="157"/>
    <col min="10753" max="10753" width="5.42578125" style="157" customWidth="1"/>
    <col min="10754" max="10754" width="22.140625" style="157" customWidth="1"/>
    <col min="10755" max="10755" width="15" style="157" customWidth="1"/>
    <col min="10756" max="10756" width="12.85546875" style="157" customWidth="1"/>
    <col min="10757" max="10757" width="12.7109375" style="157" customWidth="1"/>
    <col min="10758" max="10758" width="14" style="157" customWidth="1"/>
    <col min="10759" max="10760" width="12.42578125" style="157" customWidth="1"/>
    <col min="10761" max="10761" width="11.7109375" style="157" customWidth="1"/>
    <col min="10762" max="10762" width="11" style="157" customWidth="1"/>
    <col min="10763" max="10763" width="11.28515625" style="157" customWidth="1"/>
    <col min="10764" max="10764" width="4.140625" style="157" customWidth="1"/>
    <col min="10765" max="10766" width="11.42578125" style="157"/>
    <col min="10767" max="10767" width="12.42578125" style="157" bestFit="1" customWidth="1"/>
    <col min="10768" max="11008" width="11.42578125" style="157"/>
    <col min="11009" max="11009" width="5.42578125" style="157" customWidth="1"/>
    <col min="11010" max="11010" width="22.140625" style="157" customWidth="1"/>
    <col min="11011" max="11011" width="15" style="157" customWidth="1"/>
    <col min="11012" max="11012" width="12.85546875" style="157" customWidth="1"/>
    <col min="11013" max="11013" width="12.7109375" style="157" customWidth="1"/>
    <col min="11014" max="11014" width="14" style="157" customWidth="1"/>
    <col min="11015" max="11016" width="12.42578125" style="157" customWidth="1"/>
    <col min="11017" max="11017" width="11.7109375" style="157" customWidth="1"/>
    <col min="11018" max="11018" width="11" style="157" customWidth="1"/>
    <col min="11019" max="11019" width="11.28515625" style="157" customWidth="1"/>
    <col min="11020" max="11020" width="4.140625" style="157" customWidth="1"/>
    <col min="11021" max="11022" width="11.42578125" style="157"/>
    <col min="11023" max="11023" width="12.42578125" style="157" bestFit="1" customWidth="1"/>
    <col min="11024" max="11264" width="11.42578125" style="157"/>
    <col min="11265" max="11265" width="5.42578125" style="157" customWidth="1"/>
    <col min="11266" max="11266" width="22.140625" style="157" customWidth="1"/>
    <col min="11267" max="11267" width="15" style="157" customWidth="1"/>
    <col min="11268" max="11268" width="12.85546875" style="157" customWidth="1"/>
    <col min="11269" max="11269" width="12.7109375" style="157" customWidth="1"/>
    <col min="11270" max="11270" width="14" style="157" customWidth="1"/>
    <col min="11271" max="11272" width="12.42578125" style="157" customWidth="1"/>
    <col min="11273" max="11273" width="11.7109375" style="157" customWidth="1"/>
    <col min="11274" max="11274" width="11" style="157" customWidth="1"/>
    <col min="11275" max="11275" width="11.28515625" style="157" customWidth="1"/>
    <col min="11276" max="11276" width="4.140625" style="157" customWidth="1"/>
    <col min="11277" max="11278" width="11.42578125" style="157"/>
    <col min="11279" max="11279" width="12.42578125" style="157" bestFit="1" customWidth="1"/>
    <col min="11280" max="11520" width="11.42578125" style="157"/>
    <col min="11521" max="11521" width="5.42578125" style="157" customWidth="1"/>
    <col min="11522" max="11522" width="22.140625" style="157" customWidth="1"/>
    <col min="11523" max="11523" width="15" style="157" customWidth="1"/>
    <col min="11524" max="11524" width="12.85546875" style="157" customWidth="1"/>
    <col min="11525" max="11525" width="12.7109375" style="157" customWidth="1"/>
    <col min="11526" max="11526" width="14" style="157" customWidth="1"/>
    <col min="11527" max="11528" width="12.42578125" style="157" customWidth="1"/>
    <col min="11529" max="11529" width="11.7109375" style="157" customWidth="1"/>
    <col min="11530" max="11530" width="11" style="157" customWidth="1"/>
    <col min="11531" max="11531" width="11.28515625" style="157" customWidth="1"/>
    <col min="11532" max="11532" width="4.140625" style="157" customWidth="1"/>
    <col min="11533" max="11534" width="11.42578125" style="157"/>
    <col min="11535" max="11535" width="12.42578125" style="157" bestFit="1" customWidth="1"/>
    <col min="11536" max="11776" width="11.42578125" style="157"/>
    <col min="11777" max="11777" width="5.42578125" style="157" customWidth="1"/>
    <col min="11778" max="11778" width="22.140625" style="157" customWidth="1"/>
    <col min="11779" max="11779" width="15" style="157" customWidth="1"/>
    <col min="11780" max="11780" width="12.85546875" style="157" customWidth="1"/>
    <col min="11781" max="11781" width="12.7109375" style="157" customWidth="1"/>
    <col min="11782" max="11782" width="14" style="157" customWidth="1"/>
    <col min="11783" max="11784" width="12.42578125" style="157" customWidth="1"/>
    <col min="11785" max="11785" width="11.7109375" style="157" customWidth="1"/>
    <col min="11786" max="11786" width="11" style="157" customWidth="1"/>
    <col min="11787" max="11787" width="11.28515625" style="157" customWidth="1"/>
    <col min="11788" max="11788" width="4.140625" style="157" customWidth="1"/>
    <col min="11789" max="11790" width="11.42578125" style="157"/>
    <col min="11791" max="11791" width="12.42578125" style="157" bestFit="1" customWidth="1"/>
    <col min="11792" max="12032" width="11.42578125" style="157"/>
    <col min="12033" max="12033" width="5.42578125" style="157" customWidth="1"/>
    <col min="12034" max="12034" width="22.140625" style="157" customWidth="1"/>
    <col min="12035" max="12035" width="15" style="157" customWidth="1"/>
    <col min="12036" max="12036" width="12.85546875" style="157" customWidth="1"/>
    <col min="12037" max="12037" width="12.7109375" style="157" customWidth="1"/>
    <col min="12038" max="12038" width="14" style="157" customWidth="1"/>
    <col min="12039" max="12040" width="12.42578125" style="157" customWidth="1"/>
    <col min="12041" max="12041" width="11.7109375" style="157" customWidth="1"/>
    <col min="12042" max="12042" width="11" style="157" customWidth="1"/>
    <col min="12043" max="12043" width="11.28515625" style="157" customWidth="1"/>
    <col min="12044" max="12044" width="4.140625" style="157" customWidth="1"/>
    <col min="12045" max="12046" width="11.42578125" style="157"/>
    <col min="12047" max="12047" width="12.42578125" style="157" bestFit="1" customWidth="1"/>
    <col min="12048" max="12288" width="11.42578125" style="157"/>
    <col min="12289" max="12289" width="5.42578125" style="157" customWidth="1"/>
    <col min="12290" max="12290" width="22.140625" style="157" customWidth="1"/>
    <col min="12291" max="12291" width="15" style="157" customWidth="1"/>
    <col min="12292" max="12292" width="12.85546875" style="157" customWidth="1"/>
    <col min="12293" max="12293" width="12.7109375" style="157" customWidth="1"/>
    <col min="12294" max="12294" width="14" style="157" customWidth="1"/>
    <col min="12295" max="12296" width="12.42578125" style="157" customWidth="1"/>
    <col min="12297" max="12297" width="11.7109375" style="157" customWidth="1"/>
    <col min="12298" max="12298" width="11" style="157" customWidth="1"/>
    <col min="12299" max="12299" width="11.28515625" style="157" customWidth="1"/>
    <col min="12300" max="12300" width="4.140625" style="157" customWidth="1"/>
    <col min="12301" max="12302" width="11.42578125" style="157"/>
    <col min="12303" max="12303" width="12.42578125" style="157" bestFit="1" customWidth="1"/>
    <col min="12304" max="12544" width="11.42578125" style="157"/>
    <col min="12545" max="12545" width="5.42578125" style="157" customWidth="1"/>
    <col min="12546" max="12546" width="22.140625" style="157" customWidth="1"/>
    <col min="12547" max="12547" width="15" style="157" customWidth="1"/>
    <col min="12548" max="12548" width="12.85546875" style="157" customWidth="1"/>
    <col min="12549" max="12549" width="12.7109375" style="157" customWidth="1"/>
    <col min="12550" max="12550" width="14" style="157" customWidth="1"/>
    <col min="12551" max="12552" width="12.42578125" style="157" customWidth="1"/>
    <col min="12553" max="12553" width="11.7109375" style="157" customWidth="1"/>
    <col min="12554" max="12554" width="11" style="157" customWidth="1"/>
    <col min="12555" max="12555" width="11.28515625" style="157" customWidth="1"/>
    <col min="12556" max="12556" width="4.140625" style="157" customWidth="1"/>
    <col min="12557" max="12558" width="11.42578125" style="157"/>
    <col min="12559" max="12559" width="12.42578125" style="157" bestFit="1" customWidth="1"/>
    <col min="12560" max="12800" width="11.42578125" style="157"/>
    <col min="12801" max="12801" width="5.42578125" style="157" customWidth="1"/>
    <col min="12802" max="12802" width="22.140625" style="157" customWidth="1"/>
    <col min="12803" max="12803" width="15" style="157" customWidth="1"/>
    <col min="12804" max="12804" width="12.85546875" style="157" customWidth="1"/>
    <col min="12805" max="12805" width="12.7109375" style="157" customWidth="1"/>
    <col min="12806" max="12806" width="14" style="157" customWidth="1"/>
    <col min="12807" max="12808" width="12.42578125" style="157" customWidth="1"/>
    <col min="12809" max="12809" width="11.7109375" style="157" customWidth="1"/>
    <col min="12810" max="12810" width="11" style="157" customWidth="1"/>
    <col min="12811" max="12811" width="11.28515625" style="157" customWidth="1"/>
    <col min="12812" max="12812" width="4.140625" style="157" customWidth="1"/>
    <col min="12813" max="12814" width="11.42578125" style="157"/>
    <col min="12815" max="12815" width="12.42578125" style="157" bestFit="1" customWidth="1"/>
    <col min="12816" max="13056" width="11.42578125" style="157"/>
    <col min="13057" max="13057" width="5.42578125" style="157" customWidth="1"/>
    <col min="13058" max="13058" width="22.140625" style="157" customWidth="1"/>
    <col min="13059" max="13059" width="15" style="157" customWidth="1"/>
    <col min="13060" max="13060" width="12.85546875" style="157" customWidth="1"/>
    <col min="13061" max="13061" width="12.7109375" style="157" customWidth="1"/>
    <col min="13062" max="13062" width="14" style="157" customWidth="1"/>
    <col min="13063" max="13064" width="12.42578125" style="157" customWidth="1"/>
    <col min="13065" max="13065" width="11.7109375" style="157" customWidth="1"/>
    <col min="13066" max="13066" width="11" style="157" customWidth="1"/>
    <col min="13067" max="13067" width="11.28515625" style="157" customWidth="1"/>
    <col min="13068" max="13068" width="4.140625" style="157" customWidth="1"/>
    <col min="13069" max="13070" width="11.42578125" style="157"/>
    <col min="13071" max="13071" width="12.42578125" style="157" bestFit="1" customWidth="1"/>
    <col min="13072" max="13312" width="11.42578125" style="157"/>
    <col min="13313" max="13313" width="5.42578125" style="157" customWidth="1"/>
    <col min="13314" max="13314" width="22.140625" style="157" customWidth="1"/>
    <col min="13315" max="13315" width="15" style="157" customWidth="1"/>
    <col min="13316" max="13316" width="12.85546875" style="157" customWidth="1"/>
    <col min="13317" max="13317" width="12.7109375" style="157" customWidth="1"/>
    <col min="13318" max="13318" width="14" style="157" customWidth="1"/>
    <col min="13319" max="13320" width="12.42578125" style="157" customWidth="1"/>
    <col min="13321" max="13321" width="11.7109375" style="157" customWidth="1"/>
    <col min="13322" max="13322" width="11" style="157" customWidth="1"/>
    <col min="13323" max="13323" width="11.28515625" style="157" customWidth="1"/>
    <col min="13324" max="13324" width="4.140625" style="157" customWidth="1"/>
    <col min="13325" max="13326" width="11.42578125" style="157"/>
    <col min="13327" max="13327" width="12.42578125" style="157" bestFit="1" customWidth="1"/>
    <col min="13328" max="13568" width="11.42578125" style="157"/>
    <col min="13569" max="13569" width="5.42578125" style="157" customWidth="1"/>
    <col min="13570" max="13570" width="22.140625" style="157" customWidth="1"/>
    <col min="13571" max="13571" width="15" style="157" customWidth="1"/>
    <col min="13572" max="13572" width="12.85546875" style="157" customWidth="1"/>
    <col min="13573" max="13573" width="12.7109375" style="157" customWidth="1"/>
    <col min="13574" max="13574" width="14" style="157" customWidth="1"/>
    <col min="13575" max="13576" width="12.42578125" style="157" customWidth="1"/>
    <col min="13577" max="13577" width="11.7109375" style="157" customWidth="1"/>
    <col min="13578" max="13578" width="11" style="157" customWidth="1"/>
    <col min="13579" max="13579" width="11.28515625" style="157" customWidth="1"/>
    <col min="13580" max="13580" width="4.140625" style="157" customWidth="1"/>
    <col min="13581" max="13582" width="11.42578125" style="157"/>
    <col min="13583" max="13583" width="12.42578125" style="157" bestFit="1" customWidth="1"/>
    <col min="13584" max="13824" width="11.42578125" style="157"/>
    <col min="13825" max="13825" width="5.42578125" style="157" customWidth="1"/>
    <col min="13826" max="13826" width="22.140625" style="157" customWidth="1"/>
    <col min="13827" max="13827" width="15" style="157" customWidth="1"/>
    <col min="13828" max="13828" width="12.85546875" style="157" customWidth="1"/>
    <col min="13829" max="13829" width="12.7109375" style="157" customWidth="1"/>
    <col min="13830" max="13830" width="14" style="157" customWidth="1"/>
    <col min="13831" max="13832" width="12.42578125" style="157" customWidth="1"/>
    <col min="13833" max="13833" width="11.7109375" style="157" customWidth="1"/>
    <col min="13834" max="13834" width="11" style="157" customWidth="1"/>
    <col min="13835" max="13835" width="11.28515625" style="157" customWidth="1"/>
    <col min="13836" max="13836" width="4.140625" style="157" customWidth="1"/>
    <col min="13837" max="13838" width="11.42578125" style="157"/>
    <col min="13839" max="13839" width="12.42578125" style="157" bestFit="1" customWidth="1"/>
    <col min="13840" max="14080" width="11.42578125" style="157"/>
    <col min="14081" max="14081" width="5.42578125" style="157" customWidth="1"/>
    <col min="14082" max="14082" width="22.140625" style="157" customWidth="1"/>
    <col min="14083" max="14083" width="15" style="157" customWidth="1"/>
    <col min="14084" max="14084" width="12.85546875" style="157" customWidth="1"/>
    <col min="14085" max="14085" width="12.7109375" style="157" customWidth="1"/>
    <col min="14086" max="14086" width="14" style="157" customWidth="1"/>
    <col min="14087" max="14088" width="12.42578125" style="157" customWidth="1"/>
    <col min="14089" max="14089" width="11.7109375" style="157" customWidth="1"/>
    <col min="14090" max="14090" width="11" style="157" customWidth="1"/>
    <col min="14091" max="14091" width="11.28515625" style="157" customWidth="1"/>
    <col min="14092" max="14092" width="4.140625" style="157" customWidth="1"/>
    <col min="14093" max="14094" width="11.42578125" style="157"/>
    <col min="14095" max="14095" width="12.42578125" style="157" bestFit="1" customWidth="1"/>
    <col min="14096" max="14336" width="11.42578125" style="157"/>
    <col min="14337" max="14337" width="5.42578125" style="157" customWidth="1"/>
    <col min="14338" max="14338" width="22.140625" style="157" customWidth="1"/>
    <col min="14339" max="14339" width="15" style="157" customWidth="1"/>
    <col min="14340" max="14340" width="12.85546875" style="157" customWidth="1"/>
    <col min="14341" max="14341" width="12.7109375" style="157" customWidth="1"/>
    <col min="14342" max="14342" width="14" style="157" customWidth="1"/>
    <col min="14343" max="14344" width="12.42578125" style="157" customWidth="1"/>
    <col min="14345" max="14345" width="11.7109375" style="157" customWidth="1"/>
    <col min="14346" max="14346" width="11" style="157" customWidth="1"/>
    <col min="14347" max="14347" width="11.28515625" style="157" customWidth="1"/>
    <col min="14348" max="14348" width="4.140625" style="157" customWidth="1"/>
    <col min="14349" max="14350" width="11.42578125" style="157"/>
    <col min="14351" max="14351" width="12.42578125" style="157" bestFit="1" customWidth="1"/>
    <col min="14352" max="14592" width="11.42578125" style="157"/>
    <col min="14593" max="14593" width="5.42578125" style="157" customWidth="1"/>
    <col min="14594" max="14594" width="22.140625" style="157" customWidth="1"/>
    <col min="14595" max="14595" width="15" style="157" customWidth="1"/>
    <col min="14596" max="14596" width="12.85546875" style="157" customWidth="1"/>
    <col min="14597" max="14597" width="12.7109375" style="157" customWidth="1"/>
    <col min="14598" max="14598" width="14" style="157" customWidth="1"/>
    <col min="14599" max="14600" width="12.42578125" style="157" customWidth="1"/>
    <col min="14601" max="14601" width="11.7109375" style="157" customWidth="1"/>
    <col min="14602" max="14602" width="11" style="157" customWidth="1"/>
    <col min="14603" max="14603" width="11.28515625" style="157" customWidth="1"/>
    <col min="14604" max="14604" width="4.140625" style="157" customWidth="1"/>
    <col min="14605" max="14606" width="11.42578125" style="157"/>
    <col min="14607" max="14607" width="12.42578125" style="157" bestFit="1" customWidth="1"/>
    <col min="14608" max="14848" width="11.42578125" style="157"/>
    <col min="14849" max="14849" width="5.42578125" style="157" customWidth="1"/>
    <col min="14850" max="14850" width="22.140625" style="157" customWidth="1"/>
    <col min="14851" max="14851" width="15" style="157" customWidth="1"/>
    <col min="14852" max="14852" width="12.85546875" style="157" customWidth="1"/>
    <col min="14853" max="14853" width="12.7109375" style="157" customWidth="1"/>
    <col min="14854" max="14854" width="14" style="157" customWidth="1"/>
    <col min="14855" max="14856" width="12.42578125" style="157" customWidth="1"/>
    <col min="14857" max="14857" width="11.7109375" style="157" customWidth="1"/>
    <col min="14858" max="14858" width="11" style="157" customWidth="1"/>
    <col min="14859" max="14859" width="11.28515625" style="157" customWidth="1"/>
    <col min="14860" max="14860" width="4.140625" style="157" customWidth="1"/>
    <col min="14861" max="14862" width="11.42578125" style="157"/>
    <col min="14863" max="14863" width="12.42578125" style="157" bestFit="1" customWidth="1"/>
    <col min="14864" max="15104" width="11.42578125" style="157"/>
    <col min="15105" max="15105" width="5.42578125" style="157" customWidth="1"/>
    <col min="15106" max="15106" width="22.140625" style="157" customWidth="1"/>
    <col min="15107" max="15107" width="15" style="157" customWidth="1"/>
    <col min="15108" max="15108" width="12.85546875" style="157" customWidth="1"/>
    <col min="15109" max="15109" width="12.7109375" style="157" customWidth="1"/>
    <col min="15110" max="15110" width="14" style="157" customWidth="1"/>
    <col min="15111" max="15112" width="12.42578125" style="157" customWidth="1"/>
    <col min="15113" max="15113" width="11.7109375" style="157" customWidth="1"/>
    <col min="15114" max="15114" width="11" style="157" customWidth="1"/>
    <col min="15115" max="15115" width="11.28515625" style="157" customWidth="1"/>
    <col min="15116" max="15116" width="4.140625" style="157" customWidth="1"/>
    <col min="15117" max="15118" width="11.42578125" style="157"/>
    <col min="15119" max="15119" width="12.42578125" style="157" bestFit="1" customWidth="1"/>
    <col min="15120" max="15360" width="11.42578125" style="157"/>
    <col min="15361" max="15361" width="5.42578125" style="157" customWidth="1"/>
    <col min="15362" max="15362" width="22.140625" style="157" customWidth="1"/>
    <col min="15363" max="15363" width="15" style="157" customWidth="1"/>
    <col min="15364" max="15364" width="12.85546875" style="157" customWidth="1"/>
    <col min="15365" max="15365" width="12.7109375" style="157" customWidth="1"/>
    <col min="15366" max="15366" width="14" style="157" customWidth="1"/>
    <col min="15367" max="15368" width="12.42578125" style="157" customWidth="1"/>
    <col min="15369" max="15369" width="11.7109375" style="157" customWidth="1"/>
    <col min="15370" max="15370" width="11" style="157" customWidth="1"/>
    <col min="15371" max="15371" width="11.28515625" style="157" customWidth="1"/>
    <col min="15372" max="15372" width="4.140625" style="157" customWidth="1"/>
    <col min="15373" max="15374" width="11.42578125" style="157"/>
    <col min="15375" max="15375" width="12.42578125" style="157" bestFit="1" customWidth="1"/>
    <col min="15376" max="15616" width="11.42578125" style="157"/>
    <col min="15617" max="15617" width="5.42578125" style="157" customWidth="1"/>
    <col min="15618" max="15618" width="22.140625" style="157" customWidth="1"/>
    <col min="15619" max="15619" width="15" style="157" customWidth="1"/>
    <col min="15620" max="15620" width="12.85546875" style="157" customWidth="1"/>
    <col min="15621" max="15621" width="12.7109375" style="157" customWidth="1"/>
    <col min="15622" max="15622" width="14" style="157" customWidth="1"/>
    <col min="15623" max="15624" width="12.42578125" style="157" customWidth="1"/>
    <col min="15625" max="15625" width="11.7109375" style="157" customWidth="1"/>
    <col min="15626" max="15626" width="11" style="157" customWidth="1"/>
    <col min="15627" max="15627" width="11.28515625" style="157" customWidth="1"/>
    <col min="15628" max="15628" width="4.140625" style="157" customWidth="1"/>
    <col min="15629" max="15630" width="11.42578125" style="157"/>
    <col min="15631" max="15631" width="12.42578125" style="157" bestFit="1" customWidth="1"/>
    <col min="15632" max="15872" width="11.42578125" style="157"/>
    <col min="15873" max="15873" width="5.42578125" style="157" customWidth="1"/>
    <col min="15874" max="15874" width="22.140625" style="157" customWidth="1"/>
    <col min="15875" max="15875" width="15" style="157" customWidth="1"/>
    <col min="15876" max="15876" width="12.85546875" style="157" customWidth="1"/>
    <col min="15877" max="15877" width="12.7109375" style="157" customWidth="1"/>
    <col min="15878" max="15878" width="14" style="157" customWidth="1"/>
    <col min="15879" max="15880" width="12.42578125" style="157" customWidth="1"/>
    <col min="15881" max="15881" width="11.7109375" style="157" customWidth="1"/>
    <col min="15882" max="15882" width="11" style="157" customWidth="1"/>
    <col min="15883" max="15883" width="11.28515625" style="157" customWidth="1"/>
    <col min="15884" max="15884" width="4.140625" style="157" customWidth="1"/>
    <col min="15885" max="15886" width="11.42578125" style="157"/>
    <col min="15887" max="15887" width="12.42578125" style="157" bestFit="1" customWidth="1"/>
    <col min="15888" max="16128" width="11.42578125" style="157"/>
    <col min="16129" max="16129" width="5.42578125" style="157" customWidth="1"/>
    <col min="16130" max="16130" width="22.140625" style="157" customWidth="1"/>
    <col min="16131" max="16131" width="15" style="157" customWidth="1"/>
    <col min="16132" max="16132" width="12.85546875" style="157" customWidth="1"/>
    <col min="16133" max="16133" width="12.7109375" style="157" customWidth="1"/>
    <col min="16134" max="16134" width="14" style="157" customWidth="1"/>
    <col min="16135" max="16136" width="12.42578125" style="157" customWidth="1"/>
    <col min="16137" max="16137" width="11.7109375" style="157" customWidth="1"/>
    <col min="16138" max="16138" width="11" style="157" customWidth="1"/>
    <col min="16139" max="16139" width="11.28515625" style="157" customWidth="1"/>
    <col min="16140" max="16140" width="4.140625" style="157" customWidth="1"/>
    <col min="16141" max="16142" width="11.42578125" style="157"/>
    <col min="16143" max="16143" width="12.42578125" style="157" bestFit="1" customWidth="1"/>
    <col min="16144" max="16384" width="11.42578125" style="157"/>
  </cols>
  <sheetData>
    <row r="1" spans="1:16" s="573" customFormat="1" ht="20.25" x14ac:dyDescent="0.3">
      <c r="A1" s="822" t="s">
        <v>259</v>
      </c>
    </row>
    <row r="2" spans="1:16" s="573" customFormat="1" ht="15" x14ac:dyDescent="0.25">
      <c r="C2" s="571"/>
      <c r="D2" s="571"/>
      <c r="E2" s="571"/>
      <c r="F2" s="571"/>
      <c r="G2" s="571"/>
      <c r="H2" s="572"/>
      <c r="I2" s="572"/>
      <c r="J2" s="572"/>
      <c r="K2" s="572"/>
    </row>
    <row r="3" spans="1:16" s="573" customFormat="1" ht="15.75" x14ac:dyDescent="0.25">
      <c r="B3" s="646" t="s">
        <v>260</v>
      </c>
    </row>
    <row r="4" spans="1:16" s="573" customFormat="1" ht="13.5" thickBot="1" x14ac:dyDescent="0.25"/>
    <row r="5" spans="1:16" ht="15" customHeight="1" x14ac:dyDescent="0.2">
      <c r="B5" s="1382" t="s">
        <v>132</v>
      </c>
      <c r="C5" s="1354" t="s">
        <v>261</v>
      </c>
      <c r="D5" s="1384"/>
      <c r="E5" s="1384"/>
      <c r="F5" s="823" t="s">
        <v>154</v>
      </c>
      <c r="G5" s="824"/>
      <c r="H5" s="825"/>
      <c r="I5" s="826" t="s">
        <v>152</v>
      </c>
      <c r="J5" s="827"/>
      <c r="K5" s="828"/>
    </row>
    <row r="6" spans="1:16" ht="15" customHeight="1" thickBot="1" x14ac:dyDescent="0.25">
      <c r="B6" s="1383"/>
      <c r="C6" s="829" t="s">
        <v>151</v>
      </c>
      <c r="D6" s="830" t="s">
        <v>262</v>
      </c>
      <c r="E6" s="831" t="s">
        <v>263</v>
      </c>
      <c r="F6" s="830" t="s">
        <v>264</v>
      </c>
      <c r="G6" s="832" t="s">
        <v>262</v>
      </c>
      <c r="H6" s="833" t="s">
        <v>263</v>
      </c>
      <c r="I6" s="834" t="s">
        <v>151</v>
      </c>
      <c r="J6" s="832" t="s">
        <v>262</v>
      </c>
      <c r="K6" s="835" t="s">
        <v>263</v>
      </c>
    </row>
    <row r="7" spans="1:16" x14ac:dyDescent="0.2">
      <c r="B7" s="791"/>
      <c r="C7" s="836"/>
      <c r="D7" s="837"/>
      <c r="E7" s="837"/>
      <c r="F7" s="837"/>
      <c r="G7" s="837"/>
      <c r="H7" s="838"/>
      <c r="I7" s="839"/>
      <c r="J7" s="837"/>
      <c r="K7" s="840"/>
    </row>
    <row r="8" spans="1:16" x14ac:dyDescent="0.2">
      <c r="B8" s="1221">
        <v>1995</v>
      </c>
      <c r="C8" s="1679">
        <f t="shared" ref="C8:C23" si="0">SUM(D8:E8)</f>
        <v>2491835</v>
      </c>
      <c r="D8" s="1680">
        <f t="shared" ref="D8:E14" si="1">(G8+J8)</f>
        <v>2491629</v>
      </c>
      <c r="E8" s="1680">
        <f t="shared" si="1"/>
        <v>206</v>
      </c>
      <c r="F8" s="1680">
        <f t="shared" ref="F8:F23" si="2">SUM(G8:H8)</f>
        <v>2491804</v>
      </c>
      <c r="G8" s="1680">
        <f>+[6]Distribuidoras!H8</f>
        <v>2491629</v>
      </c>
      <c r="H8" s="1681">
        <f>+[6]Distribuidoras!C8</f>
        <v>175</v>
      </c>
      <c r="I8" s="1682">
        <f t="shared" ref="I8:I23" si="3">SUM(J8:K8)</f>
        <v>31</v>
      </c>
      <c r="J8" s="1680"/>
      <c r="K8" s="1683">
        <f>+[6]Distribuidoras!B46</f>
        <v>31</v>
      </c>
      <c r="M8" s="201"/>
      <c r="O8" s="203"/>
      <c r="P8" s="203"/>
    </row>
    <row r="9" spans="1:16" x14ac:dyDescent="0.2">
      <c r="B9" s="791">
        <v>1996</v>
      </c>
      <c r="C9" s="841">
        <f t="shared" si="0"/>
        <v>2775713</v>
      </c>
      <c r="D9" s="842">
        <f t="shared" si="1"/>
        <v>2775514</v>
      </c>
      <c r="E9" s="842">
        <f t="shared" si="1"/>
        <v>199</v>
      </c>
      <c r="F9" s="842">
        <f t="shared" si="2"/>
        <v>2775675</v>
      </c>
      <c r="G9" s="842">
        <f>+[6]Distribuidoras!H9</f>
        <v>2775514</v>
      </c>
      <c r="H9" s="843">
        <f>+[6]Distribuidoras!C9</f>
        <v>161</v>
      </c>
      <c r="I9" s="844">
        <f t="shared" si="3"/>
        <v>38</v>
      </c>
      <c r="J9" s="842"/>
      <c r="K9" s="845">
        <f>+[6]Distribuidoras!B47</f>
        <v>38</v>
      </c>
      <c r="M9" s="201"/>
      <c r="O9" s="203"/>
      <c r="P9" s="203"/>
    </row>
    <row r="10" spans="1:16" x14ac:dyDescent="0.2">
      <c r="B10" s="1221">
        <v>1997</v>
      </c>
      <c r="C10" s="1679">
        <f t="shared" si="0"/>
        <v>2964315</v>
      </c>
      <c r="D10" s="1680">
        <f t="shared" si="1"/>
        <v>2964103</v>
      </c>
      <c r="E10" s="1680">
        <f t="shared" si="1"/>
        <v>212</v>
      </c>
      <c r="F10" s="1681">
        <f t="shared" si="2"/>
        <v>2964263</v>
      </c>
      <c r="G10" s="1682">
        <f>+[6]Distribuidoras!H10</f>
        <v>2964103</v>
      </c>
      <c r="H10" s="1681">
        <f>+[6]Distribuidoras!C10</f>
        <v>160</v>
      </c>
      <c r="I10" s="1684">
        <f t="shared" si="3"/>
        <v>52</v>
      </c>
      <c r="J10" s="1680"/>
      <c r="K10" s="1683">
        <f>+[6]Distribuidoras!B48</f>
        <v>52</v>
      </c>
      <c r="M10" s="201"/>
      <c r="O10" s="203"/>
      <c r="P10" s="203"/>
    </row>
    <row r="11" spans="1:16" x14ac:dyDescent="0.2">
      <c r="B11" s="791">
        <v>1998</v>
      </c>
      <c r="C11" s="841">
        <f t="shared" si="0"/>
        <v>3057320</v>
      </c>
      <c r="D11" s="842">
        <f t="shared" si="1"/>
        <v>3057102</v>
      </c>
      <c r="E11" s="842">
        <f t="shared" si="1"/>
        <v>218</v>
      </c>
      <c r="F11" s="843">
        <f t="shared" si="2"/>
        <v>3057270</v>
      </c>
      <c r="G11" s="844">
        <f>+[6]Distribuidoras!H11</f>
        <v>3057102</v>
      </c>
      <c r="H11" s="843">
        <f>+[6]Distribuidoras!C11</f>
        <v>168</v>
      </c>
      <c r="I11" s="846">
        <f t="shared" si="3"/>
        <v>50</v>
      </c>
      <c r="J11" s="842"/>
      <c r="K11" s="845">
        <f>+[6]Distribuidoras!B49</f>
        <v>50</v>
      </c>
      <c r="M11" s="201"/>
      <c r="O11" s="203"/>
      <c r="P11" s="203"/>
    </row>
    <row r="12" spans="1:16" x14ac:dyDescent="0.2">
      <c r="B12" s="1221">
        <v>1999</v>
      </c>
      <c r="C12" s="1679">
        <f t="shared" si="0"/>
        <v>3217058</v>
      </c>
      <c r="D12" s="1680">
        <f t="shared" si="1"/>
        <v>3216835</v>
      </c>
      <c r="E12" s="1680">
        <f t="shared" si="1"/>
        <v>223</v>
      </c>
      <c r="F12" s="1681">
        <f t="shared" si="2"/>
        <v>3217011</v>
      </c>
      <c r="G12" s="1682">
        <f>+[6]Distribuidoras!H12</f>
        <v>3216835</v>
      </c>
      <c r="H12" s="1681">
        <f>+[6]Distribuidoras!C12</f>
        <v>176</v>
      </c>
      <c r="I12" s="1684">
        <f t="shared" si="3"/>
        <v>47</v>
      </c>
      <c r="J12" s="1680"/>
      <c r="K12" s="1683">
        <f>+[6]Distribuidoras!B50</f>
        <v>47</v>
      </c>
      <c r="M12" s="201"/>
      <c r="O12" s="203"/>
      <c r="P12" s="203"/>
    </row>
    <row r="13" spans="1:16" x14ac:dyDescent="0.2">
      <c r="B13" s="791">
        <v>2000</v>
      </c>
      <c r="C13" s="841">
        <f t="shared" si="0"/>
        <v>3352209</v>
      </c>
      <c r="D13" s="842">
        <f t="shared" si="1"/>
        <v>3351980</v>
      </c>
      <c r="E13" s="842">
        <f t="shared" si="1"/>
        <v>229</v>
      </c>
      <c r="F13" s="843">
        <f t="shared" si="2"/>
        <v>3352159</v>
      </c>
      <c r="G13" s="844">
        <f>+[6]Distribuidoras!H13</f>
        <v>3351980</v>
      </c>
      <c r="H13" s="843">
        <f>+[6]Distribuidoras!C13</f>
        <v>179</v>
      </c>
      <c r="I13" s="846">
        <f t="shared" si="3"/>
        <v>50</v>
      </c>
      <c r="J13" s="843"/>
      <c r="K13" s="845">
        <f>+[6]Distribuidoras!B51</f>
        <v>50</v>
      </c>
      <c r="M13" s="201"/>
      <c r="O13" s="203"/>
      <c r="P13" s="203"/>
    </row>
    <row r="14" spans="1:16" x14ac:dyDescent="0.2">
      <c r="B14" s="1221">
        <v>2001</v>
      </c>
      <c r="C14" s="1679">
        <f t="shared" si="0"/>
        <v>3462851</v>
      </c>
      <c r="D14" s="1680">
        <f t="shared" si="1"/>
        <v>3462610</v>
      </c>
      <c r="E14" s="1680">
        <f t="shared" si="1"/>
        <v>241</v>
      </c>
      <c r="F14" s="1681">
        <f t="shared" si="2"/>
        <v>3462792</v>
      </c>
      <c r="G14" s="1682">
        <f>+[6]Distribuidoras!H14</f>
        <v>3462610</v>
      </c>
      <c r="H14" s="1681">
        <f>+[6]Distribuidoras!C14</f>
        <v>182</v>
      </c>
      <c r="I14" s="1684">
        <f t="shared" si="3"/>
        <v>59</v>
      </c>
      <c r="J14" s="1681"/>
      <c r="K14" s="1683">
        <f>+[6]Distribuidoras!B52</f>
        <v>59</v>
      </c>
      <c r="M14" s="201"/>
      <c r="O14" s="203"/>
      <c r="P14" s="203"/>
    </row>
    <row r="15" spans="1:16" x14ac:dyDescent="0.2">
      <c r="B15" s="791">
        <v>2002</v>
      </c>
      <c r="C15" s="841">
        <f t="shared" si="0"/>
        <v>3614484</v>
      </c>
      <c r="D15" s="842">
        <f t="shared" ref="D15:E26" si="4">SUM(G15,J15)</f>
        <v>3614223</v>
      </c>
      <c r="E15" s="842">
        <f t="shared" si="4"/>
        <v>261</v>
      </c>
      <c r="F15" s="843">
        <f t="shared" si="2"/>
        <v>3614408</v>
      </c>
      <c r="G15" s="842">
        <f>+[6]Distribuidoras!H15</f>
        <v>3614223</v>
      </c>
      <c r="H15" s="843">
        <f>+[6]Distribuidoras!C15</f>
        <v>185</v>
      </c>
      <c r="I15" s="843">
        <f t="shared" si="3"/>
        <v>76</v>
      </c>
      <c r="J15" s="843"/>
      <c r="K15" s="845">
        <f>+[6]Distribuidoras!B53</f>
        <v>76</v>
      </c>
      <c r="N15" s="216"/>
      <c r="O15" s="203"/>
      <c r="P15" s="203"/>
    </row>
    <row r="16" spans="1:16" x14ac:dyDescent="0.2">
      <c r="B16" s="1221">
        <v>2003</v>
      </c>
      <c r="C16" s="1679">
        <f>SUM(D16:E16)</f>
        <v>3727266</v>
      </c>
      <c r="D16" s="1680">
        <f t="shared" si="4"/>
        <v>3727019</v>
      </c>
      <c r="E16" s="1680">
        <f t="shared" si="4"/>
        <v>247</v>
      </c>
      <c r="F16" s="1681">
        <f>SUM(G16:H16)</f>
        <v>3727184</v>
      </c>
      <c r="G16" s="1680">
        <f>+[6]Distribuidoras!H16</f>
        <v>3727019</v>
      </c>
      <c r="H16" s="1681">
        <f>+[6]Distribuidoras!C16</f>
        <v>165</v>
      </c>
      <c r="I16" s="1681">
        <f>SUM(J16:K16)</f>
        <v>82</v>
      </c>
      <c r="J16" s="1681"/>
      <c r="K16" s="1683">
        <f>+[6]Distribuidoras!B54</f>
        <v>82</v>
      </c>
      <c r="N16" s="216"/>
      <c r="O16" s="203"/>
      <c r="P16" s="203"/>
    </row>
    <row r="17" spans="1:16" x14ac:dyDescent="0.2">
      <c r="B17" s="791">
        <v>2004</v>
      </c>
      <c r="C17" s="841">
        <f t="shared" si="0"/>
        <v>3860515</v>
      </c>
      <c r="D17" s="842">
        <f t="shared" si="4"/>
        <v>3860270</v>
      </c>
      <c r="E17" s="842">
        <f t="shared" si="4"/>
        <v>245</v>
      </c>
      <c r="F17" s="843">
        <f t="shared" si="2"/>
        <v>3860430</v>
      </c>
      <c r="G17" s="842">
        <f>+[6]Distribuidoras!H17</f>
        <v>3860270</v>
      </c>
      <c r="H17" s="843">
        <f>+[6]Distribuidoras!C17</f>
        <v>160</v>
      </c>
      <c r="I17" s="843">
        <f t="shared" si="3"/>
        <v>85</v>
      </c>
      <c r="J17" s="843"/>
      <c r="K17" s="845">
        <f>+[6]Distribuidoras!B55</f>
        <v>85</v>
      </c>
    </row>
    <row r="18" spans="1:16" x14ac:dyDescent="0.2">
      <c r="B18" s="1221">
        <v>2005</v>
      </c>
      <c r="C18" s="1679">
        <f t="shared" si="0"/>
        <v>3977100.25</v>
      </c>
      <c r="D18" s="1680">
        <f t="shared" si="4"/>
        <v>3976856.25</v>
      </c>
      <c r="E18" s="1680">
        <f t="shared" si="4"/>
        <v>244</v>
      </c>
      <c r="F18" s="1681">
        <f t="shared" si="2"/>
        <v>3977020.25</v>
      </c>
      <c r="G18" s="1680">
        <f>+[6]Distribuidoras!H18</f>
        <v>3976856.25</v>
      </c>
      <c r="H18" s="1681">
        <f>+[6]Distribuidoras!C18</f>
        <v>164</v>
      </c>
      <c r="I18" s="1681">
        <f t="shared" si="3"/>
        <v>80</v>
      </c>
      <c r="J18" s="1681"/>
      <c r="K18" s="1683">
        <f>+[6]Distribuidoras!B56</f>
        <v>80</v>
      </c>
    </row>
    <row r="19" spans="1:16" x14ac:dyDescent="0.2">
      <c r="B19" s="791">
        <v>2006</v>
      </c>
      <c r="C19" s="841">
        <f t="shared" si="0"/>
        <v>4165274</v>
      </c>
      <c r="D19" s="842">
        <f t="shared" si="4"/>
        <v>4165037</v>
      </c>
      <c r="E19" s="842">
        <f t="shared" si="4"/>
        <v>237</v>
      </c>
      <c r="F19" s="843">
        <f t="shared" si="2"/>
        <v>4165191</v>
      </c>
      <c r="G19" s="842">
        <f>+[6]Distribuidoras!H19</f>
        <v>4165037</v>
      </c>
      <c r="H19" s="843">
        <f>+[6]Distribuidoras!C19</f>
        <v>154</v>
      </c>
      <c r="I19" s="843">
        <f t="shared" si="3"/>
        <v>83</v>
      </c>
      <c r="J19" s="843"/>
      <c r="K19" s="845">
        <f>+[6]Distribuidoras!B57</f>
        <v>83</v>
      </c>
    </row>
    <row r="20" spans="1:16" x14ac:dyDescent="0.2">
      <c r="B20" s="1221">
        <v>2007</v>
      </c>
      <c r="C20" s="1679">
        <f t="shared" si="0"/>
        <v>4359862</v>
      </c>
      <c r="D20" s="1680">
        <f t="shared" si="4"/>
        <v>4359612</v>
      </c>
      <c r="E20" s="1680">
        <f t="shared" si="4"/>
        <v>250</v>
      </c>
      <c r="F20" s="1681">
        <f t="shared" si="2"/>
        <v>4359764</v>
      </c>
      <c r="G20" s="1680">
        <f>+[6]Distribuidoras!H20</f>
        <v>4359612</v>
      </c>
      <c r="H20" s="1681">
        <f>+[6]Distribuidoras!C20</f>
        <v>152</v>
      </c>
      <c r="I20" s="1681">
        <f t="shared" si="3"/>
        <v>98</v>
      </c>
      <c r="J20" s="1681"/>
      <c r="K20" s="1683">
        <f>+[6]Distribuidoras!B58</f>
        <v>98</v>
      </c>
    </row>
    <row r="21" spans="1:16" x14ac:dyDescent="0.2">
      <c r="B21" s="791">
        <v>2008</v>
      </c>
      <c r="C21" s="841">
        <f t="shared" si="0"/>
        <v>4624792</v>
      </c>
      <c r="D21" s="842">
        <f t="shared" si="4"/>
        <v>4624534</v>
      </c>
      <c r="E21" s="842">
        <f t="shared" si="4"/>
        <v>258</v>
      </c>
      <c r="F21" s="843">
        <f t="shared" si="2"/>
        <v>4624684</v>
      </c>
      <c r="G21" s="842">
        <f>+[6]Distribuidoras!H21</f>
        <v>4624534</v>
      </c>
      <c r="H21" s="843">
        <f>+[6]Distribuidoras!C21</f>
        <v>150</v>
      </c>
      <c r="I21" s="843">
        <f t="shared" si="3"/>
        <v>108</v>
      </c>
      <c r="J21" s="843"/>
      <c r="K21" s="845">
        <f>+[6]Distribuidoras!B59</f>
        <v>108</v>
      </c>
    </row>
    <row r="22" spans="1:16" x14ac:dyDescent="0.2">
      <c r="B22" s="1221">
        <v>2009</v>
      </c>
      <c r="C22" s="1679">
        <f t="shared" si="0"/>
        <v>4878964</v>
      </c>
      <c r="D22" s="1680">
        <f t="shared" si="4"/>
        <v>4878695</v>
      </c>
      <c r="E22" s="1680">
        <f t="shared" si="4"/>
        <v>269</v>
      </c>
      <c r="F22" s="1681">
        <f t="shared" si="2"/>
        <v>4878854</v>
      </c>
      <c r="G22" s="1680">
        <f>+[6]Distribuidoras!H22</f>
        <v>4878695</v>
      </c>
      <c r="H22" s="1681">
        <f>+[6]Distribuidoras!C22</f>
        <v>159</v>
      </c>
      <c r="I22" s="1681">
        <f t="shared" si="3"/>
        <v>110</v>
      </c>
      <c r="J22" s="1681"/>
      <c r="K22" s="1683">
        <f>+[6]Distribuidoras!B60</f>
        <v>110</v>
      </c>
    </row>
    <row r="23" spans="1:16" x14ac:dyDescent="0.2">
      <c r="B23" s="791">
        <v>2010</v>
      </c>
      <c r="C23" s="841">
        <f t="shared" si="0"/>
        <v>5170896</v>
      </c>
      <c r="D23" s="842">
        <f t="shared" si="4"/>
        <v>5170638</v>
      </c>
      <c r="E23" s="842">
        <f t="shared" si="4"/>
        <v>258</v>
      </c>
      <c r="F23" s="843">
        <f t="shared" si="2"/>
        <v>5170778</v>
      </c>
      <c r="G23" s="842">
        <f>+[6]Distribuidoras!H23</f>
        <v>5170638</v>
      </c>
      <c r="H23" s="843">
        <f>+[6]Distribuidoras!C23</f>
        <v>140</v>
      </c>
      <c r="I23" s="843">
        <f t="shared" si="3"/>
        <v>118</v>
      </c>
      <c r="J23" s="843"/>
      <c r="K23" s="845">
        <f>+[6]Distribuidoras!B61</f>
        <v>118</v>
      </c>
    </row>
    <row r="24" spans="1:16" x14ac:dyDescent="0.2">
      <c r="B24" s="1221">
        <v>2011</v>
      </c>
      <c r="C24" s="1679">
        <f>SUM(D24:E24)</f>
        <v>5495222</v>
      </c>
      <c r="D24" s="1680">
        <f t="shared" si="4"/>
        <v>5494961</v>
      </c>
      <c r="E24" s="1680">
        <f t="shared" si="4"/>
        <v>261</v>
      </c>
      <c r="F24" s="1681">
        <f>SUM(G24:H24)</f>
        <v>5495091</v>
      </c>
      <c r="G24" s="1680">
        <f>+[6]Distribuidoras!H24</f>
        <v>5494961</v>
      </c>
      <c r="H24" s="1681">
        <f>+[6]Distribuidoras!C24</f>
        <v>130</v>
      </c>
      <c r="I24" s="1681">
        <f>SUM(J24:K24)</f>
        <v>131</v>
      </c>
      <c r="J24" s="1681"/>
      <c r="K24" s="1683">
        <f>+[6]Distribuidoras!B62</f>
        <v>131</v>
      </c>
      <c r="N24" s="216"/>
      <c r="O24" s="203"/>
      <c r="P24" s="203"/>
    </row>
    <row r="25" spans="1:16" x14ac:dyDescent="0.2">
      <c r="B25" s="791">
        <v>2012</v>
      </c>
      <c r="C25" s="847">
        <f>SUM(D25:E25)</f>
        <v>5834887</v>
      </c>
      <c r="D25" s="848">
        <f>SUM(G25,J25)</f>
        <v>5834625</v>
      </c>
      <c r="E25" s="848">
        <f>SUM(H25,K25)</f>
        <v>262</v>
      </c>
      <c r="F25" s="849">
        <f>SUM(G25:H25)</f>
        <v>5834755</v>
      </c>
      <c r="G25" s="842">
        <f>+[6]Distribuidoras!H25</f>
        <v>5834625</v>
      </c>
      <c r="H25" s="843">
        <f>+[6]Distribuidoras!C25</f>
        <v>130</v>
      </c>
      <c r="I25" s="849">
        <f>SUM(J25:K25)</f>
        <v>132</v>
      </c>
      <c r="J25" s="843"/>
      <c r="K25" s="845">
        <f>+[6]Distribuidoras!B63</f>
        <v>132</v>
      </c>
      <c r="N25" s="216"/>
      <c r="O25" s="203"/>
      <c r="P25" s="203"/>
    </row>
    <row r="26" spans="1:16" x14ac:dyDescent="0.2">
      <c r="B26" s="1221">
        <v>2013</v>
      </c>
      <c r="C26" s="1679">
        <f>SUM(D26:E26)</f>
        <v>6156315</v>
      </c>
      <c r="D26" s="1680">
        <f t="shared" si="4"/>
        <v>6156035</v>
      </c>
      <c r="E26" s="1680">
        <f t="shared" si="4"/>
        <v>280</v>
      </c>
      <c r="F26" s="1681">
        <f>SUM(G26:H26)</f>
        <v>6156176</v>
      </c>
      <c r="G26" s="1680">
        <f>+[6]Distribuidoras!H26</f>
        <v>6156035</v>
      </c>
      <c r="H26" s="1681">
        <f>+[6]Distribuidoras!C26</f>
        <v>141</v>
      </c>
      <c r="I26" s="1681">
        <f>SUM(J26:K26)</f>
        <v>139</v>
      </c>
      <c r="J26" s="1681"/>
      <c r="K26" s="1683">
        <f>+[6]Distribuidoras!B64</f>
        <v>139</v>
      </c>
      <c r="N26" s="216"/>
      <c r="O26" s="203"/>
      <c r="P26" s="203"/>
    </row>
    <row r="27" spans="1:16" x14ac:dyDescent="0.2">
      <c r="B27" s="796">
        <v>2014</v>
      </c>
      <c r="C27" s="847">
        <f>SUM(D27:E27)</f>
        <v>6432743.0537635749</v>
      </c>
      <c r="D27" s="848">
        <f>SUM(G27,J27)</f>
        <v>6432444</v>
      </c>
      <c r="E27" s="848">
        <f>SUM(H27,K27)</f>
        <v>299.05376357461842</v>
      </c>
      <c r="F27" s="849">
        <f>SUM(G27:H27)</f>
        <v>6432587.0537635749</v>
      </c>
      <c r="G27" s="842">
        <f>+[6]Distribuidoras!H27</f>
        <v>6432444</v>
      </c>
      <c r="H27" s="843">
        <f>+[6]Distribuidoras!C27</f>
        <v>143.05376357461844</v>
      </c>
      <c r="I27" s="849">
        <f>SUM(J27:K27)</f>
        <v>156</v>
      </c>
      <c r="J27" s="843"/>
      <c r="K27" s="845">
        <f>+[6]Distribuidoras!B65</f>
        <v>156</v>
      </c>
      <c r="N27" s="216"/>
      <c r="O27" s="203"/>
      <c r="P27" s="203"/>
    </row>
    <row r="28" spans="1:16" x14ac:dyDescent="0.2">
      <c r="B28" s="1685" t="s">
        <v>136</v>
      </c>
      <c r="C28" s="1679">
        <f>SUM(D28:E28)</f>
        <v>6718648</v>
      </c>
      <c r="D28" s="1680">
        <f>SUM(G28,J28)</f>
        <v>6718310</v>
      </c>
      <c r="E28" s="1680">
        <f>SUM(H28,K28)</f>
        <v>338</v>
      </c>
      <c r="F28" s="1681">
        <f>SUM(G28:H28)</f>
        <v>6718483</v>
      </c>
      <c r="G28" s="1680">
        <f>+[6]Distribuidoras!H28</f>
        <v>6718310</v>
      </c>
      <c r="H28" s="1681">
        <f>+[6]Distribuidoras!C28</f>
        <v>173</v>
      </c>
      <c r="I28" s="1681">
        <f>SUM(J28:K28)</f>
        <v>165</v>
      </c>
      <c r="J28" s="1681"/>
      <c r="K28" s="1683">
        <f>+[6]Distribuidoras!B66</f>
        <v>165</v>
      </c>
      <c r="N28" s="216"/>
      <c r="O28" s="203"/>
      <c r="P28" s="203"/>
    </row>
    <row r="29" spans="1:16" s="856" customFormat="1" ht="18.75" customHeight="1" thickBot="1" x14ac:dyDescent="0.25">
      <c r="A29" s="850"/>
      <c r="B29" s="851"/>
      <c r="C29" s="852"/>
      <c r="D29" s="853"/>
      <c r="E29" s="853"/>
      <c r="F29" s="854"/>
      <c r="G29" s="853"/>
      <c r="H29" s="854"/>
      <c r="I29" s="854"/>
      <c r="J29" s="854"/>
      <c r="K29" s="855"/>
      <c r="L29" s="850"/>
    </row>
    <row r="30" spans="1:16" s="856" customFormat="1" ht="18.75" customHeight="1" x14ac:dyDescent="0.25">
      <c r="A30" s="850"/>
      <c r="B30" s="857" t="s">
        <v>137</v>
      </c>
      <c r="C30" s="858">
        <f t="shared" ref="C30:I30" si="5">(C28/C27)-1</f>
        <v>4.4445261352255017E-2</v>
      </c>
      <c r="D30" s="858">
        <f t="shared" ref="D30:I30" si="6">(D28/D27)-1</f>
        <v>4.4441273021576189E-2</v>
      </c>
      <c r="E30" s="858">
        <f t="shared" si="6"/>
        <v>0.13023155421905908</v>
      </c>
      <c r="F30" s="858">
        <f t="shared" si="6"/>
        <v>4.4444940091273644E-2</v>
      </c>
      <c r="G30" s="858">
        <f t="shared" si="6"/>
        <v>4.4441273021576189E-2</v>
      </c>
      <c r="H30" s="858">
        <f t="shared" si="6"/>
        <v>0.20933553705325103</v>
      </c>
      <c r="I30" s="858">
        <f t="shared" si="6"/>
        <v>5.7692307692307709E-2</v>
      </c>
      <c r="J30" s="858" t="s">
        <v>109</v>
      </c>
      <c r="K30" s="858">
        <f t="shared" ref="K30" si="7">(K28/K27)-1</f>
        <v>5.7692307692307709E-2</v>
      </c>
      <c r="L30" s="850"/>
    </row>
    <row r="31" spans="1:16" s="856" customFormat="1" ht="18.75" customHeight="1" x14ac:dyDescent="0.25">
      <c r="A31" s="850"/>
      <c r="B31" s="1337" t="s">
        <v>138</v>
      </c>
      <c r="C31" s="1686">
        <f t="shared" ref="C31:I31" si="8">((C28/C23)^(1/5))-1</f>
        <v>5.3763659027822541E-2</v>
      </c>
      <c r="D31" s="1686">
        <f t="shared" ref="D31:I31" si="9">((D28/D23)^(1/5))-1</f>
        <v>5.3763571961636503E-2</v>
      </c>
      <c r="E31" s="1686">
        <f t="shared" si="9"/>
        <v>5.5502822206050295E-2</v>
      </c>
      <c r="F31" s="1686">
        <f t="shared" si="9"/>
        <v>5.3763292629223081E-2</v>
      </c>
      <c r="G31" s="1686">
        <f t="shared" si="9"/>
        <v>5.3763571961636503E-2</v>
      </c>
      <c r="H31" s="1686">
        <f t="shared" si="9"/>
        <v>4.3238517937019827E-2</v>
      </c>
      <c r="I31" s="1686">
        <f t="shared" si="9"/>
        <v>6.9351264654022637E-2</v>
      </c>
      <c r="J31" s="1686" t="s">
        <v>109</v>
      </c>
      <c r="K31" s="1686">
        <f t="shared" ref="K31" si="10">((K28/K23)^(1/5))-1</f>
        <v>6.9351264654022637E-2</v>
      </c>
      <c r="L31" s="850"/>
    </row>
    <row r="32" spans="1:16" s="856" customFormat="1" ht="18.75" customHeight="1" x14ac:dyDescent="0.25">
      <c r="A32" s="850"/>
      <c r="B32" s="859" t="s">
        <v>144</v>
      </c>
      <c r="C32" s="860">
        <f t="shared" ref="C32:H32" si="11">(C28/C18)-1</f>
        <v>0.68933332771785172</v>
      </c>
      <c r="D32" s="860">
        <f t="shared" ref="D32:I32" si="12">(D28/D18)-1</f>
        <v>0.68935198500071504</v>
      </c>
      <c r="E32" s="860">
        <f t="shared" si="12"/>
        <v>0.38524590163934436</v>
      </c>
      <c r="F32" s="860">
        <f t="shared" si="12"/>
        <v>0.68932582126027642</v>
      </c>
      <c r="G32" s="860">
        <f t="shared" si="12"/>
        <v>0.68935198500071504</v>
      </c>
      <c r="H32" s="860">
        <f t="shared" si="12"/>
        <v>5.4878048780487854E-2</v>
      </c>
      <c r="I32" s="860">
        <f t="shared" si="12"/>
        <v>1.0625</v>
      </c>
      <c r="J32" s="860" t="s">
        <v>109</v>
      </c>
      <c r="K32" s="860">
        <f t="shared" ref="K32" si="13">(K28/K18)-1</f>
        <v>1.0625</v>
      </c>
      <c r="L32" s="850"/>
    </row>
    <row r="33" spans="2:16" s="573" customFormat="1" ht="17.25" customHeight="1" thickBot="1" x14ac:dyDescent="0.25">
      <c r="B33" s="1687" t="s">
        <v>140</v>
      </c>
      <c r="C33" s="1688">
        <f t="shared" ref="C33:I33" si="14">((C28/C18)^(1/10))-1</f>
        <v>5.3832371392860345E-2</v>
      </c>
      <c r="D33" s="1688">
        <f t="shared" ref="D33:I33" si="15">((D28/D18)^(1/10))-1</f>
        <v>5.3833535257362897E-2</v>
      </c>
      <c r="E33" s="1688">
        <f t="shared" si="15"/>
        <v>3.3124563428152953E-2</v>
      </c>
      <c r="F33" s="1688">
        <f t="shared" si="15"/>
        <v>5.383190312744035E-2</v>
      </c>
      <c r="G33" s="1688">
        <f t="shared" si="15"/>
        <v>5.3833535257362897E-2</v>
      </c>
      <c r="H33" s="1688">
        <f t="shared" si="15"/>
        <v>5.3568133582926336E-3</v>
      </c>
      <c r="I33" s="1688">
        <f t="shared" si="15"/>
        <v>7.507656674537122E-2</v>
      </c>
      <c r="J33" s="1688" t="s">
        <v>109</v>
      </c>
      <c r="K33" s="1688">
        <f t="shared" ref="K33" si="16">((K28/K18)^(1/10))-1</f>
        <v>7.507656674537122E-2</v>
      </c>
    </row>
    <row r="34" spans="2:16" s="573" customFormat="1" x14ac:dyDescent="0.2">
      <c r="B34" s="573" t="s">
        <v>323</v>
      </c>
      <c r="C34" s="642"/>
    </row>
    <row r="35" spans="2:16" s="573" customFormat="1" x14ac:dyDescent="0.2">
      <c r="B35" s="643"/>
      <c r="C35" s="861"/>
    </row>
    <row r="36" spans="2:16" s="573" customFormat="1" x14ac:dyDescent="0.2">
      <c r="B36" s="718"/>
    </row>
    <row r="37" spans="2:16" s="573" customFormat="1" x14ac:dyDescent="0.2">
      <c r="O37" s="862"/>
      <c r="P37" s="862"/>
    </row>
    <row r="38" spans="2:16" s="573" customFormat="1" x14ac:dyDescent="0.2">
      <c r="O38" s="862"/>
      <c r="P38" s="862"/>
    </row>
    <row r="39" spans="2:16" s="573" customFormat="1" x14ac:dyDescent="0.2">
      <c r="O39" s="862"/>
      <c r="P39" s="862"/>
    </row>
    <row r="40" spans="2:16" s="573" customFormat="1" x14ac:dyDescent="0.2">
      <c r="O40" s="862"/>
      <c r="P40" s="862"/>
    </row>
    <row r="41" spans="2:16" s="573" customFormat="1" x14ac:dyDescent="0.2">
      <c r="O41" s="862"/>
      <c r="P41" s="862"/>
    </row>
    <row r="42" spans="2:16" s="573" customFormat="1" x14ac:dyDescent="0.2">
      <c r="O42" s="862"/>
      <c r="P42" s="862"/>
    </row>
    <row r="43" spans="2:16" s="573" customFormat="1" x14ac:dyDescent="0.2">
      <c r="O43" s="862"/>
      <c r="P43" s="862"/>
    </row>
    <row r="44" spans="2:16" s="573" customFormat="1" x14ac:dyDescent="0.2">
      <c r="O44" s="862"/>
      <c r="P44" s="862"/>
    </row>
    <row r="45" spans="2:16" s="573" customFormat="1" x14ac:dyDescent="0.2">
      <c r="O45" s="862"/>
      <c r="P45" s="862"/>
    </row>
    <row r="46" spans="2:16" s="573" customFormat="1" x14ac:dyDescent="0.2">
      <c r="N46" s="640"/>
      <c r="O46" s="862"/>
      <c r="P46" s="862"/>
    </row>
    <row r="47" spans="2:16" s="573" customFormat="1" x14ac:dyDescent="0.2">
      <c r="N47" s="640"/>
      <c r="O47" s="862"/>
      <c r="P47" s="862"/>
    </row>
    <row r="48" spans="2:16" s="573" customFormat="1" x14ac:dyDescent="0.2">
      <c r="N48" s="640"/>
      <c r="O48" s="862"/>
      <c r="P48" s="862"/>
    </row>
    <row r="49" spans="2:16" s="573" customFormat="1" x14ac:dyDescent="0.2">
      <c r="N49" s="640"/>
      <c r="O49" s="862"/>
      <c r="P49" s="862"/>
    </row>
    <row r="50" spans="2:16" s="573" customFormat="1" x14ac:dyDescent="0.2">
      <c r="N50" s="640"/>
      <c r="O50" s="862"/>
      <c r="P50" s="862"/>
    </row>
    <row r="51" spans="2:16" s="573" customFormat="1" x14ac:dyDescent="0.2">
      <c r="N51" s="640"/>
      <c r="O51" s="862"/>
      <c r="P51" s="862"/>
    </row>
    <row r="52" spans="2:16" s="573" customFormat="1" x14ac:dyDescent="0.2"/>
    <row r="53" spans="2:16" s="573" customFormat="1" x14ac:dyDescent="0.2"/>
    <row r="54" spans="2:16" s="573" customFormat="1" x14ac:dyDescent="0.2"/>
    <row r="55" spans="2:16" s="573" customFormat="1" x14ac:dyDescent="0.2"/>
    <row r="56" spans="2:16" s="573" customFormat="1" x14ac:dyDescent="0.2"/>
    <row r="57" spans="2:16" s="573" customFormat="1" x14ac:dyDescent="0.2"/>
    <row r="58" spans="2:16" s="573" customFormat="1" x14ac:dyDescent="0.2"/>
    <row r="59" spans="2:16" s="573" customFormat="1" ht="226.5" x14ac:dyDescent="0.3">
      <c r="B59" s="1425" t="s">
        <v>316</v>
      </c>
    </row>
    <row r="60" spans="2:16" s="573" customFormat="1" x14ac:dyDescent="0.2"/>
    <row r="61" spans="2:16" s="573" customFormat="1" x14ac:dyDescent="0.2"/>
    <row r="62" spans="2:16" s="573" customFormat="1" x14ac:dyDescent="0.2"/>
    <row r="63" spans="2:16" s="573" customFormat="1" x14ac:dyDescent="0.2"/>
    <row r="64" spans="2:16" s="573" customFormat="1" x14ac:dyDescent="0.2"/>
    <row r="65" spans="2:11" s="573" customFormat="1" x14ac:dyDescent="0.2"/>
    <row r="66" spans="2:11" s="573" customFormat="1" x14ac:dyDescent="0.2"/>
    <row r="67" spans="2:11" s="573" customFormat="1" x14ac:dyDescent="0.2"/>
    <row r="68" spans="2:11" s="573" customFormat="1" x14ac:dyDescent="0.2"/>
    <row r="69" spans="2:11" s="573" customFormat="1" x14ac:dyDescent="0.2"/>
    <row r="70" spans="2:11" s="573" customFormat="1" x14ac:dyDescent="0.2"/>
    <row r="71" spans="2:11" s="573" customFormat="1" x14ac:dyDescent="0.2"/>
    <row r="72" spans="2:11" s="573" customFormat="1" x14ac:dyDescent="0.2"/>
    <row r="73" spans="2:11" s="573" customFormat="1" x14ac:dyDescent="0.2"/>
    <row r="74" spans="2:11" s="573" customFormat="1" x14ac:dyDescent="0.2"/>
    <row r="75" spans="2:11" x14ac:dyDescent="0.2">
      <c r="B75" s="573"/>
      <c r="C75" s="573"/>
      <c r="D75" s="573"/>
      <c r="E75" s="573"/>
      <c r="F75" s="573"/>
      <c r="G75" s="573"/>
      <c r="H75" s="573"/>
      <c r="I75" s="573"/>
      <c r="J75" s="573"/>
      <c r="K75" s="573"/>
    </row>
  </sheetData>
  <autoFilter ref="B1:B75"/>
  <mergeCells count="2">
    <mergeCell ref="B5:B6"/>
    <mergeCell ref="C5:E5"/>
  </mergeCells>
  <pageMargins left="0.51181102362204722" right="0.27559055118110237" top="0.43307086614173229" bottom="0.19685039370078741" header="0" footer="0"/>
  <pageSetup paperSize="9"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view="pageBreakPreview" topLeftCell="A34" zoomScaleNormal="100" zoomScaleSheetLayoutView="100" workbookViewId="0">
      <selection activeCell="O71" sqref="O71"/>
    </sheetView>
  </sheetViews>
  <sheetFormatPr baseColWidth="10" defaultRowHeight="12.75" x14ac:dyDescent="0.2"/>
  <cols>
    <col min="1" max="1" width="4" style="4" customWidth="1"/>
    <col min="2" max="2" width="6.5703125" style="4" customWidth="1"/>
    <col min="3" max="256" width="11.42578125" style="4"/>
    <col min="257" max="257" width="4" style="4" customWidth="1"/>
    <col min="258" max="258" width="6.5703125" style="4" customWidth="1"/>
    <col min="259" max="512" width="11.42578125" style="4"/>
    <col min="513" max="513" width="4" style="4" customWidth="1"/>
    <col min="514" max="514" width="6.5703125" style="4" customWidth="1"/>
    <col min="515" max="768" width="11.42578125" style="4"/>
    <col min="769" max="769" width="4" style="4" customWidth="1"/>
    <col min="770" max="770" width="6.5703125" style="4" customWidth="1"/>
    <col min="771" max="1024" width="11.42578125" style="4"/>
    <col min="1025" max="1025" width="4" style="4" customWidth="1"/>
    <col min="1026" max="1026" width="6.5703125" style="4" customWidth="1"/>
    <col min="1027" max="1280" width="11.42578125" style="4"/>
    <col min="1281" max="1281" width="4" style="4" customWidth="1"/>
    <col min="1282" max="1282" width="6.5703125" style="4" customWidth="1"/>
    <col min="1283" max="1536" width="11.42578125" style="4"/>
    <col min="1537" max="1537" width="4" style="4" customWidth="1"/>
    <col min="1538" max="1538" width="6.5703125" style="4" customWidth="1"/>
    <col min="1539" max="1792" width="11.42578125" style="4"/>
    <col min="1793" max="1793" width="4" style="4" customWidth="1"/>
    <col min="1794" max="1794" width="6.5703125" style="4" customWidth="1"/>
    <col min="1795" max="2048" width="11.42578125" style="4"/>
    <col min="2049" max="2049" width="4" style="4" customWidth="1"/>
    <col min="2050" max="2050" width="6.5703125" style="4" customWidth="1"/>
    <col min="2051" max="2304" width="11.42578125" style="4"/>
    <col min="2305" max="2305" width="4" style="4" customWidth="1"/>
    <col min="2306" max="2306" width="6.5703125" style="4" customWidth="1"/>
    <col min="2307" max="2560" width="11.42578125" style="4"/>
    <col min="2561" max="2561" width="4" style="4" customWidth="1"/>
    <col min="2562" max="2562" width="6.5703125" style="4" customWidth="1"/>
    <col min="2563" max="2816" width="11.42578125" style="4"/>
    <col min="2817" max="2817" width="4" style="4" customWidth="1"/>
    <col min="2818" max="2818" width="6.5703125" style="4" customWidth="1"/>
    <col min="2819" max="3072" width="11.42578125" style="4"/>
    <col min="3073" max="3073" width="4" style="4" customWidth="1"/>
    <col min="3074" max="3074" width="6.5703125" style="4" customWidth="1"/>
    <col min="3075" max="3328" width="11.42578125" style="4"/>
    <col min="3329" max="3329" width="4" style="4" customWidth="1"/>
    <col min="3330" max="3330" width="6.5703125" style="4" customWidth="1"/>
    <col min="3331" max="3584" width="11.42578125" style="4"/>
    <col min="3585" max="3585" width="4" style="4" customWidth="1"/>
    <col min="3586" max="3586" width="6.5703125" style="4" customWidth="1"/>
    <col min="3587" max="3840" width="11.42578125" style="4"/>
    <col min="3841" max="3841" width="4" style="4" customWidth="1"/>
    <col min="3842" max="3842" width="6.5703125" style="4" customWidth="1"/>
    <col min="3843" max="4096" width="11.42578125" style="4"/>
    <col min="4097" max="4097" width="4" style="4" customWidth="1"/>
    <col min="4098" max="4098" width="6.5703125" style="4" customWidth="1"/>
    <col min="4099" max="4352" width="11.42578125" style="4"/>
    <col min="4353" max="4353" width="4" style="4" customWidth="1"/>
    <col min="4354" max="4354" width="6.5703125" style="4" customWidth="1"/>
    <col min="4355" max="4608" width="11.42578125" style="4"/>
    <col min="4609" max="4609" width="4" style="4" customWidth="1"/>
    <col min="4610" max="4610" width="6.5703125" style="4" customWidth="1"/>
    <col min="4611" max="4864" width="11.42578125" style="4"/>
    <col min="4865" max="4865" width="4" style="4" customWidth="1"/>
    <col min="4866" max="4866" width="6.5703125" style="4" customWidth="1"/>
    <col min="4867" max="5120" width="11.42578125" style="4"/>
    <col min="5121" max="5121" width="4" style="4" customWidth="1"/>
    <col min="5122" max="5122" width="6.5703125" style="4" customWidth="1"/>
    <col min="5123" max="5376" width="11.42578125" style="4"/>
    <col min="5377" max="5377" width="4" style="4" customWidth="1"/>
    <col min="5378" max="5378" width="6.5703125" style="4" customWidth="1"/>
    <col min="5379" max="5632" width="11.42578125" style="4"/>
    <col min="5633" max="5633" width="4" style="4" customWidth="1"/>
    <col min="5634" max="5634" width="6.5703125" style="4" customWidth="1"/>
    <col min="5635" max="5888" width="11.42578125" style="4"/>
    <col min="5889" max="5889" width="4" style="4" customWidth="1"/>
    <col min="5890" max="5890" width="6.5703125" style="4" customWidth="1"/>
    <col min="5891" max="6144" width="11.42578125" style="4"/>
    <col min="6145" max="6145" width="4" style="4" customWidth="1"/>
    <col min="6146" max="6146" width="6.5703125" style="4" customWidth="1"/>
    <col min="6147" max="6400" width="11.42578125" style="4"/>
    <col min="6401" max="6401" width="4" style="4" customWidth="1"/>
    <col min="6402" max="6402" width="6.5703125" style="4" customWidth="1"/>
    <col min="6403" max="6656" width="11.42578125" style="4"/>
    <col min="6657" max="6657" width="4" style="4" customWidth="1"/>
    <col min="6658" max="6658" width="6.5703125" style="4" customWidth="1"/>
    <col min="6659" max="6912" width="11.42578125" style="4"/>
    <col min="6913" max="6913" width="4" style="4" customWidth="1"/>
    <col min="6914" max="6914" width="6.5703125" style="4" customWidth="1"/>
    <col min="6915" max="7168" width="11.42578125" style="4"/>
    <col min="7169" max="7169" width="4" style="4" customWidth="1"/>
    <col min="7170" max="7170" width="6.5703125" style="4" customWidth="1"/>
    <col min="7171" max="7424" width="11.42578125" style="4"/>
    <col min="7425" max="7425" width="4" style="4" customWidth="1"/>
    <col min="7426" max="7426" width="6.5703125" style="4" customWidth="1"/>
    <col min="7427" max="7680" width="11.42578125" style="4"/>
    <col min="7681" max="7681" width="4" style="4" customWidth="1"/>
    <col min="7682" max="7682" width="6.5703125" style="4" customWidth="1"/>
    <col min="7683" max="7936" width="11.42578125" style="4"/>
    <col min="7937" max="7937" width="4" style="4" customWidth="1"/>
    <col min="7938" max="7938" width="6.5703125" style="4" customWidth="1"/>
    <col min="7939" max="8192" width="11.42578125" style="4"/>
    <col min="8193" max="8193" width="4" style="4" customWidth="1"/>
    <col min="8194" max="8194" width="6.5703125" style="4" customWidth="1"/>
    <col min="8195" max="8448" width="11.42578125" style="4"/>
    <col min="8449" max="8449" width="4" style="4" customWidth="1"/>
    <col min="8450" max="8450" width="6.5703125" style="4" customWidth="1"/>
    <col min="8451" max="8704" width="11.42578125" style="4"/>
    <col min="8705" max="8705" width="4" style="4" customWidth="1"/>
    <col min="8706" max="8706" width="6.5703125" style="4" customWidth="1"/>
    <col min="8707" max="8960" width="11.42578125" style="4"/>
    <col min="8961" max="8961" width="4" style="4" customWidth="1"/>
    <col min="8962" max="8962" width="6.5703125" style="4" customWidth="1"/>
    <col min="8963" max="9216" width="11.42578125" style="4"/>
    <col min="9217" max="9217" width="4" style="4" customWidth="1"/>
    <col min="9218" max="9218" width="6.5703125" style="4" customWidth="1"/>
    <col min="9219" max="9472" width="11.42578125" style="4"/>
    <col min="9473" max="9473" width="4" style="4" customWidth="1"/>
    <col min="9474" max="9474" width="6.5703125" style="4" customWidth="1"/>
    <col min="9475" max="9728" width="11.42578125" style="4"/>
    <col min="9729" max="9729" width="4" style="4" customWidth="1"/>
    <col min="9730" max="9730" width="6.5703125" style="4" customWidth="1"/>
    <col min="9731" max="9984" width="11.42578125" style="4"/>
    <col min="9985" max="9985" width="4" style="4" customWidth="1"/>
    <col min="9986" max="9986" width="6.5703125" style="4" customWidth="1"/>
    <col min="9987" max="10240" width="11.42578125" style="4"/>
    <col min="10241" max="10241" width="4" style="4" customWidth="1"/>
    <col min="10242" max="10242" width="6.5703125" style="4" customWidth="1"/>
    <col min="10243" max="10496" width="11.42578125" style="4"/>
    <col min="10497" max="10497" width="4" style="4" customWidth="1"/>
    <col min="10498" max="10498" width="6.5703125" style="4" customWidth="1"/>
    <col min="10499" max="10752" width="11.42578125" style="4"/>
    <col min="10753" max="10753" width="4" style="4" customWidth="1"/>
    <col min="10754" max="10754" width="6.5703125" style="4" customWidth="1"/>
    <col min="10755" max="11008" width="11.42578125" style="4"/>
    <col min="11009" max="11009" width="4" style="4" customWidth="1"/>
    <col min="11010" max="11010" width="6.5703125" style="4" customWidth="1"/>
    <col min="11011" max="11264" width="11.42578125" style="4"/>
    <col min="11265" max="11265" width="4" style="4" customWidth="1"/>
    <col min="11266" max="11266" width="6.5703125" style="4" customWidth="1"/>
    <col min="11267" max="11520" width="11.42578125" style="4"/>
    <col min="11521" max="11521" width="4" style="4" customWidth="1"/>
    <col min="11522" max="11522" width="6.5703125" style="4" customWidth="1"/>
    <col min="11523" max="11776" width="11.42578125" style="4"/>
    <col min="11777" max="11777" width="4" style="4" customWidth="1"/>
    <col min="11778" max="11778" width="6.5703125" style="4" customWidth="1"/>
    <col min="11779" max="12032" width="11.42578125" style="4"/>
    <col min="12033" max="12033" width="4" style="4" customWidth="1"/>
    <col min="12034" max="12034" width="6.5703125" style="4" customWidth="1"/>
    <col min="12035" max="12288" width="11.42578125" style="4"/>
    <col min="12289" max="12289" width="4" style="4" customWidth="1"/>
    <col min="12290" max="12290" width="6.5703125" style="4" customWidth="1"/>
    <col min="12291" max="12544" width="11.42578125" style="4"/>
    <col min="12545" max="12545" width="4" style="4" customWidth="1"/>
    <col min="12546" max="12546" width="6.5703125" style="4" customWidth="1"/>
    <col min="12547" max="12800" width="11.42578125" style="4"/>
    <col min="12801" max="12801" width="4" style="4" customWidth="1"/>
    <col min="12802" max="12802" width="6.5703125" style="4" customWidth="1"/>
    <col min="12803" max="13056" width="11.42578125" style="4"/>
    <col min="13057" max="13057" width="4" style="4" customWidth="1"/>
    <col min="13058" max="13058" width="6.5703125" style="4" customWidth="1"/>
    <col min="13059" max="13312" width="11.42578125" style="4"/>
    <col min="13313" max="13313" width="4" style="4" customWidth="1"/>
    <col min="13314" max="13314" width="6.5703125" style="4" customWidth="1"/>
    <col min="13315" max="13568" width="11.42578125" style="4"/>
    <col min="13569" max="13569" width="4" style="4" customWidth="1"/>
    <col min="13570" max="13570" width="6.5703125" style="4" customWidth="1"/>
    <col min="13571" max="13824" width="11.42578125" style="4"/>
    <col min="13825" max="13825" width="4" style="4" customWidth="1"/>
    <col min="13826" max="13826" width="6.5703125" style="4" customWidth="1"/>
    <col min="13827" max="14080" width="11.42578125" style="4"/>
    <col min="14081" max="14081" width="4" style="4" customWidth="1"/>
    <col min="14082" max="14082" width="6.5703125" style="4" customWidth="1"/>
    <col min="14083" max="14336" width="11.42578125" style="4"/>
    <col min="14337" max="14337" width="4" style="4" customWidth="1"/>
    <col min="14338" max="14338" width="6.5703125" style="4" customWidth="1"/>
    <col min="14339" max="14592" width="11.42578125" style="4"/>
    <col min="14593" max="14593" width="4" style="4" customWidth="1"/>
    <col min="14594" max="14594" width="6.5703125" style="4" customWidth="1"/>
    <col min="14595" max="14848" width="11.42578125" style="4"/>
    <col min="14849" max="14849" width="4" style="4" customWidth="1"/>
    <col min="14850" max="14850" width="6.5703125" style="4" customWidth="1"/>
    <col min="14851" max="15104" width="11.42578125" style="4"/>
    <col min="15105" max="15105" width="4" style="4" customWidth="1"/>
    <col min="15106" max="15106" width="6.5703125" style="4" customWidth="1"/>
    <col min="15107" max="15360" width="11.42578125" style="4"/>
    <col min="15361" max="15361" width="4" style="4" customWidth="1"/>
    <col min="15362" max="15362" width="6.5703125" style="4" customWidth="1"/>
    <col min="15363" max="15616" width="11.42578125" style="4"/>
    <col min="15617" max="15617" width="4" style="4" customWidth="1"/>
    <col min="15618" max="15618" width="6.5703125" style="4" customWidth="1"/>
    <col min="15619" max="15872" width="11.42578125" style="4"/>
    <col min="15873" max="15873" width="4" style="4" customWidth="1"/>
    <col min="15874" max="15874" width="6.5703125" style="4" customWidth="1"/>
    <col min="15875" max="16128" width="11.42578125" style="4"/>
    <col min="16129" max="16129" width="4" style="4" customWidth="1"/>
    <col min="16130" max="16130" width="6.5703125" style="4" customWidth="1"/>
    <col min="16131" max="16384" width="11.42578125" style="4"/>
  </cols>
  <sheetData>
    <row r="1" spans="1:12" x14ac:dyDescent="0.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26.25" x14ac:dyDescent="0.4">
      <c r="A2" s="14"/>
      <c r="B2" s="15" t="s">
        <v>1</v>
      </c>
      <c r="C2" s="16"/>
      <c r="D2" s="16"/>
      <c r="E2" s="16"/>
      <c r="F2" s="16"/>
      <c r="G2" s="16"/>
      <c r="H2" s="16"/>
      <c r="I2" s="16"/>
      <c r="J2" s="14"/>
      <c r="K2" s="14"/>
      <c r="L2" s="14"/>
    </row>
    <row r="3" spans="1:12" ht="14.25" x14ac:dyDescent="0.2">
      <c r="A3" s="16"/>
      <c r="B3" s="16"/>
      <c r="C3" s="16"/>
      <c r="D3" s="16"/>
      <c r="E3" s="16"/>
      <c r="F3" s="16"/>
      <c r="G3" s="16"/>
      <c r="H3" s="16"/>
      <c r="I3" s="16"/>
      <c r="J3" s="14"/>
      <c r="K3" s="14"/>
      <c r="L3" s="14"/>
    </row>
    <row r="4" spans="1:12" ht="14.25" x14ac:dyDescent="0.2">
      <c r="A4" s="16"/>
      <c r="B4" s="16"/>
      <c r="C4" s="16"/>
      <c r="D4" s="16"/>
      <c r="E4" s="16"/>
      <c r="F4" s="16"/>
      <c r="G4" s="16"/>
      <c r="H4" s="16"/>
      <c r="I4" s="16"/>
      <c r="J4" s="14"/>
      <c r="K4" s="14"/>
      <c r="L4" s="14"/>
    </row>
    <row r="5" spans="1:12" ht="15" x14ac:dyDescent="0.25">
      <c r="A5" s="17" t="s">
        <v>2</v>
      </c>
      <c r="B5" s="18" t="s">
        <v>3</v>
      </c>
      <c r="C5" s="18"/>
      <c r="D5" s="16"/>
      <c r="E5" s="16"/>
      <c r="F5" s="16"/>
      <c r="G5" s="16"/>
      <c r="H5" s="16"/>
      <c r="I5" s="16"/>
      <c r="J5" s="14"/>
      <c r="K5" s="14"/>
      <c r="L5" s="14"/>
    </row>
    <row r="6" spans="1:12" ht="14.25" x14ac:dyDescent="0.2">
      <c r="A6" s="19"/>
      <c r="B6" s="20" t="s">
        <v>4</v>
      </c>
      <c r="C6" s="16" t="s">
        <v>5</v>
      </c>
      <c r="D6" s="16"/>
      <c r="E6" s="16"/>
      <c r="F6" s="16"/>
      <c r="G6" s="16"/>
      <c r="H6" s="16"/>
      <c r="I6" s="16"/>
      <c r="J6" s="14"/>
      <c r="K6" s="14"/>
      <c r="L6" s="14"/>
    </row>
    <row r="7" spans="1:12" ht="14.25" x14ac:dyDescent="0.2">
      <c r="A7" s="19"/>
      <c r="B7" s="20" t="s">
        <v>6</v>
      </c>
      <c r="C7" s="16" t="s">
        <v>7</v>
      </c>
      <c r="D7" s="16"/>
      <c r="E7" s="16"/>
      <c r="F7" s="16"/>
      <c r="G7" s="16"/>
      <c r="H7" s="16"/>
      <c r="I7" s="16"/>
      <c r="J7" s="14"/>
      <c r="K7" s="14"/>
      <c r="L7" s="14"/>
    </row>
    <row r="8" spans="1:12" ht="14.25" x14ac:dyDescent="0.2">
      <c r="A8" s="19"/>
      <c r="B8" s="20" t="s">
        <v>8</v>
      </c>
      <c r="C8" s="16" t="s">
        <v>9</v>
      </c>
      <c r="D8" s="16"/>
      <c r="E8" s="16"/>
      <c r="F8" s="16"/>
      <c r="G8" s="16"/>
      <c r="H8" s="16"/>
      <c r="I8" s="16"/>
      <c r="J8" s="14"/>
      <c r="K8" s="14"/>
      <c r="L8" s="14"/>
    </row>
    <row r="9" spans="1:12" ht="14.25" x14ac:dyDescent="0.2">
      <c r="A9" s="19"/>
      <c r="B9" s="20" t="s">
        <v>10</v>
      </c>
      <c r="C9" s="16" t="s">
        <v>11</v>
      </c>
      <c r="D9" s="16"/>
      <c r="E9" s="16"/>
      <c r="F9" s="16"/>
      <c r="G9" s="16"/>
      <c r="H9" s="16"/>
      <c r="I9" s="16"/>
      <c r="J9" s="14"/>
      <c r="K9" s="14"/>
      <c r="L9" s="14"/>
    </row>
    <row r="10" spans="1:12" ht="14.25" x14ac:dyDescent="0.2">
      <c r="A10" s="19"/>
      <c r="B10" s="16"/>
      <c r="C10" s="16"/>
      <c r="D10" s="16"/>
      <c r="E10" s="16"/>
      <c r="F10" s="16"/>
      <c r="G10" s="16"/>
      <c r="H10" s="16"/>
      <c r="I10" s="16"/>
      <c r="J10" s="14"/>
      <c r="K10" s="14"/>
      <c r="L10" s="14"/>
    </row>
    <row r="11" spans="1:12" ht="15" x14ac:dyDescent="0.25">
      <c r="A11" s="17" t="s">
        <v>12</v>
      </c>
      <c r="B11" s="18" t="s">
        <v>13</v>
      </c>
      <c r="C11" s="18"/>
      <c r="D11" s="16"/>
      <c r="E11" s="16"/>
      <c r="F11" s="16"/>
      <c r="G11" s="16"/>
      <c r="H11" s="16"/>
      <c r="I11" s="16"/>
      <c r="J11" s="14"/>
      <c r="K11" s="14"/>
      <c r="L11" s="14"/>
    </row>
    <row r="12" spans="1:12" ht="14.25" x14ac:dyDescent="0.2">
      <c r="A12" s="19"/>
      <c r="B12" s="20" t="s">
        <v>14</v>
      </c>
      <c r="C12" s="16" t="s">
        <v>15</v>
      </c>
      <c r="D12" s="16"/>
      <c r="E12" s="16"/>
      <c r="F12" s="16"/>
      <c r="G12" s="16"/>
      <c r="H12" s="16"/>
      <c r="I12" s="16"/>
      <c r="J12" s="14"/>
      <c r="K12" s="14"/>
      <c r="L12" s="14"/>
    </row>
    <row r="13" spans="1:12" ht="14.25" x14ac:dyDescent="0.2">
      <c r="A13" s="19"/>
      <c r="B13" s="20" t="s">
        <v>16</v>
      </c>
      <c r="C13" s="16" t="s">
        <v>17</v>
      </c>
      <c r="D13" s="16"/>
      <c r="E13" s="16"/>
      <c r="F13" s="16"/>
      <c r="G13" s="16"/>
      <c r="H13" s="16"/>
      <c r="I13" s="16"/>
      <c r="J13" s="14"/>
      <c r="K13" s="14"/>
      <c r="L13" s="14"/>
    </row>
    <row r="14" spans="1:12" ht="14.25" x14ac:dyDescent="0.2">
      <c r="A14" s="19"/>
      <c r="B14" s="20" t="s">
        <v>18</v>
      </c>
      <c r="C14" s="16" t="s">
        <v>19</v>
      </c>
      <c r="D14" s="16"/>
      <c r="E14" s="16"/>
      <c r="F14" s="16"/>
      <c r="G14" s="16"/>
      <c r="H14" s="16"/>
      <c r="I14" s="16"/>
      <c r="J14" s="14"/>
      <c r="K14" s="14"/>
      <c r="L14" s="14"/>
    </row>
    <row r="15" spans="1:12" ht="14.25" x14ac:dyDescent="0.2">
      <c r="A15" s="19"/>
      <c r="B15" s="20" t="s">
        <v>20</v>
      </c>
      <c r="C15" s="16" t="s">
        <v>21</v>
      </c>
      <c r="D15" s="16"/>
      <c r="E15" s="16"/>
      <c r="F15" s="16"/>
      <c r="G15" s="16"/>
      <c r="H15" s="16"/>
      <c r="I15" s="16"/>
      <c r="J15" s="14"/>
      <c r="K15" s="14"/>
      <c r="L15" s="14"/>
    </row>
    <row r="16" spans="1:12" ht="14.25" x14ac:dyDescent="0.2">
      <c r="A16" s="19"/>
      <c r="B16" s="20" t="s">
        <v>22</v>
      </c>
      <c r="C16" s="16" t="s">
        <v>23</v>
      </c>
      <c r="D16" s="16"/>
      <c r="E16" s="16"/>
      <c r="F16" s="16"/>
      <c r="G16" s="16"/>
      <c r="H16" s="16"/>
      <c r="I16" s="16"/>
      <c r="J16" s="14"/>
      <c r="K16" s="14"/>
      <c r="L16" s="14"/>
    </row>
    <row r="17" spans="1:12" ht="14.25" x14ac:dyDescent="0.2">
      <c r="A17" s="19"/>
      <c r="B17" s="16"/>
      <c r="C17" s="16"/>
      <c r="D17" s="16"/>
      <c r="E17" s="16"/>
      <c r="F17" s="16"/>
      <c r="G17" s="16"/>
      <c r="H17" s="16"/>
      <c r="I17" s="16"/>
      <c r="J17" s="14"/>
      <c r="K17" s="14"/>
      <c r="L17" s="14"/>
    </row>
    <row r="18" spans="1:12" ht="15" x14ac:dyDescent="0.25">
      <c r="A18" s="17" t="s">
        <v>24</v>
      </c>
      <c r="B18" s="18" t="s">
        <v>25</v>
      </c>
      <c r="C18" s="18"/>
      <c r="D18" s="16"/>
      <c r="E18" s="16"/>
      <c r="F18" s="16"/>
      <c r="G18" s="16"/>
      <c r="H18" s="16"/>
      <c r="I18" s="16"/>
      <c r="J18" s="14"/>
      <c r="K18" s="14"/>
      <c r="L18" s="14"/>
    </row>
    <row r="19" spans="1:12" ht="14.25" x14ac:dyDescent="0.2">
      <c r="A19" s="19"/>
      <c r="B19" s="20" t="s">
        <v>26</v>
      </c>
      <c r="C19" s="16" t="s">
        <v>15</v>
      </c>
      <c r="D19" s="16"/>
      <c r="E19" s="16"/>
      <c r="F19" s="16"/>
      <c r="G19" s="16"/>
      <c r="H19" s="16"/>
      <c r="I19" s="16"/>
      <c r="J19" s="14"/>
      <c r="K19" s="14"/>
      <c r="L19" s="14"/>
    </row>
    <row r="20" spans="1:12" ht="14.25" x14ac:dyDescent="0.2">
      <c r="A20" s="19"/>
      <c r="B20" s="20" t="s">
        <v>27</v>
      </c>
      <c r="C20" s="16" t="s">
        <v>17</v>
      </c>
      <c r="D20" s="16"/>
      <c r="E20" s="16"/>
      <c r="F20" s="16"/>
      <c r="G20" s="16"/>
      <c r="H20" s="16"/>
      <c r="I20" s="16"/>
      <c r="J20" s="14"/>
      <c r="K20" s="14"/>
      <c r="L20" s="14"/>
    </row>
    <row r="21" spans="1:12" ht="14.25" x14ac:dyDescent="0.2">
      <c r="A21" s="19"/>
      <c r="B21" s="20" t="s">
        <v>28</v>
      </c>
      <c r="C21" s="16" t="s">
        <v>19</v>
      </c>
      <c r="D21" s="16"/>
      <c r="E21" s="16"/>
      <c r="F21" s="16"/>
      <c r="G21" s="16"/>
      <c r="H21" s="16"/>
      <c r="I21" s="16"/>
      <c r="J21" s="14"/>
      <c r="K21" s="14"/>
      <c r="L21" s="14"/>
    </row>
    <row r="22" spans="1:12" ht="14.25" x14ac:dyDescent="0.2">
      <c r="A22" s="19"/>
      <c r="B22" s="20" t="s">
        <v>29</v>
      </c>
      <c r="C22" s="16" t="s">
        <v>21</v>
      </c>
      <c r="D22" s="16"/>
      <c r="E22" s="16"/>
      <c r="F22" s="16"/>
      <c r="G22" s="16"/>
      <c r="H22" s="16"/>
      <c r="I22" s="16"/>
      <c r="J22" s="14"/>
      <c r="K22" s="14"/>
      <c r="L22" s="14"/>
    </row>
    <row r="23" spans="1:12" ht="14.25" x14ac:dyDescent="0.2">
      <c r="A23" s="19"/>
      <c r="B23" s="16"/>
      <c r="C23" s="16"/>
      <c r="D23" s="16"/>
      <c r="E23" s="16"/>
      <c r="F23" s="16"/>
      <c r="G23" s="16"/>
      <c r="H23" s="16"/>
      <c r="I23" s="16"/>
      <c r="J23" s="14"/>
      <c r="K23" s="14"/>
      <c r="L23" s="14"/>
    </row>
    <row r="24" spans="1:12" ht="15" x14ac:dyDescent="0.25">
      <c r="A24" s="21" t="s">
        <v>30</v>
      </c>
      <c r="B24" s="18" t="s">
        <v>31</v>
      </c>
      <c r="C24" s="18"/>
      <c r="D24" s="16"/>
      <c r="E24" s="16"/>
      <c r="F24" s="16"/>
      <c r="G24" s="16"/>
      <c r="H24" s="16"/>
      <c r="I24" s="16"/>
      <c r="J24" s="14"/>
      <c r="K24" s="14"/>
      <c r="L24" s="14"/>
    </row>
    <row r="25" spans="1:12" ht="14.25" x14ac:dyDescent="0.2">
      <c r="A25" s="19"/>
      <c r="B25" s="16"/>
      <c r="C25" s="16"/>
      <c r="D25" s="16"/>
      <c r="E25" s="16"/>
      <c r="F25" s="16"/>
      <c r="G25" s="16"/>
      <c r="H25" s="16"/>
      <c r="I25" s="16"/>
      <c r="J25" s="14"/>
      <c r="K25" s="14"/>
      <c r="L25" s="14"/>
    </row>
    <row r="26" spans="1:12" ht="15" x14ac:dyDescent="0.25">
      <c r="A26" s="17" t="s">
        <v>32</v>
      </c>
      <c r="B26" s="18" t="s">
        <v>33</v>
      </c>
      <c r="C26" s="18"/>
      <c r="D26" s="16"/>
      <c r="E26" s="16"/>
      <c r="F26" s="16"/>
      <c r="G26" s="16"/>
      <c r="H26" s="16"/>
      <c r="I26" s="16"/>
      <c r="J26" s="14"/>
      <c r="K26" s="14"/>
      <c r="L26" s="14"/>
    </row>
    <row r="27" spans="1:12" ht="14.25" x14ac:dyDescent="0.2">
      <c r="A27" s="19"/>
      <c r="B27" s="20" t="s">
        <v>34</v>
      </c>
      <c r="C27" s="16" t="s">
        <v>15</v>
      </c>
      <c r="D27" s="16"/>
      <c r="E27" s="16"/>
      <c r="F27" s="16"/>
      <c r="G27" s="16"/>
      <c r="H27" s="16"/>
      <c r="I27" s="16"/>
      <c r="J27" s="14"/>
      <c r="K27" s="14"/>
      <c r="L27" s="14"/>
    </row>
    <row r="28" spans="1:12" ht="14.25" x14ac:dyDescent="0.2">
      <c r="A28" s="19"/>
      <c r="B28" s="20" t="s">
        <v>35</v>
      </c>
      <c r="C28" s="16" t="s">
        <v>17</v>
      </c>
      <c r="D28" s="16"/>
      <c r="E28" s="16"/>
      <c r="F28" s="16"/>
      <c r="G28" s="16"/>
      <c r="H28" s="16"/>
      <c r="I28" s="16"/>
      <c r="J28" s="14"/>
      <c r="K28" s="14"/>
      <c r="L28" s="14"/>
    </row>
    <row r="29" spans="1:12" ht="14.25" x14ac:dyDescent="0.2">
      <c r="A29" s="19"/>
      <c r="B29" s="20" t="s">
        <v>36</v>
      </c>
      <c r="C29" s="16" t="s">
        <v>37</v>
      </c>
      <c r="D29" s="16"/>
      <c r="E29" s="16"/>
      <c r="F29" s="16"/>
      <c r="G29" s="16"/>
      <c r="H29" s="16"/>
      <c r="I29" s="16"/>
      <c r="J29" s="14"/>
      <c r="K29" s="14"/>
      <c r="L29" s="14"/>
    </row>
    <row r="30" spans="1:12" ht="14.25" x14ac:dyDescent="0.2">
      <c r="A30" s="19"/>
      <c r="B30" s="20" t="s">
        <v>38</v>
      </c>
      <c r="C30" s="16" t="s">
        <v>39</v>
      </c>
      <c r="D30" s="16"/>
      <c r="E30" s="16"/>
      <c r="F30" s="16"/>
      <c r="G30" s="16"/>
      <c r="H30" s="16"/>
      <c r="I30" s="16"/>
      <c r="J30" s="14"/>
      <c r="K30" s="14"/>
      <c r="L30" s="14"/>
    </row>
    <row r="31" spans="1:12" ht="14.25" x14ac:dyDescent="0.2">
      <c r="A31" s="19"/>
      <c r="B31" s="20" t="s">
        <v>40</v>
      </c>
      <c r="C31" s="16" t="s">
        <v>41</v>
      </c>
      <c r="D31" s="16"/>
      <c r="E31" s="16"/>
      <c r="F31" s="16"/>
      <c r="G31" s="16"/>
      <c r="H31" s="16"/>
      <c r="I31" s="16"/>
      <c r="J31" s="14"/>
      <c r="K31" s="14"/>
      <c r="L31" s="14"/>
    </row>
    <row r="32" spans="1:12" ht="14.25" x14ac:dyDescent="0.2">
      <c r="A32" s="19"/>
      <c r="B32" s="16"/>
      <c r="C32" s="16"/>
      <c r="D32" s="16"/>
      <c r="E32" s="16"/>
      <c r="F32" s="16"/>
      <c r="G32" s="16"/>
      <c r="H32" s="16"/>
      <c r="I32" s="16"/>
      <c r="J32" s="14"/>
      <c r="K32" s="14"/>
      <c r="L32" s="14"/>
    </row>
    <row r="33" spans="1:12" ht="15" x14ac:dyDescent="0.25">
      <c r="A33" s="17" t="s">
        <v>42</v>
      </c>
      <c r="B33" s="18" t="s">
        <v>43</v>
      </c>
      <c r="C33" s="18"/>
      <c r="D33" s="16"/>
      <c r="E33" s="16"/>
      <c r="F33" s="16"/>
      <c r="G33" s="16"/>
      <c r="H33" s="16"/>
      <c r="I33" s="16"/>
      <c r="J33" s="14"/>
      <c r="K33" s="14"/>
      <c r="L33" s="14"/>
    </row>
    <row r="34" spans="1:12" ht="14.25" x14ac:dyDescent="0.2">
      <c r="A34" s="19"/>
      <c r="B34" s="20" t="s">
        <v>44</v>
      </c>
      <c r="C34" s="16" t="s">
        <v>45</v>
      </c>
      <c r="D34" s="16"/>
      <c r="E34" s="16"/>
      <c r="F34" s="16"/>
      <c r="G34" s="16"/>
      <c r="H34" s="16"/>
      <c r="I34" s="16"/>
      <c r="J34" s="14"/>
      <c r="K34" s="14"/>
      <c r="L34" s="14"/>
    </row>
    <row r="35" spans="1:12" ht="14.25" x14ac:dyDescent="0.2">
      <c r="A35" s="19"/>
      <c r="B35" s="20" t="s">
        <v>46</v>
      </c>
      <c r="C35" s="16" t="s">
        <v>47</v>
      </c>
      <c r="D35" s="16"/>
      <c r="E35" s="16"/>
      <c r="F35" s="16"/>
      <c r="G35" s="16"/>
      <c r="H35" s="16"/>
      <c r="I35" s="16"/>
      <c r="J35" s="14"/>
      <c r="K35" s="14"/>
      <c r="L35" s="14"/>
    </row>
    <row r="36" spans="1:12" ht="14.25" x14ac:dyDescent="0.2">
      <c r="A36" s="19"/>
      <c r="B36" s="16"/>
      <c r="C36" s="16"/>
      <c r="D36" s="16"/>
      <c r="E36" s="16"/>
      <c r="F36" s="16"/>
      <c r="G36" s="16"/>
      <c r="H36" s="16"/>
      <c r="I36" s="16"/>
      <c r="J36" s="14"/>
      <c r="K36" s="14"/>
      <c r="L36" s="14"/>
    </row>
    <row r="37" spans="1:12" ht="15" x14ac:dyDescent="0.25">
      <c r="A37" s="22" t="s">
        <v>48</v>
      </c>
      <c r="B37" s="23" t="s">
        <v>49</v>
      </c>
      <c r="C37" s="18"/>
      <c r="D37" s="16"/>
      <c r="E37" s="16"/>
      <c r="F37" s="16"/>
      <c r="G37" s="16"/>
      <c r="H37" s="16"/>
      <c r="I37" s="16"/>
      <c r="J37" s="14"/>
      <c r="K37" s="14"/>
      <c r="L37" s="14"/>
    </row>
    <row r="38" spans="1:12" ht="14.25" x14ac:dyDescent="0.2">
      <c r="A38" s="24"/>
      <c r="B38" s="25" t="s">
        <v>50</v>
      </c>
      <c r="C38" s="16" t="s">
        <v>51</v>
      </c>
      <c r="D38" s="16"/>
      <c r="E38" s="16"/>
      <c r="F38" s="16"/>
      <c r="G38" s="16"/>
      <c r="H38" s="16"/>
      <c r="I38" s="16"/>
      <c r="J38" s="14"/>
      <c r="K38" s="14"/>
      <c r="L38" s="14"/>
    </row>
    <row r="39" spans="1:12" ht="14.25" x14ac:dyDescent="0.2">
      <c r="A39" s="19"/>
      <c r="B39" s="25" t="s">
        <v>52</v>
      </c>
      <c r="C39" s="16" t="s">
        <v>53</v>
      </c>
      <c r="D39" s="16"/>
      <c r="E39" s="16"/>
      <c r="F39" s="16"/>
      <c r="G39" s="16"/>
      <c r="H39" s="16"/>
      <c r="I39" s="16"/>
      <c r="J39" s="14"/>
      <c r="K39" s="14"/>
      <c r="L39" s="14"/>
    </row>
    <row r="40" spans="1:12" ht="14.25" x14ac:dyDescent="0.2">
      <c r="A40" s="19"/>
      <c r="B40" s="25" t="s">
        <v>54</v>
      </c>
      <c r="C40" s="16" t="s">
        <v>55</v>
      </c>
      <c r="D40" s="16"/>
      <c r="E40" s="16"/>
      <c r="F40" s="16"/>
      <c r="G40" s="16"/>
      <c r="H40" s="16"/>
      <c r="I40" s="16"/>
      <c r="J40" s="14"/>
      <c r="K40" s="14"/>
      <c r="L40" s="14"/>
    </row>
    <row r="41" spans="1:12" ht="14.25" x14ac:dyDescent="0.2">
      <c r="A41" s="19"/>
      <c r="B41" s="16"/>
      <c r="C41" s="16"/>
      <c r="D41" s="16"/>
      <c r="E41" s="16"/>
      <c r="F41" s="16"/>
      <c r="G41" s="16"/>
      <c r="H41" s="16"/>
      <c r="I41" s="16"/>
      <c r="J41" s="14"/>
      <c r="K41" s="14"/>
      <c r="L41" s="14"/>
    </row>
    <row r="42" spans="1:12" ht="15" x14ac:dyDescent="0.25">
      <c r="A42" s="26" t="s">
        <v>56</v>
      </c>
      <c r="B42" s="27" t="s">
        <v>57</v>
      </c>
      <c r="C42" s="18"/>
      <c r="D42" s="16"/>
      <c r="E42" s="16"/>
      <c r="F42" s="16"/>
      <c r="G42" s="16"/>
      <c r="H42" s="16"/>
      <c r="I42" s="16"/>
      <c r="J42" s="14"/>
      <c r="K42" s="14"/>
      <c r="L42" s="14"/>
    </row>
    <row r="43" spans="1:12" ht="14.25" x14ac:dyDescent="0.2">
      <c r="A43" s="28"/>
      <c r="B43" s="29" t="s">
        <v>58</v>
      </c>
      <c r="C43" s="16" t="s">
        <v>59</v>
      </c>
      <c r="D43" s="16"/>
      <c r="E43" s="16"/>
      <c r="F43" s="16"/>
      <c r="G43" s="16"/>
      <c r="H43" s="16"/>
      <c r="I43" s="16"/>
      <c r="J43" s="14"/>
      <c r="K43" s="14"/>
      <c r="L43" s="14"/>
    </row>
    <row r="44" spans="1:12" ht="14.25" x14ac:dyDescent="0.2">
      <c r="A44" s="19"/>
      <c r="B44" s="29">
        <v>8.1999999999999993</v>
      </c>
      <c r="C44" s="16" t="s">
        <v>53</v>
      </c>
      <c r="D44" s="16"/>
      <c r="E44" s="16"/>
      <c r="F44" s="16"/>
      <c r="G44" s="16"/>
      <c r="H44" s="16"/>
      <c r="I44" s="16"/>
      <c r="J44" s="14"/>
      <c r="K44" s="14"/>
      <c r="L44" s="14"/>
    </row>
    <row r="45" spans="1:12" ht="14.25" x14ac:dyDescent="0.2">
      <c r="A45" s="19"/>
      <c r="B45" s="29">
        <v>8.3000000000000007</v>
      </c>
      <c r="C45" s="16" t="s">
        <v>60</v>
      </c>
      <c r="D45" s="16"/>
      <c r="E45" s="16"/>
      <c r="F45" s="16"/>
      <c r="G45" s="16"/>
      <c r="H45" s="16"/>
      <c r="I45" s="16"/>
      <c r="J45" s="14"/>
      <c r="K45" s="14"/>
      <c r="L45" s="14"/>
    </row>
    <row r="46" spans="1:12" ht="14.25" x14ac:dyDescent="0.2">
      <c r="A46" s="19"/>
      <c r="B46" s="16"/>
      <c r="C46" s="16"/>
      <c r="D46" s="16"/>
      <c r="E46" s="16"/>
      <c r="F46" s="16"/>
      <c r="G46" s="16"/>
      <c r="H46" s="16"/>
      <c r="I46" s="16"/>
      <c r="J46" s="14"/>
      <c r="K46" s="14"/>
      <c r="L46" s="14"/>
    </row>
    <row r="47" spans="1:12" ht="15" x14ac:dyDescent="0.25">
      <c r="A47" s="26" t="s">
        <v>61</v>
      </c>
      <c r="B47" s="27" t="s">
        <v>62</v>
      </c>
      <c r="C47" s="16"/>
      <c r="D47" s="16"/>
      <c r="E47" s="16"/>
      <c r="F47" s="16"/>
      <c r="G47" s="16"/>
      <c r="H47" s="16"/>
      <c r="I47" s="16"/>
      <c r="J47" s="14"/>
      <c r="K47" s="14"/>
      <c r="L47" s="14"/>
    </row>
    <row r="48" spans="1:12" ht="14.25" x14ac:dyDescent="0.2">
      <c r="A48" s="28"/>
      <c r="B48" s="29" t="s">
        <v>63</v>
      </c>
      <c r="C48" s="16" t="s">
        <v>64</v>
      </c>
      <c r="D48" s="16"/>
      <c r="E48" s="16"/>
      <c r="F48" s="16"/>
      <c r="G48" s="16"/>
      <c r="H48" s="16"/>
      <c r="I48" s="16"/>
      <c r="J48" s="14"/>
      <c r="K48" s="14"/>
      <c r="L48" s="14"/>
    </row>
    <row r="49" spans="1:12" ht="14.25" x14ac:dyDescent="0.2">
      <c r="A49" s="19"/>
      <c r="B49" s="29" t="s">
        <v>65</v>
      </c>
      <c r="C49" s="16" t="s">
        <v>53</v>
      </c>
      <c r="D49" s="16"/>
      <c r="E49" s="16"/>
      <c r="F49" s="16"/>
      <c r="G49" s="16"/>
      <c r="H49" s="16"/>
      <c r="I49" s="16"/>
      <c r="J49" s="14"/>
      <c r="K49" s="14"/>
      <c r="L49" s="14"/>
    </row>
    <row r="50" spans="1:12" ht="14.25" x14ac:dyDescent="0.2">
      <c r="A50" s="19"/>
      <c r="B50" s="29" t="s">
        <v>66</v>
      </c>
      <c r="C50" s="16" t="s">
        <v>60</v>
      </c>
      <c r="D50" s="16"/>
      <c r="E50" s="16"/>
      <c r="F50" s="16"/>
      <c r="G50" s="16"/>
      <c r="H50" s="16"/>
      <c r="I50" s="16"/>
      <c r="J50" s="14"/>
      <c r="K50" s="14"/>
      <c r="L50" s="14"/>
    </row>
    <row r="51" spans="1:12" ht="14.25" x14ac:dyDescent="0.2">
      <c r="A51" s="19"/>
      <c r="B51" s="16"/>
      <c r="C51" s="16"/>
      <c r="D51" s="16"/>
      <c r="E51" s="16"/>
      <c r="F51" s="16"/>
      <c r="G51" s="16"/>
      <c r="H51" s="16"/>
      <c r="I51" s="16"/>
      <c r="J51" s="14"/>
      <c r="K51" s="14"/>
      <c r="L51" s="14"/>
    </row>
    <row r="52" spans="1:12" ht="15" x14ac:dyDescent="0.25">
      <c r="A52" s="26" t="s">
        <v>67</v>
      </c>
      <c r="B52" s="27" t="s">
        <v>68</v>
      </c>
      <c r="C52" s="18"/>
      <c r="D52" s="16"/>
      <c r="E52" s="16"/>
      <c r="F52" s="16"/>
      <c r="G52" s="16"/>
      <c r="H52" s="16"/>
      <c r="I52" s="16"/>
      <c r="J52" s="14"/>
      <c r="K52" s="14"/>
      <c r="L52" s="14"/>
    </row>
    <row r="53" spans="1:12" ht="14.25" x14ac:dyDescent="0.2">
      <c r="A53" s="28"/>
      <c r="B53" s="29" t="s">
        <v>69</v>
      </c>
      <c r="C53" s="16" t="s">
        <v>70</v>
      </c>
      <c r="D53" s="16"/>
      <c r="E53" s="16"/>
      <c r="F53" s="16"/>
      <c r="G53" s="16"/>
      <c r="H53" s="16"/>
      <c r="I53" s="16"/>
      <c r="J53" s="14"/>
      <c r="K53" s="14"/>
      <c r="L53" s="14"/>
    </row>
    <row r="54" spans="1:12" ht="14.25" x14ac:dyDescent="0.2">
      <c r="A54" s="19"/>
      <c r="B54" s="29" t="s">
        <v>71</v>
      </c>
      <c r="C54" s="16" t="s">
        <v>53</v>
      </c>
      <c r="D54" s="16"/>
      <c r="E54" s="16"/>
      <c r="F54" s="16"/>
      <c r="G54" s="16"/>
      <c r="H54" s="16"/>
      <c r="I54" s="16"/>
      <c r="J54" s="14"/>
      <c r="K54" s="14"/>
      <c r="L54" s="14"/>
    </row>
    <row r="55" spans="1:12" ht="14.25" x14ac:dyDescent="0.2">
      <c r="A55" s="19"/>
      <c r="B55" s="29" t="s">
        <v>72</v>
      </c>
      <c r="C55" s="16" t="s">
        <v>60</v>
      </c>
      <c r="D55" s="16"/>
      <c r="E55" s="16"/>
      <c r="F55" s="16"/>
      <c r="G55" s="16"/>
      <c r="H55" s="16"/>
      <c r="I55" s="16"/>
      <c r="J55" s="14"/>
      <c r="K55" s="14"/>
      <c r="L55" s="14"/>
    </row>
    <row r="56" spans="1:12" ht="14.25" x14ac:dyDescent="0.2">
      <c r="A56" s="19"/>
      <c r="B56" s="16"/>
      <c r="C56" s="16"/>
      <c r="D56" s="16"/>
      <c r="E56" s="16"/>
      <c r="F56" s="16"/>
      <c r="G56" s="16"/>
      <c r="H56" s="16"/>
      <c r="I56" s="16"/>
      <c r="J56" s="14"/>
      <c r="K56" s="14"/>
      <c r="L56" s="14"/>
    </row>
    <row r="57" spans="1:12" ht="15" x14ac:dyDescent="0.25">
      <c r="A57" s="26" t="s">
        <v>73</v>
      </c>
      <c r="B57" s="18" t="s">
        <v>74</v>
      </c>
      <c r="C57" s="16"/>
      <c r="D57" s="16"/>
      <c r="E57" s="16"/>
      <c r="F57" s="16"/>
      <c r="G57" s="16"/>
      <c r="H57" s="16"/>
      <c r="I57" s="16"/>
      <c r="J57" s="14"/>
      <c r="K57" s="14"/>
      <c r="L57" s="14"/>
    </row>
    <row r="58" spans="1:12" ht="14.25" x14ac:dyDescent="0.2">
      <c r="A58" s="19"/>
      <c r="B58" s="16"/>
      <c r="C58" s="16"/>
      <c r="D58" s="16"/>
      <c r="E58" s="16"/>
      <c r="F58" s="16"/>
      <c r="G58" s="16"/>
      <c r="H58" s="16"/>
      <c r="I58" s="16"/>
      <c r="J58" s="14"/>
      <c r="K58" s="14"/>
      <c r="L58" s="14"/>
    </row>
    <row r="59" spans="1:12" ht="15" x14ac:dyDescent="0.25">
      <c r="A59" s="30" t="s">
        <v>75</v>
      </c>
      <c r="B59" s="18" t="s">
        <v>76</v>
      </c>
      <c r="C59" s="1430"/>
      <c r="D59" s="1430"/>
      <c r="E59" s="1430"/>
      <c r="F59" s="1430"/>
      <c r="G59" s="1430"/>
      <c r="H59" s="1430"/>
      <c r="I59" s="1430"/>
      <c r="J59" s="1431"/>
      <c r="K59" s="1431"/>
      <c r="L59" s="14"/>
    </row>
    <row r="60" spans="1:12" ht="14.25" x14ac:dyDescent="0.2">
      <c r="A60" s="19"/>
      <c r="B60" s="16"/>
      <c r="C60" s="16"/>
      <c r="D60" s="16"/>
      <c r="E60" s="16"/>
      <c r="F60" s="16"/>
      <c r="G60" s="16"/>
      <c r="H60" s="16"/>
      <c r="I60" s="16"/>
      <c r="J60" s="14"/>
      <c r="K60" s="14"/>
      <c r="L60" s="14"/>
    </row>
    <row r="61" spans="1:12" ht="15" x14ac:dyDescent="0.25">
      <c r="A61" s="26" t="s">
        <v>77</v>
      </c>
      <c r="B61" s="18" t="s">
        <v>78</v>
      </c>
      <c r="C61" s="16"/>
      <c r="D61" s="16"/>
      <c r="E61" s="16"/>
      <c r="F61" s="16"/>
      <c r="G61" s="16"/>
      <c r="H61" s="16"/>
      <c r="I61" s="16"/>
      <c r="J61" s="14"/>
      <c r="K61" s="14"/>
      <c r="L61" s="14"/>
    </row>
    <row r="62" spans="1:12" ht="15" x14ac:dyDescent="0.25">
      <c r="A62" s="19"/>
      <c r="B62" s="18"/>
      <c r="C62" s="16"/>
      <c r="D62" s="16"/>
      <c r="E62" s="16"/>
      <c r="F62" s="16"/>
      <c r="G62" s="16"/>
      <c r="H62" s="16"/>
      <c r="I62" s="16"/>
      <c r="J62" s="14"/>
      <c r="K62" s="14"/>
      <c r="L62" s="14"/>
    </row>
    <row r="63" spans="1:12" ht="15" x14ac:dyDescent="0.25">
      <c r="A63" s="26" t="s">
        <v>79</v>
      </c>
      <c r="B63" s="18" t="s">
        <v>80</v>
      </c>
      <c r="C63" s="16"/>
      <c r="D63" s="16"/>
      <c r="E63" s="16"/>
      <c r="F63" s="16"/>
      <c r="G63" s="16"/>
      <c r="H63" s="16"/>
      <c r="I63" s="16"/>
      <c r="J63" s="14"/>
      <c r="K63" s="14"/>
      <c r="L63" s="14"/>
    </row>
    <row r="64" spans="1:12" ht="14.25" x14ac:dyDescent="0.2">
      <c r="A64" s="19"/>
      <c r="B64" s="16"/>
      <c r="C64" s="16"/>
      <c r="D64" s="16"/>
      <c r="E64" s="16"/>
      <c r="F64" s="16"/>
      <c r="G64" s="16"/>
      <c r="H64" s="16"/>
      <c r="I64" s="16"/>
      <c r="J64" s="14"/>
      <c r="K64" s="14"/>
      <c r="L64" s="14"/>
    </row>
    <row r="65" spans="1:12" ht="15" x14ac:dyDescent="0.25">
      <c r="A65" s="26" t="s">
        <v>81</v>
      </c>
      <c r="B65" s="18" t="s">
        <v>317</v>
      </c>
      <c r="C65" s="16"/>
      <c r="D65" s="16"/>
      <c r="E65" s="16"/>
      <c r="F65" s="16"/>
      <c r="G65" s="16"/>
      <c r="H65" s="16"/>
      <c r="I65" s="16"/>
      <c r="J65" s="14"/>
      <c r="K65" s="14"/>
      <c r="L65" s="14"/>
    </row>
    <row r="66" spans="1:12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</row>
    <row r="67" spans="1:12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</row>
    <row r="68" spans="1:12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</row>
    <row r="69" spans="1:12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</row>
    <row r="70" spans="1:12" x14ac:dyDescent="0.2">
      <c r="L70" s="14"/>
    </row>
  </sheetData>
  <printOptions horizontalCentered="1"/>
  <pageMargins left="0.78740157480314965" right="0.11811023622047245" top="0.78740157480314965" bottom="0.78740157480314965" header="0.11811023622047245" footer="0.11811023622047245"/>
  <pageSetup paperSize="9" scale="81" fitToHeight="3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3"/>
  <sheetViews>
    <sheetView view="pageBreakPreview" zoomScaleNormal="115" zoomScaleSheetLayoutView="100" workbookViewId="0">
      <selection activeCell="B71" sqref="B71"/>
    </sheetView>
  </sheetViews>
  <sheetFormatPr baseColWidth="10" defaultRowHeight="12.75" x14ac:dyDescent="0.2"/>
  <cols>
    <col min="1" max="1" width="21.5703125" style="157" customWidth="1"/>
    <col min="2" max="2" width="15.7109375" style="157" customWidth="1"/>
    <col min="3" max="3" width="14.28515625" style="157" customWidth="1"/>
    <col min="4" max="7" width="7.5703125" style="157" customWidth="1"/>
    <col min="8" max="8" width="15.42578125" style="157" customWidth="1"/>
    <col min="9" max="11" width="10.140625" style="157" customWidth="1"/>
    <col min="12" max="12" width="11.7109375" style="157" bestFit="1" customWidth="1"/>
    <col min="13" max="13" width="9" style="157" customWidth="1"/>
    <col min="14" max="14" width="8.5703125" style="157" customWidth="1"/>
    <col min="15" max="15" width="14.28515625" style="157" bestFit="1" customWidth="1"/>
    <col min="16" max="16" width="11.42578125" style="157"/>
    <col min="17" max="17" width="13.5703125" style="157" bestFit="1" customWidth="1"/>
    <col min="18" max="18" width="15.5703125" style="157" bestFit="1" customWidth="1"/>
    <col min="19" max="20" width="10.28515625" style="157" bestFit="1" customWidth="1"/>
    <col min="21" max="21" width="9.42578125" style="157" customWidth="1"/>
    <col min="22" max="256" width="11.42578125" style="157"/>
    <col min="257" max="257" width="21.5703125" style="157" customWidth="1"/>
    <col min="258" max="258" width="15.7109375" style="157" customWidth="1"/>
    <col min="259" max="259" width="14.28515625" style="157" customWidth="1"/>
    <col min="260" max="263" width="7.5703125" style="157" customWidth="1"/>
    <col min="264" max="264" width="15.42578125" style="157" customWidth="1"/>
    <col min="265" max="267" width="10.140625" style="157" customWidth="1"/>
    <col min="268" max="268" width="11.7109375" style="157" bestFit="1" customWidth="1"/>
    <col min="269" max="269" width="9" style="157" customWidth="1"/>
    <col min="270" max="270" width="8.5703125" style="157" customWidth="1"/>
    <col min="271" max="271" width="14.28515625" style="157" bestFit="1" customWidth="1"/>
    <col min="272" max="272" width="11.42578125" style="157"/>
    <col min="273" max="273" width="13.5703125" style="157" bestFit="1" customWidth="1"/>
    <col min="274" max="274" width="15.5703125" style="157" bestFit="1" customWidth="1"/>
    <col min="275" max="276" width="10.28515625" style="157" bestFit="1" customWidth="1"/>
    <col min="277" max="277" width="9.42578125" style="157" customWidth="1"/>
    <col min="278" max="512" width="11.42578125" style="157"/>
    <col min="513" max="513" width="21.5703125" style="157" customWidth="1"/>
    <col min="514" max="514" width="15.7109375" style="157" customWidth="1"/>
    <col min="515" max="515" width="14.28515625" style="157" customWidth="1"/>
    <col min="516" max="519" width="7.5703125" style="157" customWidth="1"/>
    <col min="520" max="520" width="15.42578125" style="157" customWidth="1"/>
    <col min="521" max="523" width="10.140625" style="157" customWidth="1"/>
    <col min="524" max="524" width="11.7109375" style="157" bestFit="1" customWidth="1"/>
    <col min="525" max="525" width="9" style="157" customWidth="1"/>
    <col min="526" max="526" width="8.5703125" style="157" customWidth="1"/>
    <col min="527" max="527" width="14.28515625" style="157" bestFit="1" customWidth="1"/>
    <col min="528" max="528" width="11.42578125" style="157"/>
    <col min="529" max="529" width="13.5703125" style="157" bestFit="1" customWidth="1"/>
    <col min="530" max="530" width="15.5703125" style="157" bestFit="1" customWidth="1"/>
    <col min="531" max="532" width="10.28515625" style="157" bestFit="1" customWidth="1"/>
    <col min="533" max="533" width="9.42578125" style="157" customWidth="1"/>
    <col min="534" max="768" width="11.42578125" style="157"/>
    <col min="769" max="769" width="21.5703125" style="157" customWidth="1"/>
    <col min="770" max="770" width="15.7109375" style="157" customWidth="1"/>
    <col min="771" max="771" width="14.28515625" style="157" customWidth="1"/>
    <col min="772" max="775" width="7.5703125" style="157" customWidth="1"/>
    <col min="776" max="776" width="15.42578125" style="157" customWidth="1"/>
    <col min="777" max="779" width="10.140625" style="157" customWidth="1"/>
    <col min="780" max="780" width="11.7109375" style="157" bestFit="1" customWidth="1"/>
    <col min="781" max="781" width="9" style="157" customWidth="1"/>
    <col min="782" max="782" width="8.5703125" style="157" customWidth="1"/>
    <col min="783" max="783" width="14.28515625" style="157" bestFit="1" customWidth="1"/>
    <col min="784" max="784" width="11.42578125" style="157"/>
    <col min="785" max="785" width="13.5703125" style="157" bestFit="1" customWidth="1"/>
    <col min="786" max="786" width="15.5703125" style="157" bestFit="1" customWidth="1"/>
    <col min="787" max="788" width="10.28515625" style="157" bestFit="1" customWidth="1"/>
    <col min="789" max="789" width="9.42578125" style="157" customWidth="1"/>
    <col min="790" max="1024" width="11.42578125" style="157"/>
    <col min="1025" max="1025" width="21.5703125" style="157" customWidth="1"/>
    <col min="1026" max="1026" width="15.7109375" style="157" customWidth="1"/>
    <col min="1027" max="1027" width="14.28515625" style="157" customWidth="1"/>
    <col min="1028" max="1031" width="7.5703125" style="157" customWidth="1"/>
    <col min="1032" max="1032" width="15.42578125" style="157" customWidth="1"/>
    <col min="1033" max="1035" width="10.140625" style="157" customWidth="1"/>
    <col min="1036" max="1036" width="11.7109375" style="157" bestFit="1" customWidth="1"/>
    <col min="1037" max="1037" width="9" style="157" customWidth="1"/>
    <col min="1038" max="1038" width="8.5703125" style="157" customWidth="1"/>
    <col min="1039" max="1039" width="14.28515625" style="157" bestFit="1" customWidth="1"/>
    <col min="1040" max="1040" width="11.42578125" style="157"/>
    <col min="1041" max="1041" width="13.5703125" style="157" bestFit="1" customWidth="1"/>
    <col min="1042" max="1042" width="15.5703125" style="157" bestFit="1" customWidth="1"/>
    <col min="1043" max="1044" width="10.28515625" style="157" bestFit="1" customWidth="1"/>
    <col min="1045" max="1045" width="9.42578125" style="157" customWidth="1"/>
    <col min="1046" max="1280" width="11.42578125" style="157"/>
    <col min="1281" max="1281" width="21.5703125" style="157" customWidth="1"/>
    <col min="1282" max="1282" width="15.7109375" style="157" customWidth="1"/>
    <col min="1283" max="1283" width="14.28515625" style="157" customWidth="1"/>
    <col min="1284" max="1287" width="7.5703125" style="157" customWidth="1"/>
    <col min="1288" max="1288" width="15.42578125" style="157" customWidth="1"/>
    <col min="1289" max="1291" width="10.140625" style="157" customWidth="1"/>
    <col min="1292" max="1292" width="11.7109375" style="157" bestFit="1" customWidth="1"/>
    <col min="1293" max="1293" width="9" style="157" customWidth="1"/>
    <col min="1294" max="1294" width="8.5703125" style="157" customWidth="1"/>
    <col min="1295" max="1295" width="14.28515625" style="157" bestFit="1" customWidth="1"/>
    <col min="1296" max="1296" width="11.42578125" style="157"/>
    <col min="1297" max="1297" width="13.5703125" style="157" bestFit="1" customWidth="1"/>
    <col min="1298" max="1298" width="15.5703125" style="157" bestFit="1" customWidth="1"/>
    <col min="1299" max="1300" width="10.28515625" style="157" bestFit="1" customWidth="1"/>
    <col min="1301" max="1301" width="9.42578125" style="157" customWidth="1"/>
    <col min="1302" max="1536" width="11.42578125" style="157"/>
    <col min="1537" max="1537" width="21.5703125" style="157" customWidth="1"/>
    <col min="1538" max="1538" width="15.7109375" style="157" customWidth="1"/>
    <col min="1539" max="1539" width="14.28515625" style="157" customWidth="1"/>
    <col min="1540" max="1543" width="7.5703125" style="157" customWidth="1"/>
    <col min="1544" max="1544" width="15.42578125" style="157" customWidth="1"/>
    <col min="1545" max="1547" width="10.140625" style="157" customWidth="1"/>
    <col min="1548" max="1548" width="11.7109375" style="157" bestFit="1" customWidth="1"/>
    <col min="1549" max="1549" width="9" style="157" customWidth="1"/>
    <col min="1550" max="1550" width="8.5703125" style="157" customWidth="1"/>
    <col min="1551" max="1551" width="14.28515625" style="157" bestFit="1" customWidth="1"/>
    <col min="1552" max="1552" width="11.42578125" style="157"/>
    <col min="1553" max="1553" width="13.5703125" style="157" bestFit="1" customWidth="1"/>
    <col min="1554" max="1554" width="15.5703125" style="157" bestFit="1" customWidth="1"/>
    <col min="1555" max="1556" width="10.28515625" style="157" bestFit="1" customWidth="1"/>
    <col min="1557" max="1557" width="9.42578125" style="157" customWidth="1"/>
    <col min="1558" max="1792" width="11.42578125" style="157"/>
    <col min="1793" max="1793" width="21.5703125" style="157" customWidth="1"/>
    <col min="1794" max="1794" width="15.7109375" style="157" customWidth="1"/>
    <col min="1795" max="1795" width="14.28515625" style="157" customWidth="1"/>
    <col min="1796" max="1799" width="7.5703125" style="157" customWidth="1"/>
    <col min="1800" max="1800" width="15.42578125" style="157" customWidth="1"/>
    <col min="1801" max="1803" width="10.140625" style="157" customWidth="1"/>
    <col min="1804" max="1804" width="11.7109375" style="157" bestFit="1" customWidth="1"/>
    <col min="1805" max="1805" width="9" style="157" customWidth="1"/>
    <col min="1806" max="1806" width="8.5703125" style="157" customWidth="1"/>
    <col min="1807" max="1807" width="14.28515625" style="157" bestFit="1" customWidth="1"/>
    <col min="1808" max="1808" width="11.42578125" style="157"/>
    <col min="1809" max="1809" width="13.5703125" style="157" bestFit="1" customWidth="1"/>
    <col min="1810" max="1810" width="15.5703125" style="157" bestFit="1" customWidth="1"/>
    <col min="1811" max="1812" width="10.28515625" style="157" bestFit="1" customWidth="1"/>
    <col min="1813" max="1813" width="9.42578125" style="157" customWidth="1"/>
    <col min="1814" max="2048" width="11.42578125" style="157"/>
    <col min="2049" max="2049" width="21.5703125" style="157" customWidth="1"/>
    <col min="2050" max="2050" width="15.7109375" style="157" customWidth="1"/>
    <col min="2051" max="2051" width="14.28515625" style="157" customWidth="1"/>
    <col min="2052" max="2055" width="7.5703125" style="157" customWidth="1"/>
    <col min="2056" max="2056" width="15.42578125" style="157" customWidth="1"/>
    <col min="2057" max="2059" width="10.140625" style="157" customWidth="1"/>
    <col min="2060" max="2060" width="11.7109375" style="157" bestFit="1" customWidth="1"/>
    <col min="2061" max="2061" width="9" style="157" customWidth="1"/>
    <col min="2062" max="2062" width="8.5703125" style="157" customWidth="1"/>
    <col min="2063" max="2063" width="14.28515625" style="157" bestFit="1" customWidth="1"/>
    <col min="2064" max="2064" width="11.42578125" style="157"/>
    <col min="2065" max="2065" width="13.5703125" style="157" bestFit="1" customWidth="1"/>
    <col min="2066" max="2066" width="15.5703125" style="157" bestFit="1" customWidth="1"/>
    <col min="2067" max="2068" width="10.28515625" style="157" bestFit="1" customWidth="1"/>
    <col min="2069" max="2069" width="9.42578125" style="157" customWidth="1"/>
    <col min="2070" max="2304" width="11.42578125" style="157"/>
    <col min="2305" max="2305" width="21.5703125" style="157" customWidth="1"/>
    <col min="2306" max="2306" width="15.7109375" style="157" customWidth="1"/>
    <col min="2307" max="2307" width="14.28515625" style="157" customWidth="1"/>
    <col min="2308" max="2311" width="7.5703125" style="157" customWidth="1"/>
    <col min="2312" max="2312" width="15.42578125" style="157" customWidth="1"/>
    <col min="2313" max="2315" width="10.140625" style="157" customWidth="1"/>
    <col min="2316" max="2316" width="11.7109375" style="157" bestFit="1" customWidth="1"/>
    <col min="2317" max="2317" width="9" style="157" customWidth="1"/>
    <col min="2318" max="2318" width="8.5703125" style="157" customWidth="1"/>
    <col min="2319" max="2319" width="14.28515625" style="157" bestFit="1" customWidth="1"/>
    <col min="2320" max="2320" width="11.42578125" style="157"/>
    <col min="2321" max="2321" width="13.5703125" style="157" bestFit="1" customWidth="1"/>
    <col min="2322" max="2322" width="15.5703125" style="157" bestFit="1" customWidth="1"/>
    <col min="2323" max="2324" width="10.28515625" style="157" bestFit="1" customWidth="1"/>
    <col min="2325" max="2325" width="9.42578125" style="157" customWidth="1"/>
    <col min="2326" max="2560" width="11.42578125" style="157"/>
    <col min="2561" max="2561" width="21.5703125" style="157" customWidth="1"/>
    <col min="2562" max="2562" width="15.7109375" style="157" customWidth="1"/>
    <col min="2563" max="2563" width="14.28515625" style="157" customWidth="1"/>
    <col min="2564" max="2567" width="7.5703125" style="157" customWidth="1"/>
    <col min="2568" max="2568" width="15.42578125" style="157" customWidth="1"/>
    <col min="2569" max="2571" width="10.140625" style="157" customWidth="1"/>
    <col min="2572" max="2572" width="11.7109375" style="157" bestFit="1" customWidth="1"/>
    <col min="2573" max="2573" width="9" style="157" customWidth="1"/>
    <col min="2574" max="2574" width="8.5703125" style="157" customWidth="1"/>
    <col min="2575" max="2575" width="14.28515625" style="157" bestFit="1" customWidth="1"/>
    <col min="2576" max="2576" width="11.42578125" style="157"/>
    <col min="2577" max="2577" width="13.5703125" style="157" bestFit="1" customWidth="1"/>
    <col min="2578" max="2578" width="15.5703125" style="157" bestFit="1" customWidth="1"/>
    <col min="2579" max="2580" width="10.28515625" style="157" bestFit="1" customWidth="1"/>
    <col min="2581" max="2581" width="9.42578125" style="157" customWidth="1"/>
    <col min="2582" max="2816" width="11.42578125" style="157"/>
    <col min="2817" max="2817" width="21.5703125" style="157" customWidth="1"/>
    <col min="2818" max="2818" width="15.7109375" style="157" customWidth="1"/>
    <col min="2819" max="2819" width="14.28515625" style="157" customWidth="1"/>
    <col min="2820" max="2823" width="7.5703125" style="157" customWidth="1"/>
    <col min="2824" max="2824" width="15.42578125" style="157" customWidth="1"/>
    <col min="2825" max="2827" width="10.140625" style="157" customWidth="1"/>
    <col min="2828" max="2828" width="11.7109375" style="157" bestFit="1" customWidth="1"/>
    <col min="2829" max="2829" width="9" style="157" customWidth="1"/>
    <col min="2830" max="2830" width="8.5703125" style="157" customWidth="1"/>
    <col min="2831" max="2831" width="14.28515625" style="157" bestFit="1" customWidth="1"/>
    <col min="2832" max="2832" width="11.42578125" style="157"/>
    <col min="2833" max="2833" width="13.5703125" style="157" bestFit="1" customWidth="1"/>
    <col min="2834" max="2834" width="15.5703125" style="157" bestFit="1" customWidth="1"/>
    <col min="2835" max="2836" width="10.28515625" style="157" bestFit="1" customWidth="1"/>
    <col min="2837" max="2837" width="9.42578125" style="157" customWidth="1"/>
    <col min="2838" max="3072" width="11.42578125" style="157"/>
    <col min="3073" max="3073" width="21.5703125" style="157" customWidth="1"/>
    <col min="3074" max="3074" width="15.7109375" style="157" customWidth="1"/>
    <col min="3075" max="3075" width="14.28515625" style="157" customWidth="1"/>
    <col min="3076" max="3079" width="7.5703125" style="157" customWidth="1"/>
    <col min="3080" max="3080" width="15.42578125" style="157" customWidth="1"/>
    <col min="3081" max="3083" width="10.140625" style="157" customWidth="1"/>
    <col min="3084" max="3084" width="11.7109375" style="157" bestFit="1" customWidth="1"/>
    <col min="3085" max="3085" width="9" style="157" customWidth="1"/>
    <col min="3086" max="3086" width="8.5703125" style="157" customWidth="1"/>
    <col min="3087" max="3087" width="14.28515625" style="157" bestFit="1" customWidth="1"/>
    <col min="3088" max="3088" width="11.42578125" style="157"/>
    <col min="3089" max="3089" width="13.5703125" style="157" bestFit="1" customWidth="1"/>
    <col min="3090" max="3090" width="15.5703125" style="157" bestFit="1" customWidth="1"/>
    <col min="3091" max="3092" width="10.28515625" style="157" bestFit="1" customWidth="1"/>
    <col min="3093" max="3093" width="9.42578125" style="157" customWidth="1"/>
    <col min="3094" max="3328" width="11.42578125" style="157"/>
    <col min="3329" max="3329" width="21.5703125" style="157" customWidth="1"/>
    <col min="3330" max="3330" width="15.7109375" style="157" customWidth="1"/>
    <col min="3331" max="3331" width="14.28515625" style="157" customWidth="1"/>
    <col min="3332" max="3335" width="7.5703125" style="157" customWidth="1"/>
    <col min="3336" max="3336" width="15.42578125" style="157" customWidth="1"/>
    <col min="3337" max="3339" width="10.140625" style="157" customWidth="1"/>
    <col min="3340" max="3340" width="11.7109375" style="157" bestFit="1" customWidth="1"/>
    <col min="3341" max="3341" width="9" style="157" customWidth="1"/>
    <col min="3342" max="3342" width="8.5703125" style="157" customWidth="1"/>
    <col min="3343" max="3343" width="14.28515625" style="157" bestFit="1" customWidth="1"/>
    <col min="3344" max="3344" width="11.42578125" style="157"/>
    <col min="3345" max="3345" width="13.5703125" style="157" bestFit="1" customWidth="1"/>
    <col min="3346" max="3346" width="15.5703125" style="157" bestFit="1" customWidth="1"/>
    <col min="3347" max="3348" width="10.28515625" style="157" bestFit="1" customWidth="1"/>
    <col min="3349" max="3349" width="9.42578125" style="157" customWidth="1"/>
    <col min="3350" max="3584" width="11.42578125" style="157"/>
    <col min="3585" max="3585" width="21.5703125" style="157" customWidth="1"/>
    <col min="3586" max="3586" width="15.7109375" style="157" customWidth="1"/>
    <col min="3587" max="3587" width="14.28515625" style="157" customWidth="1"/>
    <col min="3588" max="3591" width="7.5703125" style="157" customWidth="1"/>
    <col min="3592" max="3592" width="15.42578125" style="157" customWidth="1"/>
    <col min="3593" max="3595" width="10.140625" style="157" customWidth="1"/>
    <col min="3596" max="3596" width="11.7109375" style="157" bestFit="1" customWidth="1"/>
    <col min="3597" max="3597" width="9" style="157" customWidth="1"/>
    <col min="3598" max="3598" width="8.5703125" style="157" customWidth="1"/>
    <col min="3599" max="3599" width="14.28515625" style="157" bestFit="1" customWidth="1"/>
    <col min="3600" max="3600" width="11.42578125" style="157"/>
    <col min="3601" max="3601" width="13.5703125" style="157" bestFit="1" customWidth="1"/>
    <col min="3602" max="3602" width="15.5703125" style="157" bestFit="1" customWidth="1"/>
    <col min="3603" max="3604" width="10.28515625" style="157" bestFit="1" customWidth="1"/>
    <col min="3605" max="3605" width="9.42578125" style="157" customWidth="1"/>
    <col min="3606" max="3840" width="11.42578125" style="157"/>
    <col min="3841" max="3841" width="21.5703125" style="157" customWidth="1"/>
    <col min="3842" max="3842" width="15.7109375" style="157" customWidth="1"/>
    <col min="3843" max="3843" width="14.28515625" style="157" customWidth="1"/>
    <col min="3844" max="3847" width="7.5703125" style="157" customWidth="1"/>
    <col min="3848" max="3848" width="15.42578125" style="157" customWidth="1"/>
    <col min="3849" max="3851" width="10.140625" style="157" customWidth="1"/>
    <col min="3852" max="3852" width="11.7109375" style="157" bestFit="1" customWidth="1"/>
    <col min="3853" max="3853" width="9" style="157" customWidth="1"/>
    <col min="3854" max="3854" width="8.5703125" style="157" customWidth="1"/>
    <col min="3855" max="3855" width="14.28515625" style="157" bestFit="1" customWidth="1"/>
    <col min="3856" max="3856" width="11.42578125" style="157"/>
    <col min="3857" max="3857" width="13.5703125" style="157" bestFit="1" customWidth="1"/>
    <col min="3858" max="3858" width="15.5703125" style="157" bestFit="1" customWidth="1"/>
    <col min="3859" max="3860" width="10.28515625" style="157" bestFit="1" customWidth="1"/>
    <col min="3861" max="3861" width="9.42578125" style="157" customWidth="1"/>
    <col min="3862" max="4096" width="11.42578125" style="157"/>
    <col min="4097" max="4097" width="21.5703125" style="157" customWidth="1"/>
    <col min="4098" max="4098" width="15.7109375" style="157" customWidth="1"/>
    <col min="4099" max="4099" width="14.28515625" style="157" customWidth="1"/>
    <col min="4100" max="4103" width="7.5703125" style="157" customWidth="1"/>
    <col min="4104" max="4104" width="15.42578125" style="157" customWidth="1"/>
    <col min="4105" max="4107" width="10.140625" style="157" customWidth="1"/>
    <col min="4108" max="4108" width="11.7109375" style="157" bestFit="1" customWidth="1"/>
    <col min="4109" max="4109" width="9" style="157" customWidth="1"/>
    <col min="4110" max="4110" width="8.5703125" style="157" customWidth="1"/>
    <col min="4111" max="4111" width="14.28515625" style="157" bestFit="1" customWidth="1"/>
    <col min="4112" max="4112" width="11.42578125" style="157"/>
    <col min="4113" max="4113" width="13.5703125" style="157" bestFit="1" customWidth="1"/>
    <col min="4114" max="4114" width="15.5703125" style="157" bestFit="1" customWidth="1"/>
    <col min="4115" max="4116" width="10.28515625" style="157" bestFit="1" customWidth="1"/>
    <col min="4117" max="4117" width="9.42578125" style="157" customWidth="1"/>
    <col min="4118" max="4352" width="11.42578125" style="157"/>
    <col min="4353" max="4353" width="21.5703125" style="157" customWidth="1"/>
    <col min="4354" max="4354" width="15.7109375" style="157" customWidth="1"/>
    <col min="4355" max="4355" width="14.28515625" style="157" customWidth="1"/>
    <col min="4356" max="4359" width="7.5703125" style="157" customWidth="1"/>
    <col min="4360" max="4360" width="15.42578125" style="157" customWidth="1"/>
    <col min="4361" max="4363" width="10.140625" style="157" customWidth="1"/>
    <col min="4364" max="4364" width="11.7109375" style="157" bestFit="1" customWidth="1"/>
    <col min="4365" max="4365" width="9" style="157" customWidth="1"/>
    <col min="4366" max="4366" width="8.5703125" style="157" customWidth="1"/>
    <col min="4367" max="4367" width="14.28515625" style="157" bestFit="1" customWidth="1"/>
    <col min="4368" max="4368" width="11.42578125" style="157"/>
    <col min="4369" max="4369" width="13.5703125" style="157" bestFit="1" customWidth="1"/>
    <col min="4370" max="4370" width="15.5703125" style="157" bestFit="1" customWidth="1"/>
    <col min="4371" max="4372" width="10.28515625" style="157" bestFit="1" customWidth="1"/>
    <col min="4373" max="4373" width="9.42578125" style="157" customWidth="1"/>
    <col min="4374" max="4608" width="11.42578125" style="157"/>
    <col min="4609" max="4609" width="21.5703125" style="157" customWidth="1"/>
    <col min="4610" max="4610" width="15.7109375" style="157" customWidth="1"/>
    <col min="4611" max="4611" width="14.28515625" style="157" customWidth="1"/>
    <col min="4612" max="4615" width="7.5703125" style="157" customWidth="1"/>
    <col min="4616" max="4616" width="15.42578125" style="157" customWidth="1"/>
    <col min="4617" max="4619" width="10.140625" style="157" customWidth="1"/>
    <col min="4620" max="4620" width="11.7109375" style="157" bestFit="1" customWidth="1"/>
    <col min="4621" max="4621" width="9" style="157" customWidth="1"/>
    <col min="4622" max="4622" width="8.5703125" style="157" customWidth="1"/>
    <col min="4623" max="4623" width="14.28515625" style="157" bestFit="1" customWidth="1"/>
    <col min="4624" max="4624" width="11.42578125" style="157"/>
    <col min="4625" max="4625" width="13.5703125" style="157" bestFit="1" customWidth="1"/>
    <col min="4626" max="4626" width="15.5703125" style="157" bestFit="1" customWidth="1"/>
    <col min="4627" max="4628" width="10.28515625" style="157" bestFit="1" customWidth="1"/>
    <col min="4629" max="4629" width="9.42578125" style="157" customWidth="1"/>
    <col min="4630" max="4864" width="11.42578125" style="157"/>
    <col min="4865" max="4865" width="21.5703125" style="157" customWidth="1"/>
    <col min="4866" max="4866" width="15.7109375" style="157" customWidth="1"/>
    <col min="4867" max="4867" width="14.28515625" style="157" customWidth="1"/>
    <col min="4868" max="4871" width="7.5703125" style="157" customWidth="1"/>
    <col min="4872" max="4872" width="15.42578125" style="157" customWidth="1"/>
    <col min="4873" max="4875" width="10.140625" style="157" customWidth="1"/>
    <col min="4876" max="4876" width="11.7109375" style="157" bestFit="1" customWidth="1"/>
    <col min="4877" max="4877" width="9" style="157" customWidth="1"/>
    <col min="4878" max="4878" width="8.5703125" style="157" customWidth="1"/>
    <col min="4879" max="4879" width="14.28515625" style="157" bestFit="1" customWidth="1"/>
    <col min="4880" max="4880" width="11.42578125" style="157"/>
    <col min="4881" max="4881" width="13.5703125" style="157" bestFit="1" customWidth="1"/>
    <col min="4882" max="4882" width="15.5703125" style="157" bestFit="1" customWidth="1"/>
    <col min="4883" max="4884" width="10.28515625" style="157" bestFit="1" customWidth="1"/>
    <col min="4885" max="4885" width="9.42578125" style="157" customWidth="1"/>
    <col min="4886" max="5120" width="11.42578125" style="157"/>
    <col min="5121" max="5121" width="21.5703125" style="157" customWidth="1"/>
    <col min="5122" max="5122" width="15.7109375" style="157" customWidth="1"/>
    <col min="5123" max="5123" width="14.28515625" style="157" customWidth="1"/>
    <col min="5124" max="5127" width="7.5703125" style="157" customWidth="1"/>
    <col min="5128" max="5128" width="15.42578125" style="157" customWidth="1"/>
    <col min="5129" max="5131" width="10.140625" style="157" customWidth="1"/>
    <col min="5132" max="5132" width="11.7109375" style="157" bestFit="1" customWidth="1"/>
    <col min="5133" max="5133" width="9" style="157" customWidth="1"/>
    <col min="5134" max="5134" width="8.5703125" style="157" customWidth="1"/>
    <col min="5135" max="5135" width="14.28515625" style="157" bestFit="1" customWidth="1"/>
    <col min="5136" max="5136" width="11.42578125" style="157"/>
    <col min="5137" max="5137" width="13.5703125" style="157" bestFit="1" customWidth="1"/>
    <col min="5138" max="5138" width="15.5703125" style="157" bestFit="1" customWidth="1"/>
    <col min="5139" max="5140" width="10.28515625" style="157" bestFit="1" customWidth="1"/>
    <col min="5141" max="5141" width="9.42578125" style="157" customWidth="1"/>
    <col min="5142" max="5376" width="11.42578125" style="157"/>
    <col min="5377" max="5377" width="21.5703125" style="157" customWidth="1"/>
    <col min="5378" max="5378" width="15.7109375" style="157" customWidth="1"/>
    <col min="5379" max="5379" width="14.28515625" style="157" customWidth="1"/>
    <col min="5380" max="5383" width="7.5703125" style="157" customWidth="1"/>
    <col min="5384" max="5384" width="15.42578125" style="157" customWidth="1"/>
    <col min="5385" max="5387" width="10.140625" style="157" customWidth="1"/>
    <col min="5388" max="5388" width="11.7109375" style="157" bestFit="1" customWidth="1"/>
    <col min="5389" max="5389" width="9" style="157" customWidth="1"/>
    <col min="5390" max="5390" width="8.5703125" style="157" customWidth="1"/>
    <col min="5391" max="5391" width="14.28515625" style="157" bestFit="1" customWidth="1"/>
    <col min="5392" max="5392" width="11.42578125" style="157"/>
    <col min="5393" max="5393" width="13.5703125" style="157" bestFit="1" customWidth="1"/>
    <col min="5394" max="5394" width="15.5703125" style="157" bestFit="1" customWidth="1"/>
    <col min="5395" max="5396" width="10.28515625" style="157" bestFit="1" customWidth="1"/>
    <col min="5397" max="5397" width="9.42578125" style="157" customWidth="1"/>
    <col min="5398" max="5632" width="11.42578125" style="157"/>
    <col min="5633" max="5633" width="21.5703125" style="157" customWidth="1"/>
    <col min="5634" max="5634" width="15.7109375" style="157" customWidth="1"/>
    <col min="5635" max="5635" width="14.28515625" style="157" customWidth="1"/>
    <col min="5636" max="5639" width="7.5703125" style="157" customWidth="1"/>
    <col min="5640" max="5640" width="15.42578125" style="157" customWidth="1"/>
    <col min="5641" max="5643" width="10.140625" style="157" customWidth="1"/>
    <col min="5644" max="5644" width="11.7109375" style="157" bestFit="1" customWidth="1"/>
    <col min="5645" max="5645" width="9" style="157" customWidth="1"/>
    <col min="5646" max="5646" width="8.5703125" style="157" customWidth="1"/>
    <col min="5647" max="5647" width="14.28515625" style="157" bestFit="1" customWidth="1"/>
    <col min="5648" max="5648" width="11.42578125" style="157"/>
    <col min="5649" max="5649" width="13.5703125" style="157" bestFit="1" customWidth="1"/>
    <col min="5650" max="5650" width="15.5703125" style="157" bestFit="1" customWidth="1"/>
    <col min="5651" max="5652" width="10.28515625" style="157" bestFit="1" customWidth="1"/>
    <col min="5653" max="5653" width="9.42578125" style="157" customWidth="1"/>
    <col min="5654" max="5888" width="11.42578125" style="157"/>
    <col min="5889" max="5889" width="21.5703125" style="157" customWidth="1"/>
    <col min="5890" max="5890" width="15.7109375" style="157" customWidth="1"/>
    <col min="5891" max="5891" width="14.28515625" style="157" customWidth="1"/>
    <col min="5892" max="5895" width="7.5703125" style="157" customWidth="1"/>
    <col min="5896" max="5896" width="15.42578125" style="157" customWidth="1"/>
    <col min="5897" max="5899" width="10.140625" style="157" customWidth="1"/>
    <col min="5900" max="5900" width="11.7109375" style="157" bestFit="1" customWidth="1"/>
    <col min="5901" max="5901" width="9" style="157" customWidth="1"/>
    <col min="5902" max="5902" width="8.5703125" style="157" customWidth="1"/>
    <col min="5903" max="5903" width="14.28515625" style="157" bestFit="1" customWidth="1"/>
    <col min="5904" max="5904" width="11.42578125" style="157"/>
    <col min="5905" max="5905" width="13.5703125" style="157" bestFit="1" customWidth="1"/>
    <col min="5906" max="5906" width="15.5703125" style="157" bestFit="1" customWidth="1"/>
    <col min="5907" max="5908" width="10.28515625" style="157" bestFit="1" customWidth="1"/>
    <col min="5909" max="5909" width="9.42578125" style="157" customWidth="1"/>
    <col min="5910" max="6144" width="11.42578125" style="157"/>
    <col min="6145" max="6145" width="21.5703125" style="157" customWidth="1"/>
    <col min="6146" max="6146" width="15.7109375" style="157" customWidth="1"/>
    <col min="6147" max="6147" width="14.28515625" style="157" customWidth="1"/>
    <col min="6148" max="6151" width="7.5703125" style="157" customWidth="1"/>
    <col min="6152" max="6152" width="15.42578125" style="157" customWidth="1"/>
    <col min="6153" max="6155" width="10.140625" style="157" customWidth="1"/>
    <col min="6156" max="6156" width="11.7109375" style="157" bestFit="1" customWidth="1"/>
    <col min="6157" max="6157" width="9" style="157" customWidth="1"/>
    <col min="6158" max="6158" width="8.5703125" style="157" customWidth="1"/>
    <col min="6159" max="6159" width="14.28515625" style="157" bestFit="1" customWidth="1"/>
    <col min="6160" max="6160" width="11.42578125" style="157"/>
    <col min="6161" max="6161" width="13.5703125" style="157" bestFit="1" customWidth="1"/>
    <col min="6162" max="6162" width="15.5703125" style="157" bestFit="1" customWidth="1"/>
    <col min="6163" max="6164" width="10.28515625" style="157" bestFit="1" customWidth="1"/>
    <col min="6165" max="6165" width="9.42578125" style="157" customWidth="1"/>
    <col min="6166" max="6400" width="11.42578125" style="157"/>
    <col min="6401" max="6401" width="21.5703125" style="157" customWidth="1"/>
    <col min="6402" max="6402" width="15.7109375" style="157" customWidth="1"/>
    <col min="6403" max="6403" width="14.28515625" style="157" customWidth="1"/>
    <col min="6404" max="6407" width="7.5703125" style="157" customWidth="1"/>
    <col min="6408" max="6408" width="15.42578125" style="157" customWidth="1"/>
    <col min="6409" max="6411" width="10.140625" style="157" customWidth="1"/>
    <col min="6412" max="6412" width="11.7109375" style="157" bestFit="1" customWidth="1"/>
    <col min="6413" max="6413" width="9" style="157" customWidth="1"/>
    <col min="6414" max="6414" width="8.5703125" style="157" customWidth="1"/>
    <col min="6415" max="6415" width="14.28515625" style="157" bestFit="1" customWidth="1"/>
    <col min="6416" max="6416" width="11.42578125" style="157"/>
    <col min="6417" max="6417" width="13.5703125" style="157" bestFit="1" customWidth="1"/>
    <col min="6418" max="6418" width="15.5703125" style="157" bestFit="1" customWidth="1"/>
    <col min="6419" max="6420" width="10.28515625" style="157" bestFit="1" customWidth="1"/>
    <col min="6421" max="6421" width="9.42578125" style="157" customWidth="1"/>
    <col min="6422" max="6656" width="11.42578125" style="157"/>
    <col min="6657" max="6657" width="21.5703125" style="157" customWidth="1"/>
    <col min="6658" max="6658" width="15.7109375" style="157" customWidth="1"/>
    <col min="6659" max="6659" width="14.28515625" style="157" customWidth="1"/>
    <col min="6660" max="6663" width="7.5703125" style="157" customWidth="1"/>
    <col min="6664" max="6664" width="15.42578125" style="157" customWidth="1"/>
    <col min="6665" max="6667" width="10.140625" style="157" customWidth="1"/>
    <col min="6668" max="6668" width="11.7109375" style="157" bestFit="1" customWidth="1"/>
    <col min="6669" max="6669" width="9" style="157" customWidth="1"/>
    <col min="6670" max="6670" width="8.5703125" style="157" customWidth="1"/>
    <col min="6671" max="6671" width="14.28515625" style="157" bestFit="1" customWidth="1"/>
    <col min="6672" max="6672" width="11.42578125" style="157"/>
    <col min="6673" max="6673" width="13.5703125" style="157" bestFit="1" customWidth="1"/>
    <col min="6674" max="6674" width="15.5703125" style="157" bestFit="1" customWidth="1"/>
    <col min="6675" max="6676" width="10.28515625" style="157" bestFit="1" customWidth="1"/>
    <col min="6677" max="6677" width="9.42578125" style="157" customWidth="1"/>
    <col min="6678" max="6912" width="11.42578125" style="157"/>
    <col min="6913" max="6913" width="21.5703125" style="157" customWidth="1"/>
    <col min="6914" max="6914" width="15.7109375" style="157" customWidth="1"/>
    <col min="6915" max="6915" width="14.28515625" style="157" customWidth="1"/>
    <col min="6916" max="6919" width="7.5703125" style="157" customWidth="1"/>
    <col min="6920" max="6920" width="15.42578125" style="157" customWidth="1"/>
    <col min="6921" max="6923" width="10.140625" style="157" customWidth="1"/>
    <col min="6924" max="6924" width="11.7109375" style="157" bestFit="1" customWidth="1"/>
    <col min="6925" max="6925" width="9" style="157" customWidth="1"/>
    <col min="6926" max="6926" width="8.5703125" style="157" customWidth="1"/>
    <col min="6927" max="6927" width="14.28515625" style="157" bestFit="1" customWidth="1"/>
    <col min="6928" max="6928" width="11.42578125" style="157"/>
    <col min="6929" max="6929" width="13.5703125" style="157" bestFit="1" customWidth="1"/>
    <col min="6930" max="6930" width="15.5703125" style="157" bestFit="1" customWidth="1"/>
    <col min="6931" max="6932" width="10.28515625" style="157" bestFit="1" customWidth="1"/>
    <col min="6933" max="6933" width="9.42578125" style="157" customWidth="1"/>
    <col min="6934" max="7168" width="11.42578125" style="157"/>
    <col min="7169" max="7169" width="21.5703125" style="157" customWidth="1"/>
    <col min="7170" max="7170" width="15.7109375" style="157" customWidth="1"/>
    <col min="7171" max="7171" width="14.28515625" style="157" customWidth="1"/>
    <col min="7172" max="7175" width="7.5703125" style="157" customWidth="1"/>
    <col min="7176" max="7176" width="15.42578125" style="157" customWidth="1"/>
    <col min="7177" max="7179" width="10.140625" style="157" customWidth="1"/>
    <col min="7180" max="7180" width="11.7109375" style="157" bestFit="1" customWidth="1"/>
    <col min="7181" max="7181" width="9" style="157" customWidth="1"/>
    <col min="7182" max="7182" width="8.5703125" style="157" customWidth="1"/>
    <col min="7183" max="7183" width="14.28515625" style="157" bestFit="1" customWidth="1"/>
    <col min="7184" max="7184" width="11.42578125" style="157"/>
    <col min="7185" max="7185" width="13.5703125" style="157" bestFit="1" customWidth="1"/>
    <col min="7186" max="7186" width="15.5703125" style="157" bestFit="1" customWidth="1"/>
    <col min="7187" max="7188" width="10.28515625" style="157" bestFit="1" customWidth="1"/>
    <col min="7189" max="7189" width="9.42578125" style="157" customWidth="1"/>
    <col min="7190" max="7424" width="11.42578125" style="157"/>
    <col min="7425" max="7425" width="21.5703125" style="157" customWidth="1"/>
    <col min="7426" max="7426" width="15.7109375" style="157" customWidth="1"/>
    <col min="7427" max="7427" width="14.28515625" style="157" customWidth="1"/>
    <col min="7428" max="7431" width="7.5703125" style="157" customWidth="1"/>
    <col min="7432" max="7432" width="15.42578125" style="157" customWidth="1"/>
    <col min="7433" max="7435" width="10.140625" style="157" customWidth="1"/>
    <col min="7436" max="7436" width="11.7109375" style="157" bestFit="1" customWidth="1"/>
    <col min="7437" max="7437" width="9" style="157" customWidth="1"/>
    <col min="7438" max="7438" width="8.5703125" style="157" customWidth="1"/>
    <col min="7439" max="7439" width="14.28515625" style="157" bestFit="1" customWidth="1"/>
    <col min="7440" max="7440" width="11.42578125" style="157"/>
    <col min="7441" max="7441" width="13.5703125" style="157" bestFit="1" customWidth="1"/>
    <col min="7442" max="7442" width="15.5703125" style="157" bestFit="1" customWidth="1"/>
    <col min="7443" max="7444" width="10.28515625" style="157" bestFit="1" customWidth="1"/>
    <col min="7445" max="7445" width="9.42578125" style="157" customWidth="1"/>
    <col min="7446" max="7680" width="11.42578125" style="157"/>
    <col min="7681" max="7681" width="21.5703125" style="157" customWidth="1"/>
    <col min="7682" max="7682" width="15.7109375" style="157" customWidth="1"/>
    <col min="7683" max="7683" width="14.28515625" style="157" customWidth="1"/>
    <col min="7684" max="7687" width="7.5703125" style="157" customWidth="1"/>
    <col min="7688" max="7688" width="15.42578125" style="157" customWidth="1"/>
    <col min="7689" max="7691" width="10.140625" style="157" customWidth="1"/>
    <col min="7692" max="7692" width="11.7109375" style="157" bestFit="1" customWidth="1"/>
    <col min="7693" max="7693" width="9" style="157" customWidth="1"/>
    <col min="7694" max="7694" width="8.5703125" style="157" customWidth="1"/>
    <col min="7695" max="7695" width="14.28515625" style="157" bestFit="1" customWidth="1"/>
    <col min="7696" max="7696" width="11.42578125" style="157"/>
    <col min="7697" max="7697" width="13.5703125" style="157" bestFit="1" customWidth="1"/>
    <col min="7698" max="7698" width="15.5703125" style="157" bestFit="1" customWidth="1"/>
    <col min="7699" max="7700" width="10.28515625" style="157" bestFit="1" customWidth="1"/>
    <col min="7701" max="7701" width="9.42578125" style="157" customWidth="1"/>
    <col min="7702" max="7936" width="11.42578125" style="157"/>
    <col min="7937" max="7937" width="21.5703125" style="157" customWidth="1"/>
    <col min="7938" max="7938" width="15.7109375" style="157" customWidth="1"/>
    <col min="7939" max="7939" width="14.28515625" style="157" customWidth="1"/>
    <col min="7940" max="7943" width="7.5703125" style="157" customWidth="1"/>
    <col min="7944" max="7944" width="15.42578125" style="157" customWidth="1"/>
    <col min="7945" max="7947" width="10.140625" style="157" customWidth="1"/>
    <col min="7948" max="7948" width="11.7109375" style="157" bestFit="1" customWidth="1"/>
    <col min="7949" max="7949" width="9" style="157" customWidth="1"/>
    <col min="7950" max="7950" width="8.5703125" style="157" customWidth="1"/>
    <col min="7951" max="7951" width="14.28515625" style="157" bestFit="1" customWidth="1"/>
    <col min="7952" max="7952" width="11.42578125" style="157"/>
    <col min="7953" max="7953" width="13.5703125" style="157" bestFit="1" customWidth="1"/>
    <col min="7954" max="7954" width="15.5703125" style="157" bestFit="1" customWidth="1"/>
    <col min="7955" max="7956" width="10.28515625" style="157" bestFit="1" customWidth="1"/>
    <col min="7957" max="7957" width="9.42578125" style="157" customWidth="1"/>
    <col min="7958" max="8192" width="11.42578125" style="157"/>
    <col min="8193" max="8193" width="21.5703125" style="157" customWidth="1"/>
    <col min="8194" max="8194" width="15.7109375" style="157" customWidth="1"/>
    <col min="8195" max="8195" width="14.28515625" style="157" customWidth="1"/>
    <col min="8196" max="8199" width="7.5703125" style="157" customWidth="1"/>
    <col min="8200" max="8200" width="15.42578125" style="157" customWidth="1"/>
    <col min="8201" max="8203" width="10.140625" style="157" customWidth="1"/>
    <col min="8204" max="8204" width="11.7109375" style="157" bestFit="1" customWidth="1"/>
    <col min="8205" max="8205" width="9" style="157" customWidth="1"/>
    <col min="8206" max="8206" width="8.5703125" style="157" customWidth="1"/>
    <col min="8207" max="8207" width="14.28515625" style="157" bestFit="1" customWidth="1"/>
    <col min="8208" max="8208" width="11.42578125" style="157"/>
    <col min="8209" max="8209" width="13.5703125" style="157" bestFit="1" customWidth="1"/>
    <col min="8210" max="8210" width="15.5703125" style="157" bestFit="1" customWidth="1"/>
    <col min="8211" max="8212" width="10.28515625" style="157" bestFit="1" customWidth="1"/>
    <col min="8213" max="8213" width="9.42578125" style="157" customWidth="1"/>
    <col min="8214" max="8448" width="11.42578125" style="157"/>
    <col min="8449" max="8449" width="21.5703125" style="157" customWidth="1"/>
    <col min="8450" max="8450" width="15.7109375" style="157" customWidth="1"/>
    <col min="8451" max="8451" width="14.28515625" style="157" customWidth="1"/>
    <col min="8452" max="8455" width="7.5703125" style="157" customWidth="1"/>
    <col min="8456" max="8456" width="15.42578125" style="157" customWidth="1"/>
    <col min="8457" max="8459" width="10.140625" style="157" customWidth="1"/>
    <col min="8460" max="8460" width="11.7109375" style="157" bestFit="1" customWidth="1"/>
    <col min="8461" max="8461" width="9" style="157" customWidth="1"/>
    <col min="8462" max="8462" width="8.5703125" style="157" customWidth="1"/>
    <col min="8463" max="8463" width="14.28515625" style="157" bestFit="1" customWidth="1"/>
    <col min="8464" max="8464" width="11.42578125" style="157"/>
    <col min="8465" max="8465" width="13.5703125" style="157" bestFit="1" customWidth="1"/>
    <col min="8466" max="8466" width="15.5703125" style="157" bestFit="1" customWidth="1"/>
    <col min="8467" max="8468" width="10.28515625" style="157" bestFit="1" customWidth="1"/>
    <col min="8469" max="8469" width="9.42578125" style="157" customWidth="1"/>
    <col min="8470" max="8704" width="11.42578125" style="157"/>
    <col min="8705" max="8705" width="21.5703125" style="157" customWidth="1"/>
    <col min="8706" max="8706" width="15.7109375" style="157" customWidth="1"/>
    <col min="8707" max="8707" width="14.28515625" style="157" customWidth="1"/>
    <col min="8708" max="8711" width="7.5703125" style="157" customWidth="1"/>
    <col min="8712" max="8712" width="15.42578125" style="157" customWidth="1"/>
    <col min="8713" max="8715" width="10.140625" style="157" customWidth="1"/>
    <col min="8716" max="8716" width="11.7109375" style="157" bestFit="1" customWidth="1"/>
    <col min="8717" max="8717" width="9" style="157" customWidth="1"/>
    <col min="8718" max="8718" width="8.5703125" style="157" customWidth="1"/>
    <col min="8719" max="8719" width="14.28515625" style="157" bestFit="1" customWidth="1"/>
    <col min="8720" max="8720" width="11.42578125" style="157"/>
    <col min="8721" max="8721" width="13.5703125" style="157" bestFit="1" customWidth="1"/>
    <col min="8722" max="8722" width="15.5703125" style="157" bestFit="1" customWidth="1"/>
    <col min="8723" max="8724" width="10.28515625" style="157" bestFit="1" customWidth="1"/>
    <col min="8725" max="8725" width="9.42578125" style="157" customWidth="1"/>
    <col min="8726" max="8960" width="11.42578125" style="157"/>
    <col min="8961" max="8961" width="21.5703125" style="157" customWidth="1"/>
    <col min="8962" max="8962" width="15.7109375" style="157" customWidth="1"/>
    <col min="8963" max="8963" width="14.28515625" style="157" customWidth="1"/>
    <col min="8964" max="8967" width="7.5703125" style="157" customWidth="1"/>
    <col min="8968" max="8968" width="15.42578125" style="157" customWidth="1"/>
    <col min="8969" max="8971" width="10.140625" style="157" customWidth="1"/>
    <col min="8972" max="8972" width="11.7109375" style="157" bestFit="1" customWidth="1"/>
    <col min="8973" max="8973" width="9" style="157" customWidth="1"/>
    <col min="8974" max="8974" width="8.5703125" style="157" customWidth="1"/>
    <col min="8975" max="8975" width="14.28515625" style="157" bestFit="1" customWidth="1"/>
    <col min="8976" max="8976" width="11.42578125" style="157"/>
    <col min="8977" max="8977" width="13.5703125" style="157" bestFit="1" customWidth="1"/>
    <col min="8978" max="8978" width="15.5703125" style="157" bestFit="1" customWidth="1"/>
    <col min="8979" max="8980" width="10.28515625" style="157" bestFit="1" customWidth="1"/>
    <col min="8981" max="8981" width="9.42578125" style="157" customWidth="1"/>
    <col min="8982" max="9216" width="11.42578125" style="157"/>
    <col min="9217" max="9217" width="21.5703125" style="157" customWidth="1"/>
    <col min="9218" max="9218" width="15.7109375" style="157" customWidth="1"/>
    <col min="9219" max="9219" width="14.28515625" style="157" customWidth="1"/>
    <col min="9220" max="9223" width="7.5703125" style="157" customWidth="1"/>
    <col min="9224" max="9224" width="15.42578125" style="157" customWidth="1"/>
    <col min="9225" max="9227" width="10.140625" style="157" customWidth="1"/>
    <col min="9228" max="9228" width="11.7109375" style="157" bestFit="1" customWidth="1"/>
    <col min="9229" max="9229" width="9" style="157" customWidth="1"/>
    <col min="9230" max="9230" width="8.5703125" style="157" customWidth="1"/>
    <col min="9231" max="9231" width="14.28515625" style="157" bestFit="1" customWidth="1"/>
    <col min="9232" max="9232" width="11.42578125" style="157"/>
    <col min="9233" max="9233" width="13.5703125" style="157" bestFit="1" customWidth="1"/>
    <col min="9234" max="9234" width="15.5703125" style="157" bestFit="1" customWidth="1"/>
    <col min="9235" max="9236" width="10.28515625" style="157" bestFit="1" customWidth="1"/>
    <col min="9237" max="9237" width="9.42578125" style="157" customWidth="1"/>
    <col min="9238" max="9472" width="11.42578125" style="157"/>
    <col min="9473" max="9473" width="21.5703125" style="157" customWidth="1"/>
    <col min="9474" max="9474" width="15.7109375" style="157" customWidth="1"/>
    <col min="9475" max="9475" width="14.28515625" style="157" customWidth="1"/>
    <col min="9476" max="9479" width="7.5703125" style="157" customWidth="1"/>
    <col min="9480" max="9480" width="15.42578125" style="157" customWidth="1"/>
    <col min="9481" max="9483" width="10.140625" style="157" customWidth="1"/>
    <col min="9484" max="9484" width="11.7109375" style="157" bestFit="1" customWidth="1"/>
    <col min="9485" max="9485" width="9" style="157" customWidth="1"/>
    <col min="9486" max="9486" width="8.5703125" style="157" customWidth="1"/>
    <col min="9487" max="9487" width="14.28515625" style="157" bestFit="1" customWidth="1"/>
    <col min="9488" max="9488" width="11.42578125" style="157"/>
    <col min="9489" max="9489" width="13.5703125" style="157" bestFit="1" customWidth="1"/>
    <col min="9490" max="9490" width="15.5703125" style="157" bestFit="1" customWidth="1"/>
    <col min="9491" max="9492" width="10.28515625" style="157" bestFit="1" customWidth="1"/>
    <col min="9493" max="9493" width="9.42578125" style="157" customWidth="1"/>
    <col min="9494" max="9728" width="11.42578125" style="157"/>
    <col min="9729" max="9729" width="21.5703125" style="157" customWidth="1"/>
    <col min="9730" max="9730" width="15.7109375" style="157" customWidth="1"/>
    <col min="9731" max="9731" width="14.28515625" style="157" customWidth="1"/>
    <col min="9732" max="9735" width="7.5703125" style="157" customWidth="1"/>
    <col min="9736" max="9736" width="15.42578125" style="157" customWidth="1"/>
    <col min="9737" max="9739" width="10.140625" style="157" customWidth="1"/>
    <col min="9740" max="9740" width="11.7109375" style="157" bestFit="1" customWidth="1"/>
    <col min="9741" max="9741" width="9" style="157" customWidth="1"/>
    <col min="9742" max="9742" width="8.5703125" style="157" customWidth="1"/>
    <col min="9743" max="9743" width="14.28515625" style="157" bestFit="1" customWidth="1"/>
    <col min="9744" max="9744" width="11.42578125" style="157"/>
    <col min="9745" max="9745" width="13.5703125" style="157" bestFit="1" customWidth="1"/>
    <col min="9746" max="9746" width="15.5703125" style="157" bestFit="1" customWidth="1"/>
    <col min="9747" max="9748" width="10.28515625" style="157" bestFit="1" customWidth="1"/>
    <col min="9749" max="9749" width="9.42578125" style="157" customWidth="1"/>
    <col min="9750" max="9984" width="11.42578125" style="157"/>
    <col min="9985" max="9985" width="21.5703125" style="157" customWidth="1"/>
    <col min="9986" max="9986" width="15.7109375" style="157" customWidth="1"/>
    <col min="9987" max="9987" width="14.28515625" style="157" customWidth="1"/>
    <col min="9988" max="9991" width="7.5703125" style="157" customWidth="1"/>
    <col min="9992" max="9992" width="15.42578125" style="157" customWidth="1"/>
    <col min="9993" max="9995" width="10.140625" style="157" customWidth="1"/>
    <col min="9996" max="9996" width="11.7109375" style="157" bestFit="1" customWidth="1"/>
    <col min="9997" max="9997" width="9" style="157" customWidth="1"/>
    <col min="9998" max="9998" width="8.5703125" style="157" customWidth="1"/>
    <col min="9999" max="9999" width="14.28515625" style="157" bestFit="1" customWidth="1"/>
    <col min="10000" max="10000" width="11.42578125" style="157"/>
    <col min="10001" max="10001" width="13.5703125" style="157" bestFit="1" customWidth="1"/>
    <col min="10002" max="10002" width="15.5703125" style="157" bestFit="1" customWidth="1"/>
    <col min="10003" max="10004" width="10.28515625" style="157" bestFit="1" customWidth="1"/>
    <col min="10005" max="10005" width="9.42578125" style="157" customWidth="1"/>
    <col min="10006" max="10240" width="11.42578125" style="157"/>
    <col min="10241" max="10241" width="21.5703125" style="157" customWidth="1"/>
    <col min="10242" max="10242" width="15.7109375" style="157" customWidth="1"/>
    <col min="10243" max="10243" width="14.28515625" style="157" customWidth="1"/>
    <col min="10244" max="10247" width="7.5703125" style="157" customWidth="1"/>
    <col min="10248" max="10248" width="15.42578125" style="157" customWidth="1"/>
    <col min="10249" max="10251" width="10.140625" style="157" customWidth="1"/>
    <col min="10252" max="10252" width="11.7109375" style="157" bestFit="1" customWidth="1"/>
    <col min="10253" max="10253" width="9" style="157" customWidth="1"/>
    <col min="10254" max="10254" width="8.5703125" style="157" customWidth="1"/>
    <col min="10255" max="10255" width="14.28515625" style="157" bestFit="1" customWidth="1"/>
    <col min="10256" max="10256" width="11.42578125" style="157"/>
    <col min="10257" max="10257" width="13.5703125" style="157" bestFit="1" customWidth="1"/>
    <col min="10258" max="10258" width="15.5703125" style="157" bestFit="1" customWidth="1"/>
    <col min="10259" max="10260" width="10.28515625" style="157" bestFit="1" customWidth="1"/>
    <col min="10261" max="10261" width="9.42578125" style="157" customWidth="1"/>
    <col min="10262" max="10496" width="11.42578125" style="157"/>
    <col min="10497" max="10497" width="21.5703125" style="157" customWidth="1"/>
    <col min="10498" max="10498" width="15.7109375" style="157" customWidth="1"/>
    <col min="10499" max="10499" width="14.28515625" style="157" customWidth="1"/>
    <col min="10500" max="10503" width="7.5703125" style="157" customWidth="1"/>
    <col min="10504" max="10504" width="15.42578125" style="157" customWidth="1"/>
    <col min="10505" max="10507" width="10.140625" style="157" customWidth="1"/>
    <col min="10508" max="10508" width="11.7109375" style="157" bestFit="1" customWidth="1"/>
    <col min="10509" max="10509" width="9" style="157" customWidth="1"/>
    <col min="10510" max="10510" width="8.5703125" style="157" customWidth="1"/>
    <col min="10511" max="10511" width="14.28515625" style="157" bestFit="1" customWidth="1"/>
    <col min="10512" max="10512" width="11.42578125" style="157"/>
    <col min="10513" max="10513" width="13.5703125" style="157" bestFit="1" customWidth="1"/>
    <col min="10514" max="10514" width="15.5703125" style="157" bestFit="1" customWidth="1"/>
    <col min="10515" max="10516" width="10.28515625" style="157" bestFit="1" customWidth="1"/>
    <col min="10517" max="10517" width="9.42578125" style="157" customWidth="1"/>
    <col min="10518" max="10752" width="11.42578125" style="157"/>
    <col min="10753" max="10753" width="21.5703125" style="157" customWidth="1"/>
    <col min="10754" max="10754" width="15.7109375" style="157" customWidth="1"/>
    <col min="10755" max="10755" width="14.28515625" style="157" customWidth="1"/>
    <col min="10756" max="10759" width="7.5703125" style="157" customWidth="1"/>
    <col min="10760" max="10760" width="15.42578125" style="157" customWidth="1"/>
    <col min="10761" max="10763" width="10.140625" style="157" customWidth="1"/>
    <col min="10764" max="10764" width="11.7109375" style="157" bestFit="1" customWidth="1"/>
    <col min="10765" max="10765" width="9" style="157" customWidth="1"/>
    <col min="10766" max="10766" width="8.5703125" style="157" customWidth="1"/>
    <col min="10767" max="10767" width="14.28515625" style="157" bestFit="1" customWidth="1"/>
    <col min="10768" max="10768" width="11.42578125" style="157"/>
    <col min="10769" max="10769" width="13.5703125" style="157" bestFit="1" customWidth="1"/>
    <col min="10770" max="10770" width="15.5703125" style="157" bestFit="1" customWidth="1"/>
    <col min="10771" max="10772" width="10.28515625" style="157" bestFit="1" customWidth="1"/>
    <col min="10773" max="10773" width="9.42578125" style="157" customWidth="1"/>
    <col min="10774" max="11008" width="11.42578125" style="157"/>
    <col min="11009" max="11009" width="21.5703125" style="157" customWidth="1"/>
    <col min="11010" max="11010" width="15.7109375" style="157" customWidth="1"/>
    <col min="11011" max="11011" width="14.28515625" style="157" customWidth="1"/>
    <col min="11012" max="11015" width="7.5703125" style="157" customWidth="1"/>
    <col min="11016" max="11016" width="15.42578125" style="157" customWidth="1"/>
    <col min="11017" max="11019" width="10.140625" style="157" customWidth="1"/>
    <col min="11020" max="11020" width="11.7109375" style="157" bestFit="1" customWidth="1"/>
    <col min="11021" max="11021" width="9" style="157" customWidth="1"/>
    <col min="11022" max="11022" width="8.5703125" style="157" customWidth="1"/>
    <col min="11023" max="11023" width="14.28515625" style="157" bestFit="1" customWidth="1"/>
    <col min="11024" max="11024" width="11.42578125" style="157"/>
    <col min="11025" max="11025" width="13.5703125" style="157" bestFit="1" customWidth="1"/>
    <col min="11026" max="11026" width="15.5703125" style="157" bestFit="1" customWidth="1"/>
    <col min="11027" max="11028" width="10.28515625" style="157" bestFit="1" customWidth="1"/>
    <col min="11029" max="11029" width="9.42578125" style="157" customWidth="1"/>
    <col min="11030" max="11264" width="11.42578125" style="157"/>
    <col min="11265" max="11265" width="21.5703125" style="157" customWidth="1"/>
    <col min="11266" max="11266" width="15.7109375" style="157" customWidth="1"/>
    <col min="11267" max="11267" width="14.28515625" style="157" customWidth="1"/>
    <col min="11268" max="11271" width="7.5703125" style="157" customWidth="1"/>
    <col min="11272" max="11272" width="15.42578125" style="157" customWidth="1"/>
    <col min="11273" max="11275" width="10.140625" style="157" customWidth="1"/>
    <col min="11276" max="11276" width="11.7109375" style="157" bestFit="1" customWidth="1"/>
    <col min="11277" max="11277" width="9" style="157" customWidth="1"/>
    <col min="11278" max="11278" width="8.5703125" style="157" customWidth="1"/>
    <col min="11279" max="11279" width="14.28515625" style="157" bestFit="1" customWidth="1"/>
    <col min="11280" max="11280" width="11.42578125" style="157"/>
    <col min="11281" max="11281" width="13.5703125" style="157" bestFit="1" customWidth="1"/>
    <col min="11282" max="11282" width="15.5703125" style="157" bestFit="1" customWidth="1"/>
    <col min="11283" max="11284" width="10.28515625" style="157" bestFit="1" customWidth="1"/>
    <col min="11285" max="11285" width="9.42578125" style="157" customWidth="1"/>
    <col min="11286" max="11520" width="11.42578125" style="157"/>
    <col min="11521" max="11521" width="21.5703125" style="157" customWidth="1"/>
    <col min="11522" max="11522" width="15.7109375" style="157" customWidth="1"/>
    <col min="11523" max="11523" width="14.28515625" style="157" customWidth="1"/>
    <col min="11524" max="11527" width="7.5703125" style="157" customWidth="1"/>
    <col min="11528" max="11528" width="15.42578125" style="157" customWidth="1"/>
    <col min="11529" max="11531" width="10.140625" style="157" customWidth="1"/>
    <col min="11532" max="11532" width="11.7109375" style="157" bestFit="1" customWidth="1"/>
    <col min="11533" max="11533" width="9" style="157" customWidth="1"/>
    <col min="11534" max="11534" width="8.5703125" style="157" customWidth="1"/>
    <col min="11535" max="11535" width="14.28515625" style="157" bestFit="1" customWidth="1"/>
    <col min="11536" max="11536" width="11.42578125" style="157"/>
    <col min="11537" max="11537" width="13.5703125" style="157" bestFit="1" customWidth="1"/>
    <col min="11538" max="11538" width="15.5703125" style="157" bestFit="1" customWidth="1"/>
    <col min="11539" max="11540" width="10.28515625" style="157" bestFit="1" customWidth="1"/>
    <col min="11541" max="11541" width="9.42578125" style="157" customWidth="1"/>
    <col min="11542" max="11776" width="11.42578125" style="157"/>
    <col min="11777" max="11777" width="21.5703125" style="157" customWidth="1"/>
    <col min="11778" max="11778" width="15.7109375" style="157" customWidth="1"/>
    <col min="11779" max="11779" width="14.28515625" style="157" customWidth="1"/>
    <col min="11780" max="11783" width="7.5703125" style="157" customWidth="1"/>
    <col min="11784" max="11784" width="15.42578125" style="157" customWidth="1"/>
    <col min="11785" max="11787" width="10.140625" style="157" customWidth="1"/>
    <col min="11788" max="11788" width="11.7109375" style="157" bestFit="1" customWidth="1"/>
    <col min="11789" max="11789" width="9" style="157" customWidth="1"/>
    <col min="11790" max="11790" width="8.5703125" style="157" customWidth="1"/>
    <col min="11791" max="11791" width="14.28515625" style="157" bestFit="1" customWidth="1"/>
    <col min="11792" max="11792" width="11.42578125" style="157"/>
    <col min="11793" max="11793" width="13.5703125" style="157" bestFit="1" customWidth="1"/>
    <col min="11794" max="11794" width="15.5703125" style="157" bestFit="1" customWidth="1"/>
    <col min="11795" max="11796" width="10.28515625" style="157" bestFit="1" customWidth="1"/>
    <col min="11797" max="11797" width="9.42578125" style="157" customWidth="1"/>
    <col min="11798" max="12032" width="11.42578125" style="157"/>
    <col min="12033" max="12033" width="21.5703125" style="157" customWidth="1"/>
    <col min="12034" max="12034" width="15.7109375" style="157" customWidth="1"/>
    <col min="12035" max="12035" width="14.28515625" style="157" customWidth="1"/>
    <col min="12036" max="12039" width="7.5703125" style="157" customWidth="1"/>
    <col min="12040" max="12040" width="15.42578125" style="157" customWidth="1"/>
    <col min="12041" max="12043" width="10.140625" style="157" customWidth="1"/>
    <col min="12044" max="12044" width="11.7109375" style="157" bestFit="1" customWidth="1"/>
    <col min="12045" max="12045" width="9" style="157" customWidth="1"/>
    <col min="12046" max="12046" width="8.5703125" style="157" customWidth="1"/>
    <col min="12047" max="12047" width="14.28515625" style="157" bestFit="1" customWidth="1"/>
    <col min="12048" max="12048" width="11.42578125" style="157"/>
    <col min="12049" max="12049" width="13.5703125" style="157" bestFit="1" customWidth="1"/>
    <col min="12050" max="12050" width="15.5703125" style="157" bestFit="1" customWidth="1"/>
    <col min="12051" max="12052" width="10.28515625" style="157" bestFit="1" customWidth="1"/>
    <col min="12053" max="12053" width="9.42578125" style="157" customWidth="1"/>
    <col min="12054" max="12288" width="11.42578125" style="157"/>
    <col min="12289" max="12289" width="21.5703125" style="157" customWidth="1"/>
    <col min="12290" max="12290" width="15.7109375" style="157" customWidth="1"/>
    <col min="12291" max="12291" width="14.28515625" style="157" customWidth="1"/>
    <col min="12292" max="12295" width="7.5703125" style="157" customWidth="1"/>
    <col min="12296" max="12296" width="15.42578125" style="157" customWidth="1"/>
    <col min="12297" max="12299" width="10.140625" style="157" customWidth="1"/>
    <col min="12300" max="12300" width="11.7109375" style="157" bestFit="1" customWidth="1"/>
    <col min="12301" max="12301" width="9" style="157" customWidth="1"/>
    <col min="12302" max="12302" width="8.5703125" style="157" customWidth="1"/>
    <col min="12303" max="12303" width="14.28515625" style="157" bestFit="1" customWidth="1"/>
    <col min="12304" max="12304" width="11.42578125" style="157"/>
    <col min="12305" max="12305" width="13.5703125" style="157" bestFit="1" customWidth="1"/>
    <col min="12306" max="12306" width="15.5703125" style="157" bestFit="1" customWidth="1"/>
    <col min="12307" max="12308" width="10.28515625" style="157" bestFit="1" customWidth="1"/>
    <col min="12309" max="12309" width="9.42578125" style="157" customWidth="1"/>
    <col min="12310" max="12544" width="11.42578125" style="157"/>
    <col min="12545" max="12545" width="21.5703125" style="157" customWidth="1"/>
    <col min="12546" max="12546" width="15.7109375" style="157" customWidth="1"/>
    <col min="12547" max="12547" width="14.28515625" style="157" customWidth="1"/>
    <col min="12548" max="12551" width="7.5703125" style="157" customWidth="1"/>
    <col min="12552" max="12552" width="15.42578125" style="157" customWidth="1"/>
    <col min="12553" max="12555" width="10.140625" style="157" customWidth="1"/>
    <col min="12556" max="12556" width="11.7109375" style="157" bestFit="1" customWidth="1"/>
    <col min="12557" max="12557" width="9" style="157" customWidth="1"/>
    <col min="12558" max="12558" width="8.5703125" style="157" customWidth="1"/>
    <col min="12559" max="12559" width="14.28515625" style="157" bestFit="1" customWidth="1"/>
    <col min="12560" max="12560" width="11.42578125" style="157"/>
    <col min="12561" max="12561" width="13.5703125" style="157" bestFit="1" customWidth="1"/>
    <col min="12562" max="12562" width="15.5703125" style="157" bestFit="1" customWidth="1"/>
    <col min="12563" max="12564" width="10.28515625" style="157" bestFit="1" customWidth="1"/>
    <col min="12565" max="12565" width="9.42578125" style="157" customWidth="1"/>
    <col min="12566" max="12800" width="11.42578125" style="157"/>
    <col min="12801" max="12801" width="21.5703125" style="157" customWidth="1"/>
    <col min="12802" max="12802" width="15.7109375" style="157" customWidth="1"/>
    <col min="12803" max="12803" width="14.28515625" style="157" customWidth="1"/>
    <col min="12804" max="12807" width="7.5703125" style="157" customWidth="1"/>
    <col min="12808" max="12808" width="15.42578125" style="157" customWidth="1"/>
    <col min="12809" max="12811" width="10.140625" style="157" customWidth="1"/>
    <col min="12812" max="12812" width="11.7109375" style="157" bestFit="1" customWidth="1"/>
    <col min="12813" max="12813" width="9" style="157" customWidth="1"/>
    <col min="12814" max="12814" width="8.5703125" style="157" customWidth="1"/>
    <col min="12815" max="12815" width="14.28515625" style="157" bestFit="1" customWidth="1"/>
    <col min="12816" max="12816" width="11.42578125" style="157"/>
    <col min="12817" max="12817" width="13.5703125" style="157" bestFit="1" customWidth="1"/>
    <col min="12818" max="12818" width="15.5703125" style="157" bestFit="1" customWidth="1"/>
    <col min="12819" max="12820" width="10.28515625" style="157" bestFit="1" customWidth="1"/>
    <col min="12821" max="12821" width="9.42578125" style="157" customWidth="1"/>
    <col min="12822" max="13056" width="11.42578125" style="157"/>
    <col min="13057" max="13057" width="21.5703125" style="157" customWidth="1"/>
    <col min="13058" max="13058" width="15.7109375" style="157" customWidth="1"/>
    <col min="13059" max="13059" width="14.28515625" style="157" customWidth="1"/>
    <col min="13060" max="13063" width="7.5703125" style="157" customWidth="1"/>
    <col min="13064" max="13064" width="15.42578125" style="157" customWidth="1"/>
    <col min="13065" max="13067" width="10.140625" style="157" customWidth="1"/>
    <col min="13068" max="13068" width="11.7109375" style="157" bestFit="1" customWidth="1"/>
    <col min="13069" max="13069" width="9" style="157" customWidth="1"/>
    <col min="13070" max="13070" width="8.5703125" style="157" customWidth="1"/>
    <col min="13071" max="13071" width="14.28515625" style="157" bestFit="1" customWidth="1"/>
    <col min="13072" max="13072" width="11.42578125" style="157"/>
    <col min="13073" max="13073" width="13.5703125" style="157" bestFit="1" customWidth="1"/>
    <col min="13074" max="13074" width="15.5703125" style="157" bestFit="1" customWidth="1"/>
    <col min="13075" max="13076" width="10.28515625" style="157" bestFit="1" customWidth="1"/>
    <col min="13077" max="13077" width="9.42578125" style="157" customWidth="1"/>
    <col min="13078" max="13312" width="11.42578125" style="157"/>
    <col min="13313" max="13313" width="21.5703125" style="157" customWidth="1"/>
    <col min="13314" max="13314" width="15.7109375" style="157" customWidth="1"/>
    <col min="13315" max="13315" width="14.28515625" style="157" customWidth="1"/>
    <col min="13316" max="13319" width="7.5703125" style="157" customWidth="1"/>
    <col min="13320" max="13320" width="15.42578125" style="157" customWidth="1"/>
    <col min="13321" max="13323" width="10.140625" style="157" customWidth="1"/>
    <col min="13324" max="13324" width="11.7109375" style="157" bestFit="1" customWidth="1"/>
    <col min="13325" max="13325" width="9" style="157" customWidth="1"/>
    <col min="13326" max="13326" width="8.5703125" style="157" customWidth="1"/>
    <col min="13327" max="13327" width="14.28515625" style="157" bestFit="1" customWidth="1"/>
    <col min="13328" max="13328" width="11.42578125" style="157"/>
    <col min="13329" max="13329" width="13.5703125" style="157" bestFit="1" customWidth="1"/>
    <col min="13330" max="13330" width="15.5703125" style="157" bestFit="1" customWidth="1"/>
    <col min="13331" max="13332" width="10.28515625" style="157" bestFit="1" customWidth="1"/>
    <col min="13333" max="13333" width="9.42578125" style="157" customWidth="1"/>
    <col min="13334" max="13568" width="11.42578125" style="157"/>
    <col min="13569" max="13569" width="21.5703125" style="157" customWidth="1"/>
    <col min="13570" max="13570" width="15.7109375" style="157" customWidth="1"/>
    <col min="13571" max="13571" width="14.28515625" style="157" customWidth="1"/>
    <col min="13572" max="13575" width="7.5703125" style="157" customWidth="1"/>
    <col min="13576" max="13576" width="15.42578125" style="157" customWidth="1"/>
    <col min="13577" max="13579" width="10.140625" style="157" customWidth="1"/>
    <col min="13580" max="13580" width="11.7109375" style="157" bestFit="1" customWidth="1"/>
    <col min="13581" max="13581" width="9" style="157" customWidth="1"/>
    <col min="13582" max="13582" width="8.5703125" style="157" customWidth="1"/>
    <col min="13583" max="13583" width="14.28515625" style="157" bestFit="1" customWidth="1"/>
    <col min="13584" max="13584" width="11.42578125" style="157"/>
    <col min="13585" max="13585" width="13.5703125" style="157" bestFit="1" customWidth="1"/>
    <col min="13586" max="13586" width="15.5703125" style="157" bestFit="1" customWidth="1"/>
    <col min="13587" max="13588" width="10.28515625" style="157" bestFit="1" customWidth="1"/>
    <col min="13589" max="13589" width="9.42578125" style="157" customWidth="1"/>
    <col min="13590" max="13824" width="11.42578125" style="157"/>
    <col min="13825" max="13825" width="21.5703125" style="157" customWidth="1"/>
    <col min="13826" max="13826" width="15.7109375" style="157" customWidth="1"/>
    <col min="13827" max="13827" width="14.28515625" style="157" customWidth="1"/>
    <col min="13828" max="13831" width="7.5703125" style="157" customWidth="1"/>
    <col min="13832" max="13832" width="15.42578125" style="157" customWidth="1"/>
    <col min="13833" max="13835" width="10.140625" style="157" customWidth="1"/>
    <col min="13836" max="13836" width="11.7109375" style="157" bestFit="1" customWidth="1"/>
    <col min="13837" max="13837" width="9" style="157" customWidth="1"/>
    <col min="13838" max="13838" width="8.5703125" style="157" customWidth="1"/>
    <col min="13839" max="13839" width="14.28515625" style="157" bestFit="1" customWidth="1"/>
    <col min="13840" max="13840" width="11.42578125" style="157"/>
    <col min="13841" max="13841" width="13.5703125" style="157" bestFit="1" customWidth="1"/>
    <col min="13842" max="13842" width="15.5703125" style="157" bestFit="1" customWidth="1"/>
    <col min="13843" max="13844" width="10.28515625" style="157" bestFit="1" customWidth="1"/>
    <col min="13845" max="13845" width="9.42578125" style="157" customWidth="1"/>
    <col min="13846" max="14080" width="11.42578125" style="157"/>
    <col min="14081" max="14081" width="21.5703125" style="157" customWidth="1"/>
    <col min="14082" max="14082" width="15.7109375" style="157" customWidth="1"/>
    <col min="14083" max="14083" width="14.28515625" style="157" customWidth="1"/>
    <col min="14084" max="14087" width="7.5703125" style="157" customWidth="1"/>
    <col min="14088" max="14088" width="15.42578125" style="157" customWidth="1"/>
    <col min="14089" max="14091" width="10.140625" style="157" customWidth="1"/>
    <col min="14092" max="14092" width="11.7109375" style="157" bestFit="1" customWidth="1"/>
    <col min="14093" max="14093" width="9" style="157" customWidth="1"/>
    <col min="14094" max="14094" width="8.5703125" style="157" customWidth="1"/>
    <col min="14095" max="14095" width="14.28515625" style="157" bestFit="1" customWidth="1"/>
    <col min="14096" max="14096" width="11.42578125" style="157"/>
    <col min="14097" max="14097" width="13.5703125" style="157" bestFit="1" customWidth="1"/>
    <col min="14098" max="14098" width="15.5703125" style="157" bestFit="1" customWidth="1"/>
    <col min="14099" max="14100" width="10.28515625" style="157" bestFit="1" customWidth="1"/>
    <col min="14101" max="14101" width="9.42578125" style="157" customWidth="1"/>
    <col min="14102" max="14336" width="11.42578125" style="157"/>
    <col min="14337" max="14337" width="21.5703125" style="157" customWidth="1"/>
    <col min="14338" max="14338" width="15.7109375" style="157" customWidth="1"/>
    <col min="14339" max="14339" width="14.28515625" style="157" customWidth="1"/>
    <col min="14340" max="14343" width="7.5703125" style="157" customWidth="1"/>
    <col min="14344" max="14344" width="15.42578125" style="157" customWidth="1"/>
    <col min="14345" max="14347" width="10.140625" style="157" customWidth="1"/>
    <col min="14348" max="14348" width="11.7109375" style="157" bestFit="1" customWidth="1"/>
    <col min="14349" max="14349" width="9" style="157" customWidth="1"/>
    <col min="14350" max="14350" width="8.5703125" style="157" customWidth="1"/>
    <col min="14351" max="14351" width="14.28515625" style="157" bestFit="1" customWidth="1"/>
    <col min="14352" max="14352" width="11.42578125" style="157"/>
    <col min="14353" max="14353" width="13.5703125" style="157" bestFit="1" customWidth="1"/>
    <col min="14354" max="14354" width="15.5703125" style="157" bestFit="1" customWidth="1"/>
    <col min="14355" max="14356" width="10.28515625" style="157" bestFit="1" customWidth="1"/>
    <col min="14357" max="14357" width="9.42578125" style="157" customWidth="1"/>
    <col min="14358" max="14592" width="11.42578125" style="157"/>
    <col min="14593" max="14593" width="21.5703125" style="157" customWidth="1"/>
    <col min="14594" max="14594" width="15.7109375" style="157" customWidth="1"/>
    <col min="14595" max="14595" width="14.28515625" style="157" customWidth="1"/>
    <col min="14596" max="14599" width="7.5703125" style="157" customWidth="1"/>
    <col min="14600" max="14600" width="15.42578125" style="157" customWidth="1"/>
    <col min="14601" max="14603" width="10.140625" style="157" customWidth="1"/>
    <col min="14604" max="14604" width="11.7109375" style="157" bestFit="1" customWidth="1"/>
    <col min="14605" max="14605" width="9" style="157" customWidth="1"/>
    <col min="14606" max="14606" width="8.5703125" style="157" customWidth="1"/>
    <col min="14607" max="14607" width="14.28515625" style="157" bestFit="1" customWidth="1"/>
    <col min="14608" max="14608" width="11.42578125" style="157"/>
    <col min="14609" max="14609" width="13.5703125" style="157" bestFit="1" customWidth="1"/>
    <col min="14610" max="14610" width="15.5703125" style="157" bestFit="1" customWidth="1"/>
    <col min="14611" max="14612" width="10.28515625" style="157" bestFit="1" customWidth="1"/>
    <col min="14613" max="14613" width="9.42578125" style="157" customWidth="1"/>
    <col min="14614" max="14848" width="11.42578125" style="157"/>
    <col min="14849" max="14849" width="21.5703125" style="157" customWidth="1"/>
    <col min="14850" max="14850" width="15.7109375" style="157" customWidth="1"/>
    <col min="14851" max="14851" width="14.28515625" style="157" customWidth="1"/>
    <col min="14852" max="14855" width="7.5703125" style="157" customWidth="1"/>
    <col min="14856" max="14856" width="15.42578125" style="157" customWidth="1"/>
    <col min="14857" max="14859" width="10.140625" style="157" customWidth="1"/>
    <col min="14860" max="14860" width="11.7109375" style="157" bestFit="1" customWidth="1"/>
    <col min="14861" max="14861" width="9" style="157" customWidth="1"/>
    <col min="14862" max="14862" width="8.5703125" style="157" customWidth="1"/>
    <col min="14863" max="14863" width="14.28515625" style="157" bestFit="1" customWidth="1"/>
    <col min="14864" max="14864" width="11.42578125" style="157"/>
    <col min="14865" max="14865" width="13.5703125" style="157" bestFit="1" customWidth="1"/>
    <col min="14866" max="14866" width="15.5703125" style="157" bestFit="1" customWidth="1"/>
    <col min="14867" max="14868" width="10.28515625" style="157" bestFit="1" customWidth="1"/>
    <col min="14869" max="14869" width="9.42578125" style="157" customWidth="1"/>
    <col min="14870" max="15104" width="11.42578125" style="157"/>
    <col min="15105" max="15105" width="21.5703125" style="157" customWidth="1"/>
    <col min="15106" max="15106" width="15.7109375" style="157" customWidth="1"/>
    <col min="15107" max="15107" width="14.28515625" style="157" customWidth="1"/>
    <col min="15108" max="15111" width="7.5703125" style="157" customWidth="1"/>
    <col min="15112" max="15112" width="15.42578125" style="157" customWidth="1"/>
    <col min="15113" max="15115" width="10.140625" style="157" customWidth="1"/>
    <col min="15116" max="15116" width="11.7109375" style="157" bestFit="1" customWidth="1"/>
    <col min="15117" max="15117" width="9" style="157" customWidth="1"/>
    <col min="15118" max="15118" width="8.5703125" style="157" customWidth="1"/>
    <col min="15119" max="15119" width="14.28515625" style="157" bestFit="1" customWidth="1"/>
    <col min="15120" max="15120" width="11.42578125" style="157"/>
    <col min="15121" max="15121" width="13.5703125" style="157" bestFit="1" customWidth="1"/>
    <col min="15122" max="15122" width="15.5703125" style="157" bestFit="1" customWidth="1"/>
    <col min="15123" max="15124" width="10.28515625" style="157" bestFit="1" customWidth="1"/>
    <col min="15125" max="15125" width="9.42578125" style="157" customWidth="1"/>
    <col min="15126" max="15360" width="11.42578125" style="157"/>
    <col min="15361" max="15361" width="21.5703125" style="157" customWidth="1"/>
    <col min="15362" max="15362" width="15.7109375" style="157" customWidth="1"/>
    <col min="15363" max="15363" width="14.28515625" style="157" customWidth="1"/>
    <col min="15364" max="15367" width="7.5703125" style="157" customWidth="1"/>
    <col min="15368" max="15368" width="15.42578125" style="157" customWidth="1"/>
    <col min="15369" max="15371" width="10.140625" style="157" customWidth="1"/>
    <col min="15372" max="15372" width="11.7109375" style="157" bestFit="1" customWidth="1"/>
    <col min="15373" max="15373" width="9" style="157" customWidth="1"/>
    <col min="15374" max="15374" width="8.5703125" style="157" customWidth="1"/>
    <col min="15375" max="15375" width="14.28515625" style="157" bestFit="1" customWidth="1"/>
    <col min="15376" max="15376" width="11.42578125" style="157"/>
    <col min="15377" max="15377" width="13.5703125" style="157" bestFit="1" customWidth="1"/>
    <col min="15378" max="15378" width="15.5703125" style="157" bestFit="1" customWidth="1"/>
    <col min="15379" max="15380" width="10.28515625" style="157" bestFit="1" customWidth="1"/>
    <col min="15381" max="15381" width="9.42578125" style="157" customWidth="1"/>
    <col min="15382" max="15616" width="11.42578125" style="157"/>
    <col min="15617" max="15617" width="21.5703125" style="157" customWidth="1"/>
    <col min="15618" max="15618" width="15.7109375" style="157" customWidth="1"/>
    <col min="15619" max="15619" width="14.28515625" style="157" customWidth="1"/>
    <col min="15620" max="15623" width="7.5703125" style="157" customWidth="1"/>
    <col min="15624" max="15624" width="15.42578125" style="157" customWidth="1"/>
    <col min="15625" max="15627" width="10.140625" style="157" customWidth="1"/>
    <col min="15628" max="15628" width="11.7109375" style="157" bestFit="1" customWidth="1"/>
    <col min="15629" max="15629" width="9" style="157" customWidth="1"/>
    <col min="15630" max="15630" width="8.5703125" style="157" customWidth="1"/>
    <col min="15631" max="15631" width="14.28515625" style="157" bestFit="1" customWidth="1"/>
    <col min="15632" max="15632" width="11.42578125" style="157"/>
    <col min="15633" max="15633" width="13.5703125" style="157" bestFit="1" customWidth="1"/>
    <col min="15634" max="15634" width="15.5703125" style="157" bestFit="1" customWidth="1"/>
    <col min="15635" max="15636" width="10.28515625" style="157" bestFit="1" customWidth="1"/>
    <col min="15637" max="15637" width="9.42578125" style="157" customWidth="1"/>
    <col min="15638" max="15872" width="11.42578125" style="157"/>
    <col min="15873" max="15873" width="21.5703125" style="157" customWidth="1"/>
    <col min="15874" max="15874" width="15.7109375" style="157" customWidth="1"/>
    <col min="15875" max="15875" width="14.28515625" style="157" customWidth="1"/>
    <col min="15876" max="15879" width="7.5703125" style="157" customWidth="1"/>
    <col min="15880" max="15880" width="15.42578125" style="157" customWidth="1"/>
    <col min="15881" max="15883" width="10.140625" style="157" customWidth="1"/>
    <col min="15884" max="15884" width="11.7109375" style="157" bestFit="1" customWidth="1"/>
    <col min="15885" max="15885" width="9" style="157" customWidth="1"/>
    <col min="15886" max="15886" width="8.5703125" style="157" customWidth="1"/>
    <col min="15887" max="15887" width="14.28515625" style="157" bestFit="1" customWidth="1"/>
    <col min="15888" max="15888" width="11.42578125" style="157"/>
    <col min="15889" max="15889" width="13.5703125" style="157" bestFit="1" customWidth="1"/>
    <col min="15890" max="15890" width="15.5703125" style="157" bestFit="1" customWidth="1"/>
    <col min="15891" max="15892" width="10.28515625" style="157" bestFit="1" customWidth="1"/>
    <col min="15893" max="15893" width="9.42578125" style="157" customWidth="1"/>
    <col min="15894" max="16128" width="11.42578125" style="157"/>
    <col min="16129" max="16129" width="21.5703125" style="157" customWidth="1"/>
    <col min="16130" max="16130" width="15.7109375" style="157" customWidth="1"/>
    <col min="16131" max="16131" width="14.28515625" style="157" customWidth="1"/>
    <col min="16132" max="16135" width="7.5703125" style="157" customWidth="1"/>
    <col min="16136" max="16136" width="15.42578125" style="157" customWidth="1"/>
    <col min="16137" max="16139" width="10.140625" style="157" customWidth="1"/>
    <col min="16140" max="16140" width="11.7109375" style="157" bestFit="1" customWidth="1"/>
    <col min="16141" max="16141" width="9" style="157" customWidth="1"/>
    <col min="16142" max="16142" width="8.5703125" style="157" customWidth="1"/>
    <col min="16143" max="16143" width="14.28515625" style="157" bestFit="1" customWidth="1"/>
    <col min="16144" max="16144" width="11.42578125" style="157"/>
    <col min="16145" max="16145" width="13.5703125" style="157" bestFit="1" customWidth="1"/>
    <col min="16146" max="16146" width="15.5703125" style="157" bestFit="1" customWidth="1"/>
    <col min="16147" max="16148" width="10.28515625" style="157" bestFit="1" customWidth="1"/>
    <col min="16149" max="16149" width="9.42578125" style="157" customWidth="1"/>
    <col min="16150" max="16384" width="11.42578125" style="157"/>
  </cols>
  <sheetData>
    <row r="1" spans="1:16" s="573" customFormat="1" x14ac:dyDescent="0.2"/>
    <row r="2" spans="1:16" s="573" customFormat="1" ht="15.75" x14ac:dyDescent="0.25">
      <c r="A2" s="646" t="s">
        <v>265</v>
      </c>
    </row>
    <row r="3" spans="1:16" s="573" customFormat="1" x14ac:dyDescent="0.2">
      <c r="A3" s="643"/>
    </row>
    <row r="4" spans="1:16" s="573" customFormat="1" ht="13.5" thickBot="1" x14ac:dyDescent="0.25"/>
    <row r="5" spans="1:16" x14ac:dyDescent="0.2">
      <c r="A5" s="1385" t="s">
        <v>132</v>
      </c>
      <c r="B5" s="1387" t="s">
        <v>199</v>
      </c>
      <c r="C5" s="1389" t="s">
        <v>266</v>
      </c>
      <c r="D5" s="1384"/>
      <c r="E5" s="1384"/>
      <c r="F5" s="1384"/>
      <c r="G5" s="1384"/>
      <c r="H5" s="1390" t="s">
        <v>267</v>
      </c>
      <c r="I5" s="1391"/>
      <c r="J5" s="1392"/>
      <c r="K5" s="1392"/>
      <c r="L5" s="1393"/>
    </row>
    <row r="6" spans="1:16" ht="13.5" thickBot="1" x14ac:dyDescent="0.25">
      <c r="A6" s="1386"/>
      <c r="B6" s="1388"/>
      <c r="C6" s="485" t="s">
        <v>203</v>
      </c>
      <c r="D6" s="486" t="s">
        <v>268</v>
      </c>
      <c r="E6" s="485" t="s">
        <v>269</v>
      </c>
      <c r="F6" s="485" t="s">
        <v>270</v>
      </c>
      <c r="G6" s="863" t="s">
        <v>271</v>
      </c>
      <c r="H6" s="864" t="s">
        <v>203</v>
      </c>
      <c r="I6" s="486" t="s">
        <v>268</v>
      </c>
      <c r="J6" s="485" t="s">
        <v>269</v>
      </c>
      <c r="K6" s="485" t="s">
        <v>270</v>
      </c>
      <c r="L6" s="865" t="s">
        <v>271</v>
      </c>
    </row>
    <row r="7" spans="1:16" x14ac:dyDescent="0.2">
      <c r="A7" s="728"/>
      <c r="B7" s="866"/>
      <c r="C7" s="362"/>
      <c r="D7" s="364"/>
      <c r="E7" s="362"/>
      <c r="F7" s="362"/>
      <c r="G7" s="525"/>
      <c r="H7" s="359"/>
      <c r="I7" s="364"/>
      <c r="J7" s="360"/>
      <c r="K7" s="360"/>
      <c r="L7" s="365"/>
    </row>
    <row r="8" spans="1:16" x14ac:dyDescent="0.2">
      <c r="A8" s="1685">
        <v>1995</v>
      </c>
      <c r="B8" s="1689">
        <f>+H8+C8</f>
        <v>2491804</v>
      </c>
      <c r="C8" s="1690">
        <f t="shared" ref="C8:C26" si="0">SUM(D8:G8)</f>
        <v>175</v>
      </c>
      <c r="D8" s="1691">
        <v>4</v>
      </c>
      <c r="E8" s="1665">
        <v>24</v>
      </c>
      <c r="F8" s="1665">
        <v>145</v>
      </c>
      <c r="G8" s="1691">
        <v>2</v>
      </c>
      <c r="H8" s="1692">
        <f t="shared" ref="H8:H23" si="1">SUM(I8:L8)</f>
        <v>2491629</v>
      </c>
      <c r="I8" s="1691"/>
      <c r="J8" s="1665">
        <v>13</v>
      </c>
      <c r="K8" s="1665">
        <v>3747</v>
      </c>
      <c r="L8" s="1693">
        <v>2487869</v>
      </c>
      <c r="M8" s="420"/>
      <c r="N8" s="421"/>
      <c r="O8" s="421"/>
      <c r="P8" s="421"/>
    </row>
    <row r="9" spans="1:16" x14ac:dyDescent="0.2">
      <c r="A9" s="796">
        <v>1996</v>
      </c>
      <c r="B9" s="867">
        <f t="shared" ref="B9:B28" si="2">+H9+C9</f>
        <v>2775675</v>
      </c>
      <c r="C9" s="868">
        <f t="shared" si="0"/>
        <v>161</v>
      </c>
      <c r="D9" s="869">
        <v>3</v>
      </c>
      <c r="E9" s="794">
        <v>20</v>
      </c>
      <c r="F9" s="794">
        <v>137</v>
      </c>
      <c r="G9" s="869">
        <v>1</v>
      </c>
      <c r="H9" s="870">
        <f t="shared" si="1"/>
        <v>2775514</v>
      </c>
      <c r="I9" s="869"/>
      <c r="J9" s="794">
        <v>15</v>
      </c>
      <c r="K9" s="794">
        <v>4866</v>
      </c>
      <c r="L9" s="871">
        <v>2770633</v>
      </c>
      <c r="M9" s="420"/>
      <c r="N9" s="421"/>
      <c r="O9" s="421"/>
      <c r="P9" s="421"/>
    </row>
    <row r="10" spans="1:16" x14ac:dyDescent="0.2">
      <c r="A10" s="1685">
        <v>1997</v>
      </c>
      <c r="B10" s="1689">
        <f t="shared" si="2"/>
        <v>2964263</v>
      </c>
      <c r="C10" s="1690">
        <f t="shared" si="0"/>
        <v>160</v>
      </c>
      <c r="D10" s="1691">
        <v>3</v>
      </c>
      <c r="E10" s="1665">
        <v>20</v>
      </c>
      <c r="F10" s="1665">
        <v>136</v>
      </c>
      <c r="G10" s="1691">
        <v>1</v>
      </c>
      <c r="H10" s="1692">
        <f t="shared" si="1"/>
        <v>2964103</v>
      </c>
      <c r="I10" s="1691"/>
      <c r="J10" s="1665">
        <v>17</v>
      </c>
      <c r="K10" s="1665">
        <v>4861</v>
      </c>
      <c r="L10" s="1693">
        <v>2959225</v>
      </c>
    </row>
    <row r="11" spans="1:16" x14ac:dyDescent="0.2">
      <c r="A11" s="796">
        <v>1998</v>
      </c>
      <c r="B11" s="867">
        <f t="shared" si="2"/>
        <v>3057270</v>
      </c>
      <c r="C11" s="868">
        <f>SUM(D11:G11)</f>
        <v>168</v>
      </c>
      <c r="D11" s="869">
        <v>4</v>
      </c>
      <c r="E11" s="794">
        <v>22</v>
      </c>
      <c r="F11" s="794">
        <v>141</v>
      </c>
      <c r="G11" s="869">
        <v>1</v>
      </c>
      <c r="H11" s="870">
        <f t="shared" si="1"/>
        <v>3057102</v>
      </c>
      <c r="I11" s="869"/>
      <c r="J11" s="794">
        <v>13</v>
      </c>
      <c r="K11" s="794">
        <v>5372</v>
      </c>
      <c r="L11" s="871">
        <v>3051717</v>
      </c>
    </row>
    <row r="12" spans="1:16" x14ac:dyDescent="0.2">
      <c r="A12" s="1685">
        <v>1999</v>
      </c>
      <c r="B12" s="1689">
        <f t="shared" si="2"/>
        <v>3217011</v>
      </c>
      <c r="C12" s="1690">
        <f t="shared" si="0"/>
        <v>176</v>
      </c>
      <c r="D12" s="1691">
        <f>3-1</f>
        <v>2</v>
      </c>
      <c r="E12" s="1665">
        <v>23</v>
      </c>
      <c r="F12" s="1665">
        <f>154-5+1</f>
        <v>150</v>
      </c>
      <c r="G12" s="1691">
        <v>1</v>
      </c>
      <c r="H12" s="1692">
        <f t="shared" si="1"/>
        <v>3216835</v>
      </c>
      <c r="I12" s="1691"/>
      <c r="J12" s="1665">
        <v>20</v>
      </c>
      <c r="K12" s="1665">
        <v>5774</v>
      </c>
      <c r="L12" s="1693">
        <v>3211041</v>
      </c>
    </row>
    <row r="13" spans="1:16" x14ac:dyDescent="0.2">
      <c r="A13" s="796">
        <v>2000</v>
      </c>
      <c r="B13" s="867">
        <f t="shared" si="2"/>
        <v>3352159</v>
      </c>
      <c r="C13" s="868">
        <f t="shared" si="0"/>
        <v>179</v>
      </c>
      <c r="D13" s="869">
        <v>3</v>
      </c>
      <c r="E13" s="794">
        <f>21-1</f>
        <v>20</v>
      </c>
      <c r="F13" s="794">
        <f>155+1</f>
        <v>156</v>
      </c>
      <c r="G13" s="869">
        <v>0</v>
      </c>
      <c r="H13" s="870">
        <f t="shared" si="1"/>
        <v>3351980</v>
      </c>
      <c r="I13" s="869"/>
      <c r="J13" s="794">
        <v>9</v>
      </c>
      <c r="K13" s="794">
        <v>6259</v>
      </c>
      <c r="L13" s="871">
        <v>3345712</v>
      </c>
    </row>
    <row r="14" spans="1:16" x14ac:dyDescent="0.2">
      <c r="A14" s="1685">
        <v>2001</v>
      </c>
      <c r="B14" s="1689">
        <f t="shared" si="2"/>
        <v>3462792</v>
      </c>
      <c r="C14" s="1690">
        <f t="shared" si="0"/>
        <v>182</v>
      </c>
      <c r="D14" s="1694">
        <v>2</v>
      </c>
      <c r="E14" s="1665">
        <v>17</v>
      </c>
      <c r="F14" s="1665">
        <v>163</v>
      </c>
      <c r="G14" s="1691">
        <v>0</v>
      </c>
      <c r="H14" s="1692">
        <f t="shared" si="1"/>
        <v>3462610</v>
      </c>
      <c r="I14" s="1694"/>
      <c r="J14" s="1665">
        <v>9</v>
      </c>
      <c r="K14" s="1665">
        <v>6752</v>
      </c>
      <c r="L14" s="1693">
        <v>3455849</v>
      </c>
    </row>
    <row r="15" spans="1:16" x14ac:dyDescent="0.2">
      <c r="A15" s="796">
        <v>2002</v>
      </c>
      <c r="B15" s="867">
        <f t="shared" si="2"/>
        <v>3614408</v>
      </c>
      <c r="C15" s="868">
        <f t="shared" si="0"/>
        <v>185</v>
      </c>
      <c r="D15" s="872">
        <v>2</v>
      </c>
      <c r="E15" s="794">
        <v>15</v>
      </c>
      <c r="F15" s="794">
        <v>168</v>
      </c>
      <c r="G15" s="869">
        <v>0</v>
      </c>
      <c r="H15" s="870">
        <f t="shared" si="1"/>
        <v>3614223</v>
      </c>
      <c r="I15" s="872"/>
      <c r="J15" s="794">
        <v>11</v>
      </c>
      <c r="K15" s="794">
        <v>7166</v>
      </c>
      <c r="L15" s="871">
        <v>3607046</v>
      </c>
    </row>
    <row r="16" spans="1:16" x14ac:dyDescent="0.2">
      <c r="A16" s="1685">
        <v>2003</v>
      </c>
      <c r="B16" s="1689">
        <f t="shared" si="2"/>
        <v>3727184</v>
      </c>
      <c r="C16" s="1690">
        <f t="shared" si="0"/>
        <v>165</v>
      </c>
      <c r="D16" s="1694">
        <v>2</v>
      </c>
      <c r="E16" s="1665">
        <v>14</v>
      </c>
      <c r="F16" s="1665">
        <v>149</v>
      </c>
      <c r="G16" s="1691">
        <v>0</v>
      </c>
      <c r="H16" s="1692">
        <f t="shared" si="1"/>
        <v>3727019</v>
      </c>
      <c r="I16" s="1694"/>
      <c r="J16" s="1665">
        <v>12</v>
      </c>
      <c r="K16" s="1665">
        <v>7598</v>
      </c>
      <c r="L16" s="1693">
        <v>3719409</v>
      </c>
    </row>
    <row r="17" spans="1:30" x14ac:dyDescent="0.2">
      <c r="A17" s="796">
        <v>2004</v>
      </c>
      <c r="B17" s="867">
        <f t="shared" si="2"/>
        <v>3860430</v>
      </c>
      <c r="C17" s="868">
        <f t="shared" si="0"/>
        <v>160</v>
      </c>
      <c r="D17" s="872">
        <v>2</v>
      </c>
      <c r="E17" s="794">
        <v>10</v>
      </c>
      <c r="F17" s="794">
        <v>148</v>
      </c>
      <c r="G17" s="869">
        <v>0</v>
      </c>
      <c r="H17" s="870">
        <f t="shared" si="1"/>
        <v>3860270</v>
      </c>
      <c r="I17" s="872"/>
      <c r="J17" s="794">
        <v>19</v>
      </c>
      <c r="K17" s="794">
        <v>8120</v>
      </c>
      <c r="L17" s="871">
        <v>3852131</v>
      </c>
    </row>
    <row r="18" spans="1:30" x14ac:dyDescent="0.2">
      <c r="A18" s="1685">
        <v>2005</v>
      </c>
      <c r="B18" s="1689">
        <f t="shared" si="2"/>
        <v>3977020.25</v>
      </c>
      <c r="C18" s="1690">
        <f t="shared" si="0"/>
        <v>164</v>
      </c>
      <c r="D18" s="1694">
        <v>2</v>
      </c>
      <c r="E18" s="1665">
        <v>14</v>
      </c>
      <c r="F18" s="1665">
        <v>148</v>
      </c>
      <c r="G18" s="1691">
        <v>0</v>
      </c>
      <c r="H18" s="1692">
        <f t="shared" si="1"/>
        <v>3976856.25</v>
      </c>
      <c r="I18" s="1694"/>
      <c r="J18" s="1665">
        <v>18</v>
      </c>
      <c r="K18" s="1665">
        <v>8727</v>
      </c>
      <c r="L18" s="1693">
        <v>3968111.25</v>
      </c>
    </row>
    <row r="19" spans="1:30" x14ac:dyDescent="0.2">
      <c r="A19" s="796">
        <v>2006</v>
      </c>
      <c r="B19" s="867">
        <f t="shared" si="2"/>
        <v>4165191</v>
      </c>
      <c r="C19" s="868">
        <f>SUM(D19:G19)</f>
        <v>154</v>
      </c>
      <c r="D19" s="872">
        <v>2</v>
      </c>
      <c r="E19" s="794">
        <v>13</v>
      </c>
      <c r="F19" s="794">
        <v>139</v>
      </c>
      <c r="G19" s="869">
        <v>0</v>
      </c>
      <c r="H19" s="870">
        <f t="shared" si="1"/>
        <v>4165037</v>
      </c>
      <c r="I19" s="872"/>
      <c r="J19" s="794">
        <v>22</v>
      </c>
      <c r="K19" s="794">
        <v>9454</v>
      </c>
      <c r="L19" s="871">
        <v>4155561</v>
      </c>
    </row>
    <row r="20" spans="1:30" x14ac:dyDescent="0.2">
      <c r="A20" s="1685">
        <v>2007</v>
      </c>
      <c r="B20" s="1689">
        <f t="shared" si="2"/>
        <v>4359764</v>
      </c>
      <c r="C20" s="1690">
        <f t="shared" si="0"/>
        <v>152</v>
      </c>
      <c r="D20" s="1694">
        <v>2</v>
      </c>
      <c r="E20" s="1665">
        <v>11</v>
      </c>
      <c r="F20" s="1665">
        <v>139</v>
      </c>
      <c r="G20" s="1691">
        <v>0</v>
      </c>
      <c r="H20" s="1692">
        <f t="shared" si="1"/>
        <v>4359612</v>
      </c>
      <c r="I20" s="1694"/>
      <c r="J20" s="1665">
        <v>25</v>
      </c>
      <c r="K20" s="1665">
        <v>10314</v>
      </c>
      <c r="L20" s="1693">
        <v>4349273</v>
      </c>
    </row>
    <row r="21" spans="1:30" x14ac:dyDescent="0.2">
      <c r="A21" s="796">
        <v>2008</v>
      </c>
      <c r="B21" s="867">
        <f t="shared" si="2"/>
        <v>4624684</v>
      </c>
      <c r="C21" s="868">
        <f t="shared" si="0"/>
        <v>150</v>
      </c>
      <c r="D21" s="872">
        <v>2</v>
      </c>
      <c r="E21" s="794">
        <v>10</v>
      </c>
      <c r="F21" s="794">
        <v>138</v>
      </c>
      <c r="G21" s="869">
        <v>0</v>
      </c>
      <c r="H21" s="870">
        <f t="shared" si="1"/>
        <v>4624534</v>
      </c>
      <c r="I21" s="872"/>
      <c r="J21" s="794">
        <v>24</v>
      </c>
      <c r="K21" s="794">
        <v>11422</v>
      </c>
      <c r="L21" s="871">
        <v>4613088</v>
      </c>
    </row>
    <row r="22" spans="1:30" x14ac:dyDescent="0.2">
      <c r="A22" s="1685">
        <v>2009</v>
      </c>
      <c r="B22" s="1689">
        <f t="shared" si="2"/>
        <v>4878854</v>
      </c>
      <c r="C22" s="1690">
        <f t="shared" si="0"/>
        <v>159</v>
      </c>
      <c r="D22" s="1694">
        <v>2</v>
      </c>
      <c r="E22" s="1665">
        <v>13</v>
      </c>
      <c r="F22" s="1665">
        <v>144</v>
      </c>
      <c r="G22" s="1691">
        <v>0</v>
      </c>
      <c r="H22" s="1692">
        <f t="shared" si="1"/>
        <v>4878695</v>
      </c>
      <c r="I22" s="1694"/>
      <c r="J22" s="1665">
        <v>22</v>
      </c>
      <c r="K22" s="1665">
        <v>12368</v>
      </c>
      <c r="L22" s="1693">
        <v>4866305</v>
      </c>
    </row>
    <row r="23" spans="1:30" x14ac:dyDescent="0.2">
      <c r="A23" s="796">
        <v>2010</v>
      </c>
      <c r="B23" s="873">
        <f t="shared" si="2"/>
        <v>5170778</v>
      </c>
      <c r="C23" s="874">
        <f t="shared" si="0"/>
        <v>140</v>
      </c>
      <c r="D23" s="875">
        <v>2</v>
      </c>
      <c r="E23" s="876">
        <v>13</v>
      </c>
      <c r="F23" s="876">
        <v>125</v>
      </c>
      <c r="G23" s="877">
        <v>0</v>
      </c>
      <c r="H23" s="878">
        <f t="shared" si="1"/>
        <v>5170638</v>
      </c>
      <c r="I23" s="875"/>
      <c r="J23" s="876">
        <v>23</v>
      </c>
      <c r="K23" s="876">
        <v>13331</v>
      </c>
      <c r="L23" s="879">
        <v>5157284</v>
      </c>
    </row>
    <row r="24" spans="1:30" s="215" customFormat="1" x14ac:dyDescent="0.2">
      <c r="A24" s="1685">
        <v>2011</v>
      </c>
      <c r="B24" s="1689">
        <f t="shared" si="2"/>
        <v>5495091</v>
      </c>
      <c r="C24" s="1690">
        <f t="shared" si="0"/>
        <v>130</v>
      </c>
      <c r="D24" s="1694">
        <v>2</v>
      </c>
      <c r="E24" s="1665">
        <v>15</v>
      </c>
      <c r="F24" s="1665">
        <v>113</v>
      </c>
      <c r="G24" s="1691">
        <v>0</v>
      </c>
      <c r="H24" s="1692">
        <f>SUM(I24:L24)</f>
        <v>5494961</v>
      </c>
      <c r="I24" s="1694">
        <v>1</v>
      </c>
      <c r="J24" s="1665">
        <v>24</v>
      </c>
      <c r="K24" s="1665">
        <v>14409</v>
      </c>
      <c r="L24" s="1693">
        <v>5480527</v>
      </c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</row>
    <row r="25" spans="1:30" s="215" customFormat="1" x14ac:dyDescent="0.2">
      <c r="A25" s="880">
        <v>2012</v>
      </c>
      <c r="B25" s="873">
        <f t="shared" si="2"/>
        <v>5834755</v>
      </c>
      <c r="C25" s="874">
        <f t="shared" si="0"/>
        <v>130</v>
      </c>
      <c r="D25" s="875">
        <v>2</v>
      </c>
      <c r="E25" s="876">
        <v>16</v>
      </c>
      <c r="F25" s="876">
        <v>112</v>
      </c>
      <c r="G25" s="877">
        <v>0</v>
      </c>
      <c r="H25" s="878">
        <f>SUM(I25:L25)</f>
        <v>5834625</v>
      </c>
      <c r="I25" s="875">
        <v>1</v>
      </c>
      <c r="J25" s="876">
        <v>19</v>
      </c>
      <c r="K25" s="876">
        <v>15886</v>
      </c>
      <c r="L25" s="879">
        <v>5818719</v>
      </c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</row>
    <row r="26" spans="1:30" s="215" customFormat="1" x14ac:dyDescent="0.2">
      <c r="A26" s="1685">
        <v>2013</v>
      </c>
      <c r="B26" s="1689">
        <f t="shared" si="2"/>
        <v>6156176</v>
      </c>
      <c r="C26" s="1690">
        <f t="shared" si="0"/>
        <v>141</v>
      </c>
      <c r="D26" s="1694">
        <v>3</v>
      </c>
      <c r="E26" s="1665">
        <v>18</v>
      </c>
      <c r="F26" s="1665">
        <v>120</v>
      </c>
      <c r="G26" s="1691">
        <v>0</v>
      </c>
      <c r="H26" s="1692">
        <f>SUM(I26:L26)</f>
        <v>6156035</v>
      </c>
      <c r="I26" s="1694">
        <v>1</v>
      </c>
      <c r="J26" s="1665">
        <v>19</v>
      </c>
      <c r="K26" s="1665">
        <v>16943</v>
      </c>
      <c r="L26" s="1693">
        <v>6139072</v>
      </c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</row>
    <row r="27" spans="1:30" s="215" customFormat="1" x14ac:dyDescent="0.2">
      <c r="A27" s="880">
        <v>2014</v>
      </c>
      <c r="B27" s="873">
        <f t="shared" si="2"/>
        <v>6432587.0537635749</v>
      </c>
      <c r="C27" s="874">
        <f>SUM(D27:G27)</f>
        <v>143.05376357461844</v>
      </c>
      <c r="D27" s="875">
        <v>2</v>
      </c>
      <c r="E27" s="876">
        <v>16.053763574618422</v>
      </c>
      <c r="F27" s="876">
        <v>125.00000000000003</v>
      </c>
      <c r="G27" s="877">
        <v>0</v>
      </c>
      <c r="H27" s="878">
        <f>SUM(I27:L27)</f>
        <v>6432444</v>
      </c>
      <c r="I27" s="875">
        <v>1</v>
      </c>
      <c r="J27" s="876">
        <v>16</v>
      </c>
      <c r="K27" s="876">
        <v>17700.000000000004</v>
      </c>
      <c r="L27" s="879">
        <v>6414727</v>
      </c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</row>
    <row r="28" spans="1:30" s="215" customFormat="1" x14ac:dyDescent="0.2">
      <c r="A28" s="1685" t="s">
        <v>136</v>
      </c>
      <c r="B28" s="1689">
        <f t="shared" si="2"/>
        <v>6718483</v>
      </c>
      <c r="C28" s="1690">
        <f>SUM(D28:G28)</f>
        <v>173</v>
      </c>
      <c r="D28" s="1694">
        <v>4</v>
      </c>
      <c r="E28" s="1665">
        <v>20</v>
      </c>
      <c r="F28" s="1665">
        <v>149</v>
      </c>
      <c r="G28" s="1691">
        <v>0</v>
      </c>
      <c r="H28" s="1692">
        <f>SUM(I28:L28)</f>
        <v>6718310</v>
      </c>
      <c r="I28" s="1694">
        <v>1</v>
      </c>
      <c r="J28" s="1665">
        <v>17</v>
      </c>
      <c r="K28" s="1665">
        <v>18695</v>
      </c>
      <c r="L28" s="1693">
        <v>6699597</v>
      </c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</row>
    <row r="29" spans="1:30" s="215" customFormat="1" ht="18.75" customHeight="1" thickBot="1" x14ac:dyDescent="0.25">
      <c r="A29" s="881"/>
      <c r="B29" s="882"/>
      <c r="C29" s="874"/>
      <c r="D29" s="875"/>
      <c r="E29" s="883"/>
      <c r="F29" s="883"/>
      <c r="G29" s="877"/>
      <c r="H29" s="884"/>
      <c r="I29" s="885"/>
      <c r="J29" s="883"/>
      <c r="K29" s="883"/>
      <c r="L29" s="886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</row>
    <row r="30" spans="1:30" s="215" customFormat="1" ht="18.75" customHeight="1" x14ac:dyDescent="0.2">
      <c r="A30" s="1695" t="s">
        <v>137</v>
      </c>
      <c r="B30" s="1696">
        <f>(B28/B27)-1</f>
        <v>4.4444940091273644E-2</v>
      </c>
      <c r="C30" s="1705">
        <f>(C28/C27)-1</f>
        <v>0.20933553705325103</v>
      </c>
      <c r="D30" s="887"/>
      <c r="E30" s="887"/>
      <c r="F30" s="887"/>
      <c r="G30" s="887"/>
      <c r="H30" s="1707">
        <f>(H28/H27)-1</f>
        <v>4.4441273021576189E-2</v>
      </c>
      <c r="I30" s="888"/>
      <c r="J30" s="888"/>
      <c r="K30" s="1709">
        <f>(K28/K27)-1</f>
        <v>5.6214689265536411E-2</v>
      </c>
      <c r="L30" s="1710">
        <f>(L28/L27)-1</f>
        <v>4.4408748805677911E-2</v>
      </c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</row>
    <row r="31" spans="1:30" s="215" customFormat="1" ht="18.75" customHeight="1" x14ac:dyDescent="0.2">
      <c r="A31" s="889" t="s">
        <v>138</v>
      </c>
      <c r="B31" s="890">
        <f>((B28/B23)^(1/5))-1</f>
        <v>5.3763292629223081E-2</v>
      </c>
      <c r="C31" s="891">
        <f>((C28/C23)^(1/5))-1</f>
        <v>4.3238517937019827E-2</v>
      </c>
      <c r="D31" s="892"/>
      <c r="E31" s="892"/>
      <c r="F31" s="892"/>
      <c r="G31" s="892"/>
      <c r="H31" s="893">
        <f>((H28/H23)^(1/5))-1</f>
        <v>5.3763571961636503E-2</v>
      </c>
      <c r="I31" s="894"/>
      <c r="J31" s="894"/>
      <c r="K31" s="704">
        <f>((K28/K23)^(1/5))-1</f>
        <v>6.9972333566375555E-2</v>
      </c>
      <c r="L31" s="895">
        <f>((L28/L23)^(1/5))-1</f>
        <v>5.3720735521104235E-2</v>
      </c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</row>
    <row r="32" spans="1:30" s="215" customFormat="1" ht="18.75" customHeight="1" x14ac:dyDescent="0.2">
      <c r="A32" s="1697" t="s">
        <v>144</v>
      </c>
      <c r="B32" s="1698">
        <f>(B28/B18)-1</f>
        <v>0.68932582126027642</v>
      </c>
      <c r="C32" s="1706">
        <f>(C28/C18)-1</f>
        <v>5.4878048780487854E-2</v>
      </c>
      <c r="D32" s="892"/>
      <c r="E32" s="892"/>
      <c r="F32" s="892"/>
      <c r="G32" s="892"/>
      <c r="H32" s="1708">
        <f>(H28/H18)-1</f>
        <v>0.68935198500071504</v>
      </c>
      <c r="I32" s="894"/>
      <c r="J32" s="894"/>
      <c r="K32" s="1711">
        <f>(K28/K18)-1</f>
        <v>1.1422023604904319</v>
      </c>
      <c r="L32" s="1712">
        <f>(L28/L18)-1</f>
        <v>0.68835916583739931</v>
      </c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</row>
    <row r="33" spans="1:30" s="573" customFormat="1" ht="19.5" customHeight="1" thickBot="1" x14ac:dyDescent="0.25">
      <c r="A33" s="896" t="s">
        <v>140</v>
      </c>
      <c r="B33" s="897">
        <f>((B28/B18)^(1/10))-1</f>
        <v>5.383190312744035E-2</v>
      </c>
      <c r="C33" s="898">
        <f>((C28/C18)^(1/10))-1</f>
        <v>5.3568133582926336E-3</v>
      </c>
      <c r="D33" s="894"/>
      <c r="E33" s="894"/>
      <c r="F33" s="894"/>
      <c r="G33" s="894"/>
      <c r="H33" s="899">
        <f>((H28/H18)^(1/10))-1</f>
        <v>5.3833535257362897E-2</v>
      </c>
      <c r="I33" s="900"/>
      <c r="J33" s="900"/>
      <c r="K33" s="901">
        <f>((K28/K18)^(1/10))-1</f>
        <v>7.9160521550063478E-2</v>
      </c>
      <c r="L33" s="902">
        <f>((L28/L18)^(1/10))-1</f>
        <v>5.3771585886348339E-2</v>
      </c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</row>
    <row r="34" spans="1:30" s="573" customFormat="1" x14ac:dyDescent="0.2">
      <c r="A34" s="573" t="s">
        <v>323</v>
      </c>
      <c r="B34" s="903"/>
      <c r="C34" s="904"/>
      <c r="H34" s="905"/>
      <c r="I34" s="906"/>
      <c r="J34" s="906"/>
      <c r="K34" s="906"/>
      <c r="L34" s="906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</row>
    <row r="35" spans="1:30" s="573" customFormat="1" x14ac:dyDescent="0.2">
      <c r="A35" s="643"/>
      <c r="M35" s="907"/>
      <c r="Z35" s="908"/>
    </row>
    <row r="36" spans="1:30" s="573" customFormat="1" x14ac:dyDescent="0.2">
      <c r="B36" s="908"/>
      <c r="M36" s="907"/>
      <c r="Z36" s="908"/>
    </row>
    <row r="37" spans="1:30" s="573" customFormat="1" x14ac:dyDescent="0.2">
      <c r="M37" s="907"/>
      <c r="Z37" s="908"/>
    </row>
    <row r="38" spans="1:30" s="573" customFormat="1" x14ac:dyDescent="0.2">
      <c r="A38" s="647"/>
      <c r="M38" s="907"/>
      <c r="Z38" s="908"/>
    </row>
    <row r="39" spans="1:30" s="573" customFormat="1" x14ac:dyDescent="0.2">
      <c r="M39" s="907"/>
      <c r="Z39" s="908"/>
    </row>
    <row r="40" spans="1:30" s="573" customFormat="1" ht="15.75" x14ac:dyDescent="0.25">
      <c r="A40" s="646" t="s">
        <v>272</v>
      </c>
      <c r="M40" s="907"/>
      <c r="Z40" s="908"/>
    </row>
    <row r="41" spans="1:30" s="573" customFormat="1" x14ac:dyDescent="0.2">
      <c r="A41" s="643"/>
      <c r="M41" s="907"/>
    </row>
    <row r="42" spans="1:30" ht="13.5" thickBot="1" x14ac:dyDescent="0.25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</row>
    <row r="43" spans="1:30" x14ac:dyDescent="0.2">
      <c r="A43" s="1385" t="s">
        <v>132</v>
      </c>
      <c r="B43" s="1387" t="s">
        <v>199</v>
      </c>
      <c r="C43" s="1389" t="s">
        <v>266</v>
      </c>
      <c r="D43" s="1384"/>
      <c r="E43" s="1384"/>
      <c r="F43" s="1394"/>
      <c r="G43" s="573"/>
      <c r="H43" s="573"/>
      <c r="I43" s="573"/>
      <c r="J43" s="573"/>
      <c r="K43" s="573"/>
      <c r="L43" s="573"/>
    </row>
    <row r="44" spans="1:30" ht="13.5" thickBot="1" x14ac:dyDescent="0.25">
      <c r="A44" s="1386"/>
      <c r="B44" s="1388"/>
      <c r="C44" s="486" t="s">
        <v>268</v>
      </c>
      <c r="D44" s="485" t="s">
        <v>269</v>
      </c>
      <c r="E44" s="485" t="s">
        <v>270</v>
      </c>
      <c r="F44" s="865" t="s">
        <v>271</v>
      </c>
      <c r="G44" s="573"/>
      <c r="H44" s="573"/>
      <c r="I44" s="573"/>
      <c r="J44" s="573"/>
      <c r="K44" s="573"/>
      <c r="L44" s="573"/>
    </row>
    <row r="45" spans="1:30" x14ac:dyDescent="0.2">
      <c r="A45" s="358"/>
      <c r="B45" s="648"/>
      <c r="C45" s="361"/>
      <c r="D45" s="360"/>
      <c r="E45" s="360"/>
      <c r="F45" s="649"/>
      <c r="G45" s="573"/>
      <c r="H45" s="573"/>
      <c r="I45" s="573"/>
      <c r="J45" s="573"/>
      <c r="K45" s="573"/>
      <c r="L45" s="573"/>
    </row>
    <row r="46" spans="1:30" x14ac:dyDescent="0.2">
      <c r="A46" s="1699">
        <v>1995</v>
      </c>
      <c r="B46" s="1700">
        <f t="shared" ref="B46:B64" si="3">SUM(C46:F46)</f>
        <v>31</v>
      </c>
      <c r="C46" s="1694">
        <v>3</v>
      </c>
      <c r="D46" s="1665">
        <v>4</v>
      </c>
      <c r="E46" s="1665">
        <v>11</v>
      </c>
      <c r="F46" s="1693">
        <v>13</v>
      </c>
      <c r="G46" s="573"/>
      <c r="H46" s="908"/>
      <c r="I46" s="573"/>
      <c r="J46" s="573"/>
      <c r="K46" s="573"/>
      <c r="L46" s="573"/>
    </row>
    <row r="47" spans="1:30" x14ac:dyDescent="0.2">
      <c r="A47" s="909">
        <v>1996</v>
      </c>
      <c r="B47" s="910">
        <f t="shared" si="3"/>
        <v>38</v>
      </c>
      <c r="C47" s="872">
        <v>5</v>
      </c>
      <c r="D47" s="794">
        <v>8</v>
      </c>
      <c r="E47" s="794">
        <v>16</v>
      </c>
      <c r="F47" s="871">
        <v>9</v>
      </c>
      <c r="G47" s="573"/>
      <c r="H47" s="908"/>
      <c r="I47" s="573"/>
      <c r="J47" s="573"/>
      <c r="K47" s="573"/>
      <c r="L47" s="573"/>
    </row>
    <row r="48" spans="1:30" x14ac:dyDescent="0.2">
      <c r="A48" s="1699">
        <v>1997</v>
      </c>
      <c r="B48" s="1700">
        <f t="shared" si="3"/>
        <v>52</v>
      </c>
      <c r="C48" s="1694">
        <v>8</v>
      </c>
      <c r="D48" s="1665">
        <v>15</v>
      </c>
      <c r="E48" s="1665">
        <v>21</v>
      </c>
      <c r="F48" s="1693">
        <v>8</v>
      </c>
      <c r="G48" s="573"/>
      <c r="H48" s="908"/>
      <c r="I48" s="573"/>
      <c r="J48" s="573"/>
      <c r="K48" s="573"/>
      <c r="L48" s="573"/>
    </row>
    <row r="49" spans="1:12" x14ac:dyDescent="0.2">
      <c r="A49" s="909">
        <v>1998</v>
      </c>
      <c r="B49" s="910">
        <f t="shared" si="3"/>
        <v>50</v>
      </c>
      <c r="C49" s="872">
        <v>13</v>
      </c>
      <c r="D49" s="794">
        <v>15</v>
      </c>
      <c r="E49" s="794">
        <v>22</v>
      </c>
      <c r="F49" s="871">
        <v>0</v>
      </c>
      <c r="G49" s="573"/>
      <c r="H49" s="908"/>
      <c r="I49" s="573"/>
      <c r="J49" s="573"/>
      <c r="K49" s="573"/>
      <c r="L49" s="573"/>
    </row>
    <row r="50" spans="1:12" x14ac:dyDescent="0.2">
      <c r="A50" s="1699">
        <v>1999</v>
      </c>
      <c r="B50" s="1700">
        <f t="shared" si="3"/>
        <v>47</v>
      </c>
      <c r="C50" s="1694">
        <v>11</v>
      </c>
      <c r="D50" s="1665">
        <v>18</v>
      </c>
      <c r="E50" s="1665">
        <v>18</v>
      </c>
      <c r="F50" s="1693">
        <v>0</v>
      </c>
      <c r="G50" s="573"/>
      <c r="H50" s="908"/>
      <c r="I50" s="573"/>
      <c r="J50" s="573"/>
      <c r="K50" s="573"/>
      <c r="L50" s="573"/>
    </row>
    <row r="51" spans="1:12" x14ac:dyDescent="0.2">
      <c r="A51" s="909">
        <v>2000</v>
      </c>
      <c r="B51" s="910">
        <f t="shared" si="3"/>
        <v>50</v>
      </c>
      <c r="C51" s="872">
        <v>12</v>
      </c>
      <c r="D51" s="794">
        <v>20</v>
      </c>
      <c r="E51" s="794">
        <v>18</v>
      </c>
      <c r="F51" s="871">
        <v>0</v>
      </c>
      <c r="G51" s="573"/>
      <c r="H51" s="908"/>
      <c r="I51" s="573"/>
      <c r="J51" s="573"/>
      <c r="K51" s="573"/>
      <c r="L51" s="573"/>
    </row>
    <row r="52" spans="1:12" x14ac:dyDescent="0.2">
      <c r="A52" s="1699">
        <v>2001</v>
      </c>
      <c r="B52" s="1700">
        <f t="shared" si="3"/>
        <v>59</v>
      </c>
      <c r="C52" s="1694">
        <v>21</v>
      </c>
      <c r="D52" s="1665">
        <v>21</v>
      </c>
      <c r="E52" s="1665">
        <v>17</v>
      </c>
      <c r="F52" s="1693">
        <v>0</v>
      </c>
      <c r="G52" s="573"/>
      <c r="H52" s="908"/>
      <c r="I52" s="573"/>
      <c r="J52" s="573"/>
      <c r="K52" s="573"/>
      <c r="L52" s="573"/>
    </row>
    <row r="53" spans="1:12" x14ac:dyDescent="0.2">
      <c r="A53" s="909">
        <v>2002</v>
      </c>
      <c r="B53" s="910">
        <f t="shared" si="3"/>
        <v>76</v>
      </c>
      <c r="C53" s="872">
        <v>30</v>
      </c>
      <c r="D53" s="794">
        <v>26</v>
      </c>
      <c r="E53" s="794">
        <v>20</v>
      </c>
      <c r="F53" s="871">
        <v>0</v>
      </c>
      <c r="G53" s="573"/>
      <c r="H53" s="908"/>
      <c r="I53" s="573"/>
      <c r="J53" s="573"/>
      <c r="K53" s="573"/>
      <c r="L53" s="573"/>
    </row>
    <row r="54" spans="1:12" x14ac:dyDescent="0.2">
      <c r="A54" s="1699">
        <v>2003</v>
      </c>
      <c r="B54" s="1700">
        <f t="shared" si="3"/>
        <v>82</v>
      </c>
      <c r="C54" s="1694">
        <v>35</v>
      </c>
      <c r="D54" s="1665">
        <v>21</v>
      </c>
      <c r="E54" s="1665">
        <v>26</v>
      </c>
      <c r="F54" s="1693">
        <v>0</v>
      </c>
      <c r="G54" s="573"/>
      <c r="H54" s="908"/>
      <c r="I54" s="573"/>
      <c r="J54" s="573"/>
      <c r="K54" s="573"/>
      <c r="L54" s="573"/>
    </row>
    <row r="55" spans="1:12" x14ac:dyDescent="0.2">
      <c r="A55" s="909">
        <v>2004</v>
      </c>
      <c r="B55" s="910">
        <f t="shared" si="3"/>
        <v>85</v>
      </c>
      <c r="C55" s="872">
        <v>35</v>
      </c>
      <c r="D55" s="794">
        <v>23</v>
      </c>
      <c r="E55" s="794">
        <v>27</v>
      </c>
      <c r="F55" s="871">
        <v>0</v>
      </c>
      <c r="G55" s="573"/>
      <c r="H55" s="908"/>
      <c r="I55" s="573"/>
      <c r="J55" s="573"/>
      <c r="K55" s="573"/>
      <c r="L55" s="573"/>
    </row>
    <row r="56" spans="1:12" x14ac:dyDescent="0.2">
      <c r="A56" s="1699">
        <v>2005</v>
      </c>
      <c r="B56" s="1700">
        <f t="shared" si="3"/>
        <v>80</v>
      </c>
      <c r="C56" s="1694">
        <v>34</v>
      </c>
      <c r="D56" s="1665">
        <v>22</v>
      </c>
      <c r="E56" s="1665">
        <v>24</v>
      </c>
      <c r="F56" s="1693">
        <v>0</v>
      </c>
      <c r="G56" s="573"/>
      <c r="H56" s="908"/>
      <c r="I56" s="573"/>
      <c r="J56" s="573"/>
      <c r="K56" s="573"/>
      <c r="L56" s="573"/>
    </row>
    <row r="57" spans="1:12" x14ac:dyDescent="0.2">
      <c r="A57" s="909">
        <v>2006</v>
      </c>
      <c r="B57" s="910">
        <f t="shared" si="3"/>
        <v>83</v>
      </c>
      <c r="C57" s="872">
        <v>36</v>
      </c>
      <c r="D57" s="794">
        <v>23</v>
      </c>
      <c r="E57" s="794">
        <v>24</v>
      </c>
      <c r="F57" s="871">
        <v>0</v>
      </c>
      <c r="G57" s="573"/>
      <c r="H57" s="908"/>
      <c r="I57" s="573"/>
      <c r="J57" s="573"/>
      <c r="K57" s="573"/>
      <c r="L57" s="573"/>
    </row>
    <row r="58" spans="1:12" x14ac:dyDescent="0.2">
      <c r="A58" s="1699">
        <v>2007</v>
      </c>
      <c r="B58" s="1700">
        <f t="shared" si="3"/>
        <v>98</v>
      </c>
      <c r="C58" s="1694">
        <v>41</v>
      </c>
      <c r="D58" s="1665">
        <v>23</v>
      </c>
      <c r="E58" s="1665">
        <v>34</v>
      </c>
      <c r="F58" s="1693">
        <v>0</v>
      </c>
      <c r="G58" s="573"/>
      <c r="H58" s="908"/>
      <c r="I58" s="573"/>
      <c r="J58" s="573"/>
      <c r="K58" s="573"/>
      <c r="L58" s="573"/>
    </row>
    <row r="59" spans="1:12" ht="23.25" x14ac:dyDescent="0.35">
      <c r="A59" s="909">
        <v>2008</v>
      </c>
      <c r="B59" s="1427"/>
      <c r="C59" s="872">
        <v>42</v>
      </c>
      <c r="D59" s="794">
        <v>24</v>
      </c>
      <c r="E59" s="794">
        <v>42</v>
      </c>
      <c r="F59" s="871">
        <v>0</v>
      </c>
      <c r="G59" s="573"/>
      <c r="H59" s="908"/>
      <c r="I59" s="573"/>
      <c r="J59" s="573"/>
      <c r="K59" s="573"/>
      <c r="L59" s="573"/>
    </row>
    <row r="60" spans="1:12" x14ac:dyDescent="0.2">
      <c r="A60" s="1699">
        <v>2009</v>
      </c>
      <c r="B60" s="1700">
        <f t="shared" si="3"/>
        <v>110</v>
      </c>
      <c r="C60" s="1694">
        <v>40</v>
      </c>
      <c r="D60" s="1665">
        <v>27</v>
      </c>
      <c r="E60" s="1665">
        <v>43</v>
      </c>
      <c r="F60" s="1693">
        <v>0</v>
      </c>
      <c r="G60" s="573"/>
      <c r="H60" s="908"/>
      <c r="I60" s="573"/>
      <c r="J60" s="573"/>
      <c r="K60" s="573"/>
      <c r="L60" s="573"/>
    </row>
    <row r="61" spans="1:12" x14ac:dyDescent="0.2">
      <c r="A61" s="911">
        <v>2010</v>
      </c>
      <c r="B61" s="910">
        <f t="shared" si="3"/>
        <v>118</v>
      </c>
      <c r="C61" s="875">
        <v>46</v>
      </c>
      <c r="D61" s="876">
        <v>26</v>
      </c>
      <c r="E61" s="876">
        <v>46</v>
      </c>
      <c r="F61" s="871">
        <v>0</v>
      </c>
      <c r="G61" s="573"/>
      <c r="H61" s="908"/>
      <c r="I61" s="573"/>
      <c r="J61" s="573"/>
      <c r="K61" s="573"/>
      <c r="L61" s="573"/>
    </row>
    <row r="62" spans="1:12" x14ac:dyDescent="0.2">
      <c r="A62" s="1699">
        <v>2011</v>
      </c>
      <c r="B62" s="1700">
        <f t="shared" si="3"/>
        <v>131</v>
      </c>
      <c r="C62" s="1694">
        <v>46</v>
      </c>
      <c r="D62" s="1665">
        <v>30</v>
      </c>
      <c r="E62" s="1665">
        <v>55</v>
      </c>
      <c r="F62" s="1693">
        <v>0</v>
      </c>
      <c r="G62" s="573"/>
      <c r="H62" s="908"/>
      <c r="I62" s="573"/>
      <c r="J62" s="573"/>
      <c r="K62" s="573"/>
      <c r="L62" s="573"/>
    </row>
    <row r="63" spans="1:12" x14ac:dyDescent="0.2">
      <c r="A63" s="911">
        <v>2012</v>
      </c>
      <c r="B63" s="912">
        <f>SUM(C63:F63)</f>
        <v>132</v>
      </c>
      <c r="C63" s="875">
        <v>50</v>
      </c>
      <c r="D63" s="876">
        <v>30</v>
      </c>
      <c r="E63" s="876">
        <v>52</v>
      </c>
      <c r="F63" s="913">
        <v>0</v>
      </c>
      <c r="G63" s="573"/>
      <c r="H63" s="908"/>
      <c r="I63" s="573"/>
      <c r="J63" s="573"/>
      <c r="K63" s="573"/>
      <c r="L63" s="573"/>
    </row>
    <row r="64" spans="1:12" x14ac:dyDescent="0.2">
      <c r="A64" s="1699">
        <v>2013</v>
      </c>
      <c r="B64" s="1700">
        <f t="shared" si="3"/>
        <v>139</v>
      </c>
      <c r="C64" s="1694">
        <v>54</v>
      </c>
      <c r="D64" s="1665">
        <v>39</v>
      </c>
      <c r="E64" s="1665">
        <v>46</v>
      </c>
      <c r="F64" s="1693">
        <v>0</v>
      </c>
      <c r="G64" s="573"/>
      <c r="H64" s="908"/>
      <c r="I64" s="573"/>
      <c r="J64" s="573"/>
      <c r="K64" s="573"/>
      <c r="L64" s="573"/>
    </row>
    <row r="65" spans="1:12" x14ac:dyDescent="0.2">
      <c r="A65" s="911">
        <v>2014</v>
      </c>
      <c r="B65" s="912">
        <f>SUM(C65:F65)</f>
        <v>156</v>
      </c>
      <c r="C65" s="875">
        <v>65</v>
      </c>
      <c r="D65" s="876">
        <v>44</v>
      </c>
      <c r="E65" s="876">
        <v>47</v>
      </c>
      <c r="F65" s="913">
        <v>0</v>
      </c>
      <c r="G65" s="573"/>
      <c r="H65" s="908"/>
      <c r="I65" s="573"/>
      <c r="J65" s="573"/>
      <c r="K65" s="573"/>
      <c r="L65" s="573"/>
    </row>
    <row r="66" spans="1:12" ht="12.75" customHeight="1" x14ac:dyDescent="0.2">
      <c r="A66" s="1699" t="s">
        <v>136</v>
      </c>
      <c r="B66" s="1700">
        <f>SUM(C66:F66)</f>
        <v>165</v>
      </c>
      <c r="C66" s="1694">
        <v>62</v>
      </c>
      <c r="D66" s="1665">
        <v>41</v>
      </c>
      <c r="E66" s="1665">
        <v>62</v>
      </c>
      <c r="F66" s="1693">
        <v>0</v>
      </c>
      <c r="G66" s="573"/>
      <c r="H66" s="908"/>
      <c r="I66" s="573"/>
      <c r="J66" s="573"/>
      <c r="K66" s="573"/>
      <c r="L66" s="573"/>
    </row>
    <row r="67" spans="1:12" ht="15" customHeight="1" thickBot="1" x14ac:dyDescent="0.25">
      <c r="A67" s="911"/>
      <c r="B67" s="911"/>
      <c r="C67" s="875"/>
      <c r="D67" s="876"/>
      <c r="E67" s="876"/>
      <c r="F67" s="914"/>
      <c r="G67" s="573"/>
      <c r="H67" s="573"/>
      <c r="I67" s="573"/>
      <c r="J67" s="573"/>
      <c r="K67" s="573"/>
      <c r="L67" s="573"/>
    </row>
    <row r="68" spans="1:12" ht="21" customHeight="1" x14ac:dyDescent="0.2">
      <c r="A68" s="915" t="s">
        <v>137</v>
      </c>
      <c r="B68" s="916">
        <f>(B66/B65)-1</f>
        <v>5.7692307692307709E-2</v>
      </c>
      <c r="C68" s="917"/>
      <c r="D68" s="917"/>
      <c r="E68" s="917"/>
      <c r="F68" s="917"/>
      <c r="G68" s="573"/>
      <c r="H68" s="573"/>
      <c r="I68" s="573"/>
      <c r="J68" s="573"/>
      <c r="K68" s="573"/>
      <c r="L68" s="573"/>
    </row>
    <row r="69" spans="1:12" ht="21" customHeight="1" x14ac:dyDescent="0.2">
      <c r="A69" s="1701" t="s">
        <v>138</v>
      </c>
      <c r="B69" s="1702">
        <f>((B66/B61)^(1/5))-1</f>
        <v>6.9351264654022637E-2</v>
      </c>
      <c r="C69" s="645"/>
      <c r="D69" s="645"/>
      <c r="E69" s="645"/>
      <c r="F69" s="645"/>
      <c r="G69" s="573"/>
      <c r="H69" s="573"/>
      <c r="I69" s="573"/>
      <c r="J69" s="573"/>
      <c r="K69" s="573"/>
      <c r="L69" s="573"/>
    </row>
    <row r="70" spans="1:12" ht="18.75" customHeight="1" x14ac:dyDescent="0.2">
      <c r="A70" s="918" t="s">
        <v>144</v>
      </c>
      <c r="B70" s="919">
        <f>(B66/B56)-1</f>
        <v>1.0625</v>
      </c>
      <c r="C70" s="645"/>
      <c r="D70" s="645"/>
      <c r="E70" s="645"/>
      <c r="F70" s="645"/>
      <c r="G70" s="573"/>
      <c r="H70" s="573"/>
      <c r="I70" s="573"/>
      <c r="J70" s="573"/>
      <c r="K70" s="573"/>
      <c r="L70" s="573"/>
    </row>
    <row r="71" spans="1:12" ht="13.5" thickBot="1" x14ac:dyDescent="0.25">
      <c r="A71" s="1703" t="s">
        <v>140</v>
      </c>
      <c r="B71" s="1704">
        <f>((B66/B56)^(1/10))-1</f>
        <v>7.507656674537122E-2</v>
      </c>
      <c r="C71" s="645"/>
      <c r="D71" s="645"/>
      <c r="E71" s="645"/>
      <c r="F71" s="645"/>
      <c r="G71" s="573"/>
      <c r="H71" s="573"/>
      <c r="I71" s="573"/>
      <c r="J71" s="573"/>
      <c r="K71" s="573"/>
      <c r="L71" s="573"/>
    </row>
    <row r="72" spans="1:12" x14ac:dyDescent="0.2">
      <c r="A72" s="573" t="s">
        <v>323</v>
      </c>
      <c r="B72" s="903"/>
      <c r="C72" s="573"/>
      <c r="D72" s="573"/>
      <c r="E72" s="573"/>
      <c r="F72" s="573"/>
      <c r="G72" s="573"/>
      <c r="H72" s="573"/>
      <c r="I72" s="573"/>
      <c r="J72" s="573"/>
      <c r="K72" s="573"/>
      <c r="L72" s="573"/>
    </row>
    <row r="73" spans="1:12" x14ac:dyDescent="0.2">
      <c r="A73" s="643"/>
      <c r="B73" s="573"/>
      <c r="C73" s="573"/>
      <c r="D73" s="573"/>
      <c r="E73" s="573"/>
      <c r="F73" s="573"/>
    </row>
  </sheetData>
  <autoFilter ref="A1:A73"/>
  <mergeCells count="7">
    <mergeCell ref="A5:A6"/>
    <mergeCell ref="B5:B6"/>
    <mergeCell ref="C5:G5"/>
    <mergeCell ref="H5:L5"/>
    <mergeCell ref="A43:A44"/>
    <mergeCell ref="B43:B44"/>
    <mergeCell ref="C43:F43"/>
  </mergeCells>
  <pageMargins left="0.83" right="0.59" top="0.94" bottom="1" header="0" footer="0"/>
  <pageSetup paperSize="9" scale="63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view="pageBreakPreview" zoomScaleNormal="55" zoomScaleSheetLayoutView="100" workbookViewId="0">
      <selection activeCell="O30" sqref="O30"/>
    </sheetView>
  </sheetViews>
  <sheetFormatPr baseColWidth="10" defaultRowHeight="12.75" x14ac:dyDescent="0.2"/>
  <cols>
    <col min="1" max="1" width="5" style="573" customWidth="1"/>
    <col min="2" max="2" width="22.140625" style="157" customWidth="1"/>
    <col min="3" max="3" width="15" style="157" customWidth="1"/>
    <col min="4" max="4" width="13.28515625" style="157" customWidth="1"/>
    <col min="5" max="5" width="12.7109375" style="157" customWidth="1"/>
    <col min="6" max="6" width="14" style="157" customWidth="1"/>
    <col min="7" max="7" width="11" style="157" customWidth="1"/>
    <col min="8" max="8" width="12.42578125" style="157" customWidth="1"/>
    <col min="9" max="9" width="11.7109375" style="157" customWidth="1"/>
    <col min="10" max="10" width="11" style="157" customWidth="1"/>
    <col min="11" max="11" width="12.28515625" style="157" customWidth="1"/>
    <col min="12" max="256" width="11.42578125" style="157"/>
    <col min="257" max="257" width="5" style="157" customWidth="1"/>
    <col min="258" max="258" width="22.140625" style="157" customWidth="1"/>
    <col min="259" max="259" width="15" style="157" customWidth="1"/>
    <col min="260" max="260" width="13.28515625" style="157" customWidth="1"/>
    <col min="261" max="261" width="12.7109375" style="157" customWidth="1"/>
    <col min="262" max="262" width="14" style="157" customWidth="1"/>
    <col min="263" max="263" width="11" style="157" customWidth="1"/>
    <col min="264" max="264" width="12.42578125" style="157" customWidth="1"/>
    <col min="265" max="265" width="11.7109375" style="157" customWidth="1"/>
    <col min="266" max="266" width="11" style="157" customWidth="1"/>
    <col min="267" max="267" width="12.28515625" style="157" customWidth="1"/>
    <col min="268" max="512" width="11.42578125" style="157"/>
    <col min="513" max="513" width="5" style="157" customWidth="1"/>
    <col min="514" max="514" width="22.140625" style="157" customWidth="1"/>
    <col min="515" max="515" width="15" style="157" customWidth="1"/>
    <col min="516" max="516" width="13.28515625" style="157" customWidth="1"/>
    <col min="517" max="517" width="12.7109375" style="157" customWidth="1"/>
    <col min="518" max="518" width="14" style="157" customWidth="1"/>
    <col min="519" max="519" width="11" style="157" customWidth="1"/>
    <col min="520" max="520" width="12.42578125" style="157" customWidth="1"/>
    <col min="521" max="521" width="11.7109375" style="157" customWidth="1"/>
    <col min="522" max="522" width="11" style="157" customWidth="1"/>
    <col min="523" max="523" width="12.28515625" style="157" customWidth="1"/>
    <col min="524" max="768" width="11.42578125" style="157"/>
    <col min="769" max="769" width="5" style="157" customWidth="1"/>
    <col min="770" max="770" width="22.140625" style="157" customWidth="1"/>
    <col min="771" max="771" width="15" style="157" customWidth="1"/>
    <col min="772" max="772" width="13.28515625" style="157" customWidth="1"/>
    <col min="773" max="773" width="12.7109375" style="157" customWidth="1"/>
    <col min="774" max="774" width="14" style="157" customWidth="1"/>
    <col min="775" max="775" width="11" style="157" customWidth="1"/>
    <col min="776" max="776" width="12.42578125" style="157" customWidth="1"/>
    <col min="777" max="777" width="11.7109375" style="157" customWidth="1"/>
    <col min="778" max="778" width="11" style="157" customWidth="1"/>
    <col min="779" max="779" width="12.28515625" style="157" customWidth="1"/>
    <col min="780" max="1024" width="11.42578125" style="157"/>
    <col min="1025" max="1025" width="5" style="157" customWidth="1"/>
    <col min="1026" max="1026" width="22.140625" style="157" customWidth="1"/>
    <col min="1027" max="1027" width="15" style="157" customWidth="1"/>
    <col min="1028" max="1028" width="13.28515625" style="157" customWidth="1"/>
    <col min="1029" max="1029" width="12.7109375" style="157" customWidth="1"/>
    <col min="1030" max="1030" width="14" style="157" customWidth="1"/>
    <col min="1031" max="1031" width="11" style="157" customWidth="1"/>
    <col min="1032" max="1032" width="12.42578125" style="157" customWidth="1"/>
    <col min="1033" max="1033" width="11.7109375" style="157" customWidth="1"/>
    <col min="1034" max="1034" width="11" style="157" customWidth="1"/>
    <col min="1035" max="1035" width="12.28515625" style="157" customWidth="1"/>
    <col min="1036" max="1280" width="11.42578125" style="157"/>
    <col min="1281" max="1281" width="5" style="157" customWidth="1"/>
    <col min="1282" max="1282" width="22.140625" style="157" customWidth="1"/>
    <col min="1283" max="1283" width="15" style="157" customWidth="1"/>
    <col min="1284" max="1284" width="13.28515625" style="157" customWidth="1"/>
    <col min="1285" max="1285" width="12.7109375" style="157" customWidth="1"/>
    <col min="1286" max="1286" width="14" style="157" customWidth="1"/>
    <col min="1287" max="1287" width="11" style="157" customWidth="1"/>
    <col min="1288" max="1288" width="12.42578125" style="157" customWidth="1"/>
    <col min="1289" max="1289" width="11.7109375" style="157" customWidth="1"/>
    <col min="1290" max="1290" width="11" style="157" customWidth="1"/>
    <col min="1291" max="1291" width="12.28515625" style="157" customWidth="1"/>
    <col min="1292" max="1536" width="11.42578125" style="157"/>
    <col min="1537" max="1537" width="5" style="157" customWidth="1"/>
    <col min="1538" max="1538" width="22.140625" style="157" customWidth="1"/>
    <col min="1539" max="1539" width="15" style="157" customWidth="1"/>
    <col min="1540" max="1540" width="13.28515625" style="157" customWidth="1"/>
    <col min="1541" max="1541" width="12.7109375" style="157" customWidth="1"/>
    <col min="1542" max="1542" width="14" style="157" customWidth="1"/>
    <col min="1543" max="1543" width="11" style="157" customWidth="1"/>
    <col min="1544" max="1544" width="12.42578125" style="157" customWidth="1"/>
    <col min="1545" max="1545" width="11.7109375" style="157" customWidth="1"/>
    <col min="1546" max="1546" width="11" style="157" customWidth="1"/>
    <col min="1547" max="1547" width="12.28515625" style="157" customWidth="1"/>
    <col min="1548" max="1792" width="11.42578125" style="157"/>
    <col min="1793" max="1793" width="5" style="157" customWidth="1"/>
    <col min="1794" max="1794" width="22.140625" style="157" customWidth="1"/>
    <col min="1795" max="1795" width="15" style="157" customWidth="1"/>
    <col min="1796" max="1796" width="13.28515625" style="157" customWidth="1"/>
    <col min="1797" max="1797" width="12.7109375" style="157" customWidth="1"/>
    <col min="1798" max="1798" width="14" style="157" customWidth="1"/>
    <col min="1799" max="1799" width="11" style="157" customWidth="1"/>
    <col min="1800" max="1800" width="12.42578125" style="157" customWidth="1"/>
    <col min="1801" max="1801" width="11.7109375" style="157" customWidth="1"/>
    <col min="1802" max="1802" width="11" style="157" customWidth="1"/>
    <col min="1803" max="1803" width="12.28515625" style="157" customWidth="1"/>
    <col min="1804" max="2048" width="11.42578125" style="157"/>
    <col min="2049" max="2049" width="5" style="157" customWidth="1"/>
    <col min="2050" max="2050" width="22.140625" style="157" customWidth="1"/>
    <col min="2051" max="2051" width="15" style="157" customWidth="1"/>
    <col min="2052" max="2052" width="13.28515625" style="157" customWidth="1"/>
    <col min="2053" max="2053" width="12.7109375" style="157" customWidth="1"/>
    <col min="2054" max="2054" width="14" style="157" customWidth="1"/>
    <col min="2055" max="2055" width="11" style="157" customWidth="1"/>
    <col min="2056" max="2056" width="12.42578125" style="157" customWidth="1"/>
    <col min="2057" max="2057" width="11.7109375" style="157" customWidth="1"/>
    <col min="2058" max="2058" width="11" style="157" customWidth="1"/>
    <col min="2059" max="2059" width="12.28515625" style="157" customWidth="1"/>
    <col min="2060" max="2304" width="11.42578125" style="157"/>
    <col min="2305" max="2305" width="5" style="157" customWidth="1"/>
    <col min="2306" max="2306" width="22.140625" style="157" customWidth="1"/>
    <col min="2307" max="2307" width="15" style="157" customWidth="1"/>
    <col min="2308" max="2308" width="13.28515625" style="157" customWidth="1"/>
    <col min="2309" max="2309" width="12.7109375" style="157" customWidth="1"/>
    <col min="2310" max="2310" width="14" style="157" customWidth="1"/>
    <col min="2311" max="2311" width="11" style="157" customWidth="1"/>
    <col min="2312" max="2312" width="12.42578125" style="157" customWidth="1"/>
    <col min="2313" max="2313" width="11.7109375" style="157" customWidth="1"/>
    <col min="2314" max="2314" width="11" style="157" customWidth="1"/>
    <col min="2315" max="2315" width="12.28515625" style="157" customWidth="1"/>
    <col min="2316" max="2560" width="11.42578125" style="157"/>
    <col min="2561" max="2561" width="5" style="157" customWidth="1"/>
    <col min="2562" max="2562" width="22.140625" style="157" customWidth="1"/>
    <col min="2563" max="2563" width="15" style="157" customWidth="1"/>
    <col min="2564" max="2564" width="13.28515625" style="157" customWidth="1"/>
    <col min="2565" max="2565" width="12.7109375" style="157" customWidth="1"/>
    <col min="2566" max="2566" width="14" style="157" customWidth="1"/>
    <col min="2567" max="2567" width="11" style="157" customWidth="1"/>
    <col min="2568" max="2568" width="12.42578125" style="157" customWidth="1"/>
    <col min="2569" max="2569" width="11.7109375" style="157" customWidth="1"/>
    <col min="2570" max="2570" width="11" style="157" customWidth="1"/>
    <col min="2571" max="2571" width="12.28515625" style="157" customWidth="1"/>
    <col min="2572" max="2816" width="11.42578125" style="157"/>
    <col min="2817" max="2817" width="5" style="157" customWidth="1"/>
    <col min="2818" max="2818" width="22.140625" style="157" customWidth="1"/>
    <col min="2819" max="2819" width="15" style="157" customWidth="1"/>
    <col min="2820" max="2820" width="13.28515625" style="157" customWidth="1"/>
    <col min="2821" max="2821" width="12.7109375" style="157" customWidth="1"/>
    <col min="2822" max="2822" width="14" style="157" customWidth="1"/>
    <col min="2823" max="2823" width="11" style="157" customWidth="1"/>
    <col min="2824" max="2824" width="12.42578125" style="157" customWidth="1"/>
    <col min="2825" max="2825" width="11.7109375" style="157" customWidth="1"/>
    <col min="2826" max="2826" width="11" style="157" customWidth="1"/>
    <col min="2827" max="2827" width="12.28515625" style="157" customWidth="1"/>
    <col min="2828" max="3072" width="11.42578125" style="157"/>
    <col min="3073" max="3073" width="5" style="157" customWidth="1"/>
    <col min="3074" max="3074" width="22.140625" style="157" customWidth="1"/>
    <col min="3075" max="3075" width="15" style="157" customWidth="1"/>
    <col min="3076" max="3076" width="13.28515625" style="157" customWidth="1"/>
    <col min="3077" max="3077" width="12.7109375" style="157" customWidth="1"/>
    <col min="3078" max="3078" width="14" style="157" customWidth="1"/>
    <col min="3079" max="3079" width="11" style="157" customWidth="1"/>
    <col min="3080" max="3080" width="12.42578125" style="157" customWidth="1"/>
    <col min="3081" max="3081" width="11.7109375" style="157" customWidth="1"/>
    <col min="3082" max="3082" width="11" style="157" customWidth="1"/>
    <col min="3083" max="3083" width="12.28515625" style="157" customWidth="1"/>
    <col min="3084" max="3328" width="11.42578125" style="157"/>
    <col min="3329" max="3329" width="5" style="157" customWidth="1"/>
    <col min="3330" max="3330" width="22.140625" style="157" customWidth="1"/>
    <col min="3331" max="3331" width="15" style="157" customWidth="1"/>
    <col min="3332" max="3332" width="13.28515625" style="157" customWidth="1"/>
    <col min="3333" max="3333" width="12.7109375" style="157" customWidth="1"/>
    <col min="3334" max="3334" width="14" style="157" customWidth="1"/>
    <col min="3335" max="3335" width="11" style="157" customWidth="1"/>
    <col min="3336" max="3336" width="12.42578125" style="157" customWidth="1"/>
    <col min="3337" max="3337" width="11.7109375" style="157" customWidth="1"/>
    <col min="3338" max="3338" width="11" style="157" customWidth="1"/>
    <col min="3339" max="3339" width="12.28515625" style="157" customWidth="1"/>
    <col min="3340" max="3584" width="11.42578125" style="157"/>
    <col min="3585" max="3585" width="5" style="157" customWidth="1"/>
    <col min="3586" max="3586" width="22.140625" style="157" customWidth="1"/>
    <col min="3587" max="3587" width="15" style="157" customWidth="1"/>
    <col min="3588" max="3588" width="13.28515625" style="157" customWidth="1"/>
    <col min="3589" max="3589" width="12.7109375" style="157" customWidth="1"/>
    <col min="3590" max="3590" width="14" style="157" customWidth="1"/>
    <col min="3591" max="3591" width="11" style="157" customWidth="1"/>
    <col min="3592" max="3592" width="12.42578125" style="157" customWidth="1"/>
    <col min="3593" max="3593" width="11.7109375" style="157" customWidth="1"/>
    <col min="3594" max="3594" width="11" style="157" customWidth="1"/>
    <col min="3595" max="3595" width="12.28515625" style="157" customWidth="1"/>
    <col min="3596" max="3840" width="11.42578125" style="157"/>
    <col min="3841" max="3841" width="5" style="157" customWidth="1"/>
    <col min="3842" max="3842" width="22.140625" style="157" customWidth="1"/>
    <col min="3843" max="3843" width="15" style="157" customWidth="1"/>
    <col min="3844" max="3844" width="13.28515625" style="157" customWidth="1"/>
    <col min="3845" max="3845" width="12.7109375" style="157" customWidth="1"/>
    <col min="3846" max="3846" width="14" style="157" customWidth="1"/>
    <col min="3847" max="3847" width="11" style="157" customWidth="1"/>
    <col min="3848" max="3848" width="12.42578125" style="157" customWidth="1"/>
    <col min="3849" max="3849" width="11.7109375" style="157" customWidth="1"/>
    <col min="3850" max="3850" width="11" style="157" customWidth="1"/>
    <col min="3851" max="3851" width="12.28515625" style="157" customWidth="1"/>
    <col min="3852" max="4096" width="11.42578125" style="157"/>
    <col min="4097" max="4097" width="5" style="157" customWidth="1"/>
    <col min="4098" max="4098" width="22.140625" style="157" customWidth="1"/>
    <col min="4099" max="4099" width="15" style="157" customWidth="1"/>
    <col min="4100" max="4100" width="13.28515625" style="157" customWidth="1"/>
    <col min="4101" max="4101" width="12.7109375" style="157" customWidth="1"/>
    <col min="4102" max="4102" width="14" style="157" customWidth="1"/>
    <col min="4103" max="4103" width="11" style="157" customWidth="1"/>
    <col min="4104" max="4104" width="12.42578125" style="157" customWidth="1"/>
    <col min="4105" max="4105" width="11.7109375" style="157" customWidth="1"/>
    <col min="4106" max="4106" width="11" style="157" customWidth="1"/>
    <col min="4107" max="4107" width="12.28515625" style="157" customWidth="1"/>
    <col min="4108" max="4352" width="11.42578125" style="157"/>
    <col min="4353" max="4353" width="5" style="157" customWidth="1"/>
    <col min="4354" max="4354" width="22.140625" style="157" customWidth="1"/>
    <col min="4355" max="4355" width="15" style="157" customWidth="1"/>
    <col min="4356" max="4356" width="13.28515625" style="157" customWidth="1"/>
    <col min="4357" max="4357" width="12.7109375" style="157" customWidth="1"/>
    <col min="4358" max="4358" width="14" style="157" customWidth="1"/>
    <col min="4359" max="4359" width="11" style="157" customWidth="1"/>
    <col min="4360" max="4360" width="12.42578125" style="157" customWidth="1"/>
    <col min="4361" max="4361" width="11.7109375" style="157" customWidth="1"/>
    <col min="4362" max="4362" width="11" style="157" customWidth="1"/>
    <col min="4363" max="4363" width="12.28515625" style="157" customWidth="1"/>
    <col min="4364" max="4608" width="11.42578125" style="157"/>
    <col min="4609" max="4609" width="5" style="157" customWidth="1"/>
    <col min="4610" max="4610" width="22.140625" style="157" customWidth="1"/>
    <col min="4611" max="4611" width="15" style="157" customWidth="1"/>
    <col min="4612" max="4612" width="13.28515625" style="157" customWidth="1"/>
    <col min="4613" max="4613" width="12.7109375" style="157" customWidth="1"/>
    <col min="4614" max="4614" width="14" style="157" customWidth="1"/>
    <col min="4615" max="4615" width="11" style="157" customWidth="1"/>
    <col min="4616" max="4616" width="12.42578125" style="157" customWidth="1"/>
    <col min="4617" max="4617" width="11.7109375" style="157" customWidth="1"/>
    <col min="4618" max="4618" width="11" style="157" customWidth="1"/>
    <col min="4619" max="4619" width="12.28515625" style="157" customWidth="1"/>
    <col min="4620" max="4864" width="11.42578125" style="157"/>
    <col min="4865" max="4865" width="5" style="157" customWidth="1"/>
    <col min="4866" max="4866" width="22.140625" style="157" customWidth="1"/>
    <col min="4867" max="4867" width="15" style="157" customWidth="1"/>
    <col min="4868" max="4868" width="13.28515625" style="157" customWidth="1"/>
    <col min="4869" max="4869" width="12.7109375" style="157" customWidth="1"/>
    <col min="4870" max="4870" width="14" style="157" customWidth="1"/>
    <col min="4871" max="4871" width="11" style="157" customWidth="1"/>
    <col min="4872" max="4872" width="12.42578125" style="157" customWidth="1"/>
    <col min="4873" max="4873" width="11.7109375" style="157" customWidth="1"/>
    <col min="4874" max="4874" width="11" style="157" customWidth="1"/>
    <col min="4875" max="4875" width="12.28515625" style="157" customWidth="1"/>
    <col min="4876" max="5120" width="11.42578125" style="157"/>
    <col min="5121" max="5121" width="5" style="157" customWidth="1"/>
    <col min="5122" max="5122" width="22.140625" style="157" customWidth="1"/>
    <col min="5123" max="5123" width="15" style="157" customWidth="1"/>
    <col min="5124" max="5124" width="13.28515625" style="157" customWidth="1"/>
    <col min="5125" max="5125" width="12.7109375" style="157" customWidth="1"/>
    <col min="5126" max="5126" width="14" style="157" customWidth="1"/>
    <col min="5127" max="5127" width="11" style="157" customWidth="1"/>
    <col min="5128" max="5128" width="12.42578125" style="157" customWidth="1"/>
    <col min="5129" max="5129" width="11.7109375" style="157" customWidth="1"/>
    <col min="5130" max="5130" width="11" style="157" customWidth="1"/>
    <col min="5131" max="5131" width="12.28515625" style="157" customWidth="1"/>
    <col min="5132" max="5376" width="11.42578125" style="157"/>
    <col min="5377" max="5377" width="5" style="157" customWidth="1"/>
    <col min="5378" max="5378" width="22.140625" style="157" customWidth="1"/>
    <col min="5379" max="5379" width="15" style="157" customWidth="1"/>
    <col min="5380" max="5380" width="13.28515625" style="157" customWidth="1"/>
    <col min="5381" max="5381" width="12.7109375" style="157" customWidth="1"/>
    <col min="5382" max="5382" width="14" style="157" customWidth="1"/>
    <col min="5383" max="5383" width="11" style="157" customWidth="1"/>
    <col min="5384" max="5384" width="12.42578125" style="157" customWidth="1"/>
    <col min="5385" max="5385" width="11.7109375" style="157" customWidth="1"/>
    <col min="5386" max="5386" width="11" style="157" customWidth="1"/>
    <col min="5387" max="5387" width="12.28515625" style="157" customWidth="1"/>
    <col min="5388" max="5632" width="11.42578125" style="157"/>
    <col min="5633" max="5633" width="5" style="157" customWidth="1"/>
    <col min="5634" max="5634" width="22.140625" style="157" customWidth="1"/>
    <col min="5635" max="5635" width="15" style="157" customWidth="1"/>
    <col min="5636" max="5636" width="13.28515625" style="157" customWidth="1"/>
    <col min="5637" max="5637" width="12.7109375" style="157" customWidth="1"/>
    <col min="5638" max="5638" width="14" style="157" customWidth="1"/>
    <col min="5639" max="5639" width="11" style="157" customWidth="1"/>
    <col min="5640" max="5640" width="12.42578125" style="157" customWidth="1"/>
    <col min="5641" max="5641" width="11.7109375" style="157" customWidth="1"/>
    <col min="5642" max="5642" width="11" style="157" customWidth="1"/>
    <col min="5643" max="5643" width="12.28515625" style="157" customWidth="1"/>
    <col min="5644" max="5888" width="11.42578125" style="157"/>
    <col min="5889" max="5889" width="5" style="157" customWidth="1"/>
    <col min="5890" max="5890" width="22.140625" style="157" customWidth="1"/>
    <col min="5891" max="5891" width="15" style="157" customWidth="1"/>
    <col min="5892" max="5892" width="13.28515625" style="157" customWidth="1"/>
    <col min="5893" max="5893" width="12.7109375" style="157" customWidth="1"/>
    <col min="5894" max="5894" width="14" style="157" customWidth="1"/>
    <col min="5895" max="5895" width="11" style="157" customWidth="1"/>
    <col min="5896" max="5896" width="12.42578125" style="157" customWidth="1"/>
    <col min="5897" max="5897" width="11.7109375" style="157" customWidth="1"/>
    <col min="5898" max="5898" width="11" style="157" customWidth="1"/>
    <col min="5899" max="5899" width="12.28515625" style="157" customWidth="1"/>
    <col min="5900" max="6144" width="11.42578125" style="157"/>
    <col min="6145" max="6145" width="5" style="157" customWidth="1"/>
    <col min="6146" max="6146" width="22.140625" style="157" customWidth="1"/>
    <col min="6147" max="6147" width="15" style="157" customWidth="1"/>
    <col min="6148" max="6148" width="13.28515625" style="157" customWidth="1"/>
    <col min="6149" max="6149" width="12.7109375" style="157" customWidth="1"/>
    <col min="6150" max="6150" width="14" style="157" customWidth="1"/>
    <col min="6151" max="6151" width="11" style="157" customWidth="1"/>
    <col min="6152" max="6152" width="12.42578125" style="157" customWidth="1"/>
    <col min="6153" max="6153" width="11.7109375" style="157" customWidth="1"/>
    <col min="6154" max="6154" width="11" style="157" customWidth="1"/>
    <col min="6155" max="6155" width="12.28515625" style="157" customWidth="1"/>
    <col min="6156" max="6400" width="11.42578125" style="157"/>
    <col min="6401" max="6401" width="5" style="157" customWidth="1"/>
    <col min="6402" max="6402" width="22.140625" style="157" customWidth="1"/>
    <col min="6403" max="6403" width="15" style="157" customWidth="1"/>
    <col min="6404" max="6404" width="13.28515625" style="157" customWidth="1"/>
    <col min="6405" max="6405" width="12.7109375" style="157" customWidth="1"/>
    <col min="6406" max="6406" width="14" style="157" customWidth="1"/>
    <col min="6407" max="6407" width="11" style="157" customWidth="1"/>
    <col min="6408" max="6408" width="12.42578125" style="157" customWidth="1"/>
    <col min="6409" max="6409" width="11.7109375" style="157" customWidth="1"/>
    <col min="6410" max="6410" width="11" style="157" customWidth="1"/>
    <col min="6411" max="6411" width="12.28515625" style="157" customWidth="1"/>
    <col min="6412" max="6656" width="11.42578125" style="157"/>
    <col min="6657" max="6657" width="5" style="157" customWidth="1"/>
    <col min="6658" max="6658" width="22.140625" style="157" customWidth="1"/>
    <col min="6659" max="6659" width="15" style="157" customWidth="1"/>
    <col min="6660" max="6660" width="13.28515625" style="157" customWidth="1"/>
    <col min="6661" max="6661" width="12.7109375" style="157" customWidth="1"/>
    <col min="6662" max="6662" width="14" style="157" customWidth="1"/>
    <col min="6663" max="6663" width="11" style="157" customWidth="1"/>
    <col min="6664" max="6664" width="12.42578125" style="157" customWidth="1"/>
    <col min="6665" max="6665" width="11.7109375" style="157" customWidth="1"/>
    <col min="6666" max="6666" width="11" style="157" customWidth="1"/>
    <col min="6667" max="6667" width="12.28515625" style="157" customWidth="1"/>
    <col min="6668" max="6912" width="11.42578125" style="157"/>
    <col min="6913" max="6913" width="5" style="157" customWidth="1"/>
    <col min="6914" max="6914" width="22.140625" style="157" customWidth="1"/>
    <col min="6915" max="6915" width="15" style="157" customWidth="1"/>
    <col min="6916" max="6916" width="13.28515625" style="157" customWidth="1"/>
    <col min="6917" max="6917" width="12.7109375" style="157" customWidth="1"/>
    <col min="6918" max="6918" width="14" style="157" customWidth="1"/>
    <col min="6919" max="6919" width="11" style="157" customWidth="1"/>
    <col min="6920" max="6920" width="12.42578125" style="157" customWidth="1"/>
    <col min="6921" max="6921" width="11.7109375" style="157" customWidth="1"/>
    <col min="6922" max="6922" width="11" style="157" customWidth="1"/>
    <col min="6923" max="6923" width="12.28515625" style="157" customWidth="1"/>
    <col min="6924" max="7168" width="11.42578125" style="157"/>
    <col min="7169" max="7169" width="5" style="157" customWidth="1"/>
    <col min="7170" max="7170" width="22.140625" style="157" customWidth="1"/>
    <col min="7171" max="7171" width="15" style="157" customWidth="1"/>
    <col min="7172" max="7172" width="13.28515625" style="157" customWidth="1"/>
    <col min="7173" max="7173" width="12.7109375" style="157" customWidth="1"/>
    <col min="7174" max="7174" width="14" style="157" customWidth="1"/>
    <col min="7175" max="7175" width="11" style="157" customWidth="1"/>
    <col min="7176" max="7176" width="12.42578125" style="157" customWidth="1"/>
    <col min="7177" max="7177" width="11.7109375" style="157" customWidth="1"/>
    <col min="7178" max="7178" width="11" style="157" customWidth="1"/>
    <col min="7179" max="7179" width="12.28515625" style="157" customWidth="1"/>
    <col min="7180" max="7424" width="11.42578125" style="157"/>
    <col min="7425" max="7425" width="5" style="157" customWidth="1"/>
    <col min="7426" max="7426" width="22.140625" style="157" customWidth="1"/>
    <col min="7427" max="7427" width="15" style="157" customWidth="1"/>
    <col min="7428" max="7428" width="13.28515625" style="157" customWidth="1"/>
    <col min="7429" max="7429" width="12.7109375" style="157" customWidth="1"/>
    <col min="7430" max="7430" width="14" style="157" customWidth="1"/>
    <col min="7431" max="7431" width="11" style="157" customWidth="1"/>
    <col min="7432" max="7432" width="12.42578125" style="157" customWidth="1"/>
    <col min="7433" max="7433" width="11.7109375" style="157" customWidth="1"/>
    <col min="7434" max="7434" width="11" style="157" customWidth="1"/>
    <col min="7435" max="7435" width="12.28515625" style="157" customWidth="1"/>
    <col min="7436" max="7680" width="11.42578125" style="157"/>
    <col min="7681" max="7681" width="5" style="157" customWidth="1"/>
    <col min="7682" max="7682" width="22.140625" style="157" customWidth="1"/>
    <col min="7683" max="7683" width="15" style="157" customWidth="1"/>
    <col min="7684" max="7684" width="13.28515625" style="157" customWidth="1"/>
    <col min="7685" max="7685" width="12.7109375" style="157" customWidth="1"/>
    <col min="7686" max="7686" width="14" style="157" customWidth="1"/>
    <col min="7687" max="7687" width="11" style="157" customWidth="1"/>
    <col min="7688" max="7688" width="12.42578125" style="157" customWidth="1"/>
    <col min="7689" max="7689" width="11.7109375" style="157" customWidth="1"/>
    <col min="7690" max="7690" width="11" style="157" customWidth="1"/>
    <col min="7691" max="7691" width="12.28515625" style="157" customWidth="1"/>
    <col min="7692" max="7936" width="11.42578125" style="157"/>
    <col min="7937" max="7937" width="5" style="157" customWidth="1"/>
    <col min="7938" max="7938" width="22.140625" style="157" customWidth="1"/>
    <col min="7939" max="7939" width="15" style="157" customWidth="1"/>
    <col min="7940" max="7940" width="13.28515625" style="157" customWidth="1"/>
    <col min="7941" max="7941" width="12.7109375" style="157" customWidth="1"/>
    <col min="7942" max="7942" width="14" style="157" customWidth="1"/>
    <col min="7943" max="7943" width="11" style="157" customWidth="1"/>
    <col min="7944" max="7944" width="12.42578125" style="157" customWidth="1"/>
    <col min="7945" max="7945" width="11.7109375" style="157" customWidth="1"/>
    <col min="7946" max="7946" width="11" style="157" customWidth="1"/>
    <col min="7947" max="7947" width="12.28515625" style="157" customWidth="1"/>
    <col min="7948" max="8192" width="11.42578125" style="157"/>
    <col min="8193" max="8193" width="5" style="157" customWidth="1"/>
    <col min="8194" max="8194" width="22.140625" style="157" customWidth="1"/>
    <col min="8195" max="8195" width="15" style="157" customWidth="1"/>
    <col min="8196" max="8196" width="13.28515625" style="157" customWidth="1"/>
    <col min="8197" max="8197" width="12.7109375" style="157" customWidth="1"/>
    <col min="8198" max="8198" width="14" style="157" customWidth="1"/>
    <col min="8199" max="8199" width="11" style="157" customWidth="1"/>
    <col min="8200" max="8200" width="12.42578125" style="157" customWidth="1"/>
    <col min="8201" max="8201" width="11.7109375" style="157" customWidth="1"/>
    <col min="8202" max="8202" width="11" style="157" customWidth="1"/>
    <col min="8203" max="8203" width="12.28515625" style="157" customWidth="1"/>
    <col min="8204" max="8448" width="11.42578125" style="157"/>
    <col min="8449" max="8449" width="5" style="157" customWidth="1"/>
    <col min="8450" max="8450" width="22.140625" style="157" customWidth="1"/>
    <col min="8451" max="8451" width="15" style="157" customWidth="1"/>
    <col min="8452" max="8452" width="13.28515625" style="157" customWidth="1"/>
    <col min="8453" max="8453" width="12.7109375" style="157" customWidth="1"/>
    <col min="8454" max="8454" width="14" style="157" customWidth="1"/>
    <col min="8455" max="8455" width="11" style="157" customWidth="1"/>
    <col min="8456" max="8456" width="12.42578125" style="157" customWidth="1"/>
    <col min="8457" max="8457" width="11.7109375" style="157" customWidth="1"/>
    <col min="8458" max="8458" width="11" style="157" customWidth="1"/>
    <col min="8459" max="8459" width="12.28515625" style="157" customWidth="1"/>
    <col min="8460" max="8704" width="11.42578125" style="157"/>
    <col min="8705" max="8705" width="5" style="157" customWidth="1"/>
    <col min="8706" max="8706" width="22.140625" style="157" customWidth="1"/>
    <col min="8707" max="8707" width="15" style="157" customWidth="1"/>
    <col min="8708" max="8708" width="13.28515625" style="157" customWidth="1"/>
    <col min="8709" max="8709" width="12.7109375" style="157" customWidth="1"/>
    <col min="8710" max="8710" width="14" style="157" customWidth="1"/>
    <col min="8711" max="8711" width="11" style="157" customWidth="1"/>
    <col min="8712" max="8712" width="12.42578125" style="157" customWidth="1"/>
    <col min="8713" max="8713" width="11.7109375" style="157" customWidth="1"/>
    <col min="8714" max="8714" width="11" style="157" customWidth="1"/>
    <col min="8715" max="8715" width="12.28515625" style="157" customWidth="1"/>
    <col min="8716" max="8960" width="11.42578125" style="157"/>
    <col min="8961" max="8961" width="5" style="157" customWidth="1"/>
    <col min="8962" max="8962" width="22.140625" style="157" customWidth="1"/>
    <col min="8963" max="8963" width="15" style="157" customWidth="1"/>
    <col min="8964" max="8964" width="13.28515625" style="157" customWidth="1"/>
    <col min="8965" max="8965" width="12.7109375" style="157" customWidth="1"/>
    <col min="8966" max="8966" width="14" style="157" customWidth="1"/>
    <col min="8967" max="8967" width="11" style="157" customWidth="1"/>
    <col min="8968" max="8968" width="12.42578125" style="157" customWidth="1"/>
    <col min="8969" max="8969" width="11.7109375" style="157" customWidth="1"/>
    <col min="8970" max="8970" width="11" style="157" customWidth="1"/>
    <col min="8971" max="8971" width="12.28515625" style="157" customWidth="1"/>
    <col min="8972" max="9216" width="11.42578125" style="157"/>
    <col min="9217" max="9217" width="5" style="157" customWidth="1"/>
    <col min="9218" max="9218" width="22.140625" style="157" customWidth="1"/>
    <col min="9219" max="9219" width="15" style="157" customWidth="1"/>
    <col min="9220" max="9220" width="13.28515625" style="157" customWidth="1"/>
    <col min="9221" max="9221" width="12.7109375" style="157" customWidth="1"/>
    <col min="9222" max="9222" width="14" style="157" customWidth="1"/>
    <col min="9223" max="9223" width="11" style="157" customWidth="1"/>
    <col min="9224" max="9224" width="12.42578125" style="157" customWidth="1"/>
    <col min="9225" max="9225" width="11.7109375" style="157" customWidth="1"/>
    <col min="9226" max="9226" width="11" style="157" customWidth="1"/>
    <col min="9227" max="9227" width="12.28515625" style="157" customWidth="1"/>
    <col min="9228" max="9472" width="11.42578125" style="157"/>
    <col min="9473" max="9473" width="5" style="157" customWidth="1"/>
    <col min="9474" max="9474" width="22.140625" style="157" customWidth="1"/>
    <col min="9475" max="9475" width="15" style="157" customWidth="1"/>
    <col min="9476" max="9476" width="13.28515625" style="157" customWidth="1"/>
    <col min="9477" max="9477" width="12.7109375" style="157" customWidth="1"/>
    <col min="9478" max="9478" width="14" style="157" customWidth="1"/>
    <col min="9479" max="9479" width="11" style="157" customWidth="1"/>
    <col min="9480" max="9480" width="12.42578125" style="157" customWidth="1"/>
    <col min="9481" max="9481" width="11.7109375" style="157" customWidth="1"/>
    <col min="9482" max="9482" width="11" style="157" customWidth="1"/>
    <col min="9483" max="9483" width="12.28515625" style="157" customWidth="1"/>
    <col min="9484" max="9728" width="11.42578125" style="157"/>
    <col min="9729" max="9729" width="5" style="157" customWidth="1"/>
    <col min="9730" max="9730" width="22.140625" style="157" customWidth="1"/>
    <col min="9731" max="9731" width="15" style="157" customWidth="1"/>
    <col min="9732" max="9732" width="13.28515625" style="157" customWidth="1"/>
    <col min="9733" max="9733" width="12.7109375" style="157" customWidth="1"/>
    <col min="9734" max="9734" width="14" style="157" customWidth="1"/>
    <col min="9735" max="9735" width="11" style="157" customWidth="1"/>
    <col min="9736" max="9736" width="12.42578125" style="157" customWidth="1"/>
    <col min="9737" max="9737" width="11.7109375" style="157" customWidth="1"/>
    <col min="9738" max="9738" width="11" style="157" customWidth="1"/>
    <col min="9739" max="9739" width="12.28515625" style="157" customWidth="1"/>
    <col min="9740" max="9984" width="11.42578125" style="157"/>
    <col min="9985" max="9985" width="5" style="157" customWidth="1"/>
    <col min="9986" max="9986" width="22.140625" style="157" customWidth="1"/>
    <col min="9987" max="9987" width="15" style="157" customWidth="1"/>
    <col min="9988" max="9988" width="13.28515625" style="157" customWidth="1"/>
    <col min="9989" max="9989" width="12.7109375" style="157" customWidth="1"/>
    <col min="9990" max="9990" width="14" style="157" customWidth="1"/>
    <col min="9991" max="9991" width="11" style="157" customWidth="1"/>
    <col min="9992" max="9992" width="12.42578125" style="157" customWidth="1"/>
    <col min="9993" max="9993" width="11.7109375" style="157" customWidth="1"/>
    <col min="9994" max="9994" width="11" style="157" customWidth="1"/>
    <col min="9995" max="9995" width="12.28515625" style="157" customWidth="1"/>
    <col min="9996" max="10240" width="11.42578125" style="157"/>
    <col min="10241" max="10241" width="5" style="157" customWidth="1"/>
    <col min="10242" max="10242" width="22.140625" style="157" customWidth="1"/>
    <col min="10243" max="10243" width="15" style="157" customWidth="1"/>
    <col min="10244" max="10244" width="13.28515625" style="157" customWidth="1"/>
    <col min="10245" max="10245" width="12.7109375" style="157" customWidth="1"/>
    <col min="10246" max="10246" width="14" style="157" customWidth="1"/>
    <col min="10247" max="10247" width="11" style="157" customWidth="1"/>
    <col min="10248" max="10248" width="12.42578125" style="157" customWidth="1"/>
    <col min="10249" max="10249" width="11.7109375" style="157" customWidth="1"/>
    <col min="10250" max="10250" width="11" style="157" customWidth="1"/>
    <col min="10251" max="10251" width="12.28515625" style="157" customWidth="1"/>
    <col min="10252" max="10496" width="11.42578125" style="157"/>
    <col min="10497" max="10497" width="5" style="157" customWidth="1"/>
    <col min="10498" max="10498" width="22.140625" style="157" customWidth="1"/>
    <col min="10499" max="10499" width="15" style="157" customWidth="1"/>
    <col min="10500" max="10500" width="13.28515625" style="157" customWidth="1"/>
    <col min="10501" max="10501" width="12.7109375" style="157" customWidth="1"/>
    <col min="10502" max="10502" width="14" style="157" customWidth="1"/>
    <col min="10503" max="10503" width="11" style="157" customWidth="1"/>
    <col min="10504" max="10504" width="12.42578125" style="157" customWidth="1"/>
    <col min="10505" max="10505" width="11.7109375" style="157" customWidth="1"/>
    <col min="10506" max="10506" width="11" style="157" customWidth="1"/>
    <col min="10507" max="10507" width="12.28515625" style="157" customWidth="1"/>
    <col min="10508" max="10752" width="11.42578125" style="157"/>
    <col min="10753" max="10753" width="5" style="157" customWidth="1"/>
    <col min="10754" max="10754" width="22.140625" style="157" customWidth="1"/>
    <col min="10755" max="10755" width="15" style="157" customWidth="1"/>
    <col min="10756" max="10756" width="13.28515625" style="157" customWidth="1"/>
    <col min="10757" max="10757" width="12.7109375" style="157" customWidth="1"/>
    <col min="10758" max="10758" width="14" style="157" customWidth="1"/>
    <col min="10759" max="10759" width="11" style="157" customWidth="1"/>
    <col min="10760" max="10760" width="12.42578125" style="157" customWidth="1"/>
    <col min="10761" max="10761" width="11.7109375" style="157" customWidth="1"/>
    <col min="10762" max="10762" width="11" style="157" customWidth="1"/>
    <col min="10763" max="10763" width="12.28515625" style="157" customWidth="1"/>
    <col min="10764" max="11008" width="11.42578125" style="157"/>
    <col min="11009" max="11009" width="5" style="157" customWidth="1"/>
    <col min="11010" max="11010" width="22.140625" style="157" customWidth="1"/>
    <col min="11011" max="11011" width="15" style="157" customWidth="1"/>
    <col min="11012" max="11012" width="13.28515625" style="157" customWidth="1"/>
    <col min="11013" max="11013" width="12.7109375" style="157" customWidth="1"/>
    <col min="11014" max="11014" width="14" style="157" customWidth="1"/>
    <col min="11015" max="11015" width="11" style="157" customWidth="1"/>
    <col min="11016" max="11016" width="12.42578125" style="157" customWidth="1"/>
    <col min="11017" max="11017" width="11.7109375" style="157" customWidth="1"/>
    <col min="11018" max="11018" width="11" style="157" customWidth="1"/>
    <col min="11019" max="11019" width="12.28515625" style="157" customWidth="1"/>
    <col min="11020" max="11264" width="11.42578125" style="157"/>
    <col min="11265" max="11265" width="5" style="157" customWidth="1"/>
    <col min="11266" max="11266" width="22.140625" style="157" customWidth="1"/>
    <col min="11267" max="11267" width="15" style="157" customWidth="1"/>
    <col min="11268" max="11268" width="13.28515625" style="157" customWidth="1"/>
    <col min="11269" max="11269" width="12.7109375" style="157" customWidth="1"/>
    <col min="11270" max="11270" width="14" style="157" customWidth="1"/>
    <col min="11271" max="11271" width="11" style="157" customWidth="1"/>
    <col min="11272" max="11272" width="12.42578125" style="157" customWidth="1"/>
    <col min="11273" max="11273" width="11.7109375" style="157" customWidth="1"/>
    <col min="11274" max="11274" width="11" style="157" customWidth="1"/>
    <col min="11275" max="11275" width="12.28515625" style="157" customWidth="1"/>
    <col min="11276" max="11520" width="11.42578125" style="157"/>
    <col min="11521" max="11521" width="5" style="157" customWidth="1"/>
    <col min="11522" max="11522" width="22.140625" style="157" customWidth="1"/>
    <col min="11523" max="11523" width="15" style="157" customWidth="1"/>
    <col min="11524" max="11524" width="13.28515625" style="157" customWidth="1"/>
    <col min="11525" max="11525" width="12.7109375" style="157" customWidth="1"/>
    <col min="11526" max="11526" width="14" style="157" customWidth="1"/>
    <col min="11527" max="11527" width="11" style="157" customWidth="1"/>
    <col min="11528" max="11528" width="12.42578125" style="157" customWidth="1"/>
    <col min="11529" max="11529" width="11.7109375" style="157" customWidth="1"/>
    <col min="11530" max="11530" width="11" style="157" customWidth="1"/>
    <col min="11531" max="11531" width="12.28515625" style="157" customWidth="1"/>
    <col min="11532" max="11776" width="11.42578125" style="157"/>
    <col min="11777" max="11777" width="5" style="157" customWidth="1"/>
    <col min="11778" max="11778" width="22.140625" style="157" customWidth="1"/>
    <col min="11779" max="11779" width="15" style="157" customWidth="1"/>
    <col min="11780" max="11780" width="13.28515625" style="157" customWidth="1"/>
    <col min="11781" max="11781" width="12.7109375" style="157" customWidth="1"/>
    <col min="11782" max="11782" width="14" style="157" customWidth="1"/>
    <col min="11783" max="11783" width="11" style="157" customWidth="1"/>
    <col min="11784" max="11784" width="12.42578125" style="157" customWidth="1"/>
    <col min="11785" max="11785" width="11.7109375" style="157" customWidth="1"/>
    <col min="11786" max="11786" width="11" style="157" customWidth="1"/>
    <col min="11787" max="11787" width="12.28515625" style="157" customWidth="1"/>
    <col min="11788" max="12032" width="11.42578125" style="157"/>
    <col min="12033" max="12033" width="5" style="157" customWidth="1"/>
    <col min="12034" max="12034" width="22.140625" style="157" customWidth="1"/>
    <col min="12035" max="12035" width="15" style="157" customWidth="1"/>
    <col min="12036" max="12036" width="13.28515625" style="157" customWidth="1"/>
    <col min="12037" max="12037" width="12.7109375" style="157" customWidth="1"/>
    <col min="12038" max="12038" width="14" style="157" customWidth="1"/>
    <col min="12039" max="12039" width="11" style="157" customWidth="1"/>
    <col min="12040" max="12040" width="12.42578125" style="157" customWidth="1"/>
    <col min="12041" max="12041" width="11.7109375" style="157" customWidth="1"/>
    <col min="12042" max="12042" width="11" style="157" customWidth="1"/>
    <col min="12043" max="12043" width="12.28515625" style="157" customWidth="1"/>
    <col min="12044" max="12288" width="11.42578125" style="157"/>
    <col min="12289" max="12289" width="5" style="157" customWidth="1"/>
    <col min="12290" max="12290" width="22.140625" style="157" customWidth="1"/>
    <col min="12291" max="12291" width="15" style="157" customWidth="1"/>
    <col min="12292" max="12292" width="13.28515625" style="157" customWidth="1"/>
    <col min="12293" max="12293" width="12.7109375" style="157" customWidth="1"/>
    <col min="12294" max="12294" width="14" style="157" customWidth="1"/>
    <col min="12295" max="12295" width="11" style="157" customWidth="1"/>
    <col min="12296" max="12296" width="12.42578125" style="157" customWidth="1"/>
    <col min="12297" max="12297" width="11.7109375" style="157" customWidth="1"/>
    <col min="12298" max="12298" width="11" style="157" customWidth="1"/>
    <col min="12299" max="12299" width="12.28515625" style="157" customWidth="1"/>
    <col min="12300" max="12544" width="11.42578125" style="157"/>
    <col min="12545" max="12545" width="5" style="157" customWidth="1"/>
    <col min="12546" max="12546" width="22.140625" style="157" customWidth="1"/>
    <col min="12547" max="12547" width="15" style="157" customWidth="1"/>
    <col min="12548" max="12548" width="13.28515625" style="157" customWidth="1"/>
    <col min="12549" max="12549" width="12.7109375" style="157" customWidth="1"/>
    <col min="12550" max="12550" width="14" style="157" customWidth="1"/>
    <col min="12551" max="12551" width="11" style="157" customWidth="1"/>
    <col min="12552" max="12552" width="12.42578125" style="157" customWidth="1"/>
    <col min="12553" max="12553" width="11.7109375" style="157" customWidth="1"/>
    <col min="12554" max="12554" width="11" style="157" customWidth="1"/>
    <col min="12555" max="12555" width="12.28515625" style="157" customWidth="1"/>
    <col min="12556" max="12800" width="11.42578125" style="157"/>
    <col min="12801" max="12801" width="5" style="157" customWidth="1"/>
    <col min="12802" max="12802" width="22.140625" style="157" customWidth="1"/>
    <col min="12803" max="12803" width="15" style="157" customWidth="1"/>
    <col min="12804" max="12804" width="13.28515625" style="157" customWidth="1"/>
    <col min="12805" max="12805" width="12.7109375" style="157" customWidth="1"/>
    <col min="12806" max="12806" width="14" style="157" customWidth="1"/>
    <col min="12807" max="12807" width="11" style="157" customWidth="1"/>
    <col min="12808" max="12808" width="12.42578125" style="157" customWidth="1"/>
    <col min="12809" max="12809" width="11.7109375" style="157" customWidth="1"/>
    <col min="12810" max="12810" width="11" style="157" customWidth="1"/>
    <col min="12811" max="12811" width="12.28515625" style="157" customWidth="1"/>
    <col min="12812" max="13056" width="11.42578125" style="157"/>
    <col min="13057" max="13057" width="5" style="157" customWidth="1"/>
    <col min="13058" max="13058" width="22.140625" style="157" customWidth="1"/>
    <col min="13059" max="13059" width="15" style="157" customWidth="1"/>
    <col min="13060" max="13060" width="13.28515625" style="157" customWidth="1"/>
    <col min="13061" max="13061" width="12.7109375" style="157" customWidth="1"/>
    <col min="13062" max="13062" width="14" style="157" customWidth="1"/>
    <col min="13063" max="13063" width="11" style="157" customWidth="1"/>
    <col min="13064" max="13064" width="12.42578125" style="157" customWidth="1"/>
    <col min="13065" max="13065" width="11.7109375" style="157" customWidth="1"/>
    <col min="13066" max="13066" width="11" style="157" customWidth="1"/>
    <col min="13067" max="13067" width="12.28515625" style="157" customWidth="1"/>
    <col min="13068" max="13312" width="11.42578125" style="157"/>
    <col min="13313" max="13313" width="5" style="157" customWidth="1"/>
    <col min="13314" max="13314" width="22.140625" style="157" customWidth="1"/>
    <col min="13315" max="13315" width="15" style="157" customWidth="1"/>
    <col min="13316" max="13316" width="13.28515625" style="157" customWidth="1"/>
    <col min="13317" max="13317" width="12.7109375" style="157" customWidth="1"/>
    <col min="13318" max="13318" width="14" style="157" customWidth="1"/>
    <col min="13319" max="13319" width="11" style="157" customWidth="1"/>
    <col min="13320" max="13320" width="12.42578125" style="157" customWidth="1"/>
    <col min="13321" max="13321" width="11.7109375" style="157" customWidth="1"/>
    <col min="13322" max="13322" width="11" style="157" customWidth="1"/>
    <col min="13323" max="13323" width="12.28515625" style="157" customWidth="1"/>
    <col min="13324" max="13568" width="11.42578125" style="157"/>
    <col min="13569" max="13569" width="5" style="157" customWidth="1"/>
    <col min="13570" max="13570" width="22.140625" style="157" customWidth="1"/>
    <col min="13571" max="13571" width="15" style="157" customWidth="1"/>
    <col min="13572" max="13572" width="13.28515625" style="157" customWidth="1"/>
    <col min="13573" max="13573" width="12.7109375" style="157" customWidth="1"/>
    <col min="13574" max="13574" width="14" style="157" customWidth="1"/>
    <col min="13575" max="13575" width="11" style="157" customWidth="1"/>
    <col min="13576" max="13576" width="12.42578125" style="157" customWidth="1"/>
    <col min="13577" max="13577" width="11.7109375" style="157" customWidth="1"/>
    <col min="13578" max="13578" width="11" style="157" customWidth="1"/>
    <col min="13579" max="13579" width="12.28515625" style="157" customWidth="1"/>
    <col min="13580" max="13824" width="11.42578125" style="157"/>
    <col min="13825" max="13825" width="5" style="157" customWidth="1"/>
    <col min="13826" max="13826" width="22.140625" style="157" customWidth="1"/>
    <col min="13827" max="13827" width="15" style="157" customWidth="1"/>
    <col min="13828" max="13828" width="13.28515625" style="157" customWidth="1"/>
    <col min="13829" max="13829" width="12.7109375" style="157" customWidth="1"/>
    <col min="13830" max="13830" width="14" style="157" customWidth="1"/>
    <col min="13831" max="13831" width="11" style="157" customWidth="1"/>
    <col min="13832" max="13832" width="12.42578125" style="157" customWidth="1"/>
    <col min="13833" max="13833" width="11.7109375" style="157" customWidth="1"/>
    <col min="13834" max="13834" width="11" style="157" customWidth="1"/>
    <col min="13835" max="13835" width="12.28515625" style="157" customWidth="1"/>
    <col min="13836" max="14080" width="11.42578125" style="157"/>
    <col min="14081" max="14081" width="5" style="157" customWidth="1"/>
    <col min="14082" max="14082" width="22.140625" style="157" customWidth="1"/>
    <col min="14083" max="14083" width="15" style="157" customWidth="1"/>
    <col min="14084" max="14084" width="13.28515625" style="157" customWidth="1"/>
    <col min="14085" max="14085" width="12.7109375" style="157" customWidth="1"/>
    <col min="14086" max="14086" width="14" style="157" customWidth="1"/>
    <col min="14087" max="14087" width="11" style="157" customWidth="1"/>
    <col min="14088" max="14088" width="12.42578125" style="157" customWidth="1"/>
    <col min="14089" max="14089" width="11.7109375" style="157" customWidth="1"/>
    <col min="14090" max="14090" width="11" style="157" customWidth="1"/>
    <col min="14091" max="14091" width="12.28515625" style="157" customWidth="1"/>
    <col min="14092" max="14336" width="11.42578125" style="157"/>
    <col min="14337" max="14337" width="5" style="157" customWidth="1"/>
    <col min="14338" max="14338" width="22.140625" style="157" customWidth="1"/>
    <col min="14339" max="14339" width="15" style="157" customWidth="1"/>
    <col min="14340" max="14340" width="13.28515625" style="157" customWidth="1"/>
    <col min="14341" max="14341" width="12.7109375" style="157" customWidth="1"/>
    <col min="14342" max="14342" width="14" style="157" customWidth="1"/>
    <col min="14343" max="14343" width="11" style="157" customWidth="1"/>
    <col min="14344" max="14344" width="12.42578125" style="157" customWidth="1"/>
    <col min="14345" max="14345" width="11.7109375" style="157" customWidth="1"/>
    <col min="14346" max="14346" width="11" style="157" customWidth="1"/>
    <col min="14347" max="14347" width="12.28515625" style="157" customWidth="1"/>
    <col min="14348" max="14592" width="11.42578125" style="157"/>
    <col min="14593" max="14593" width="5" style="157" customWidth="1"/>
    <col min="14594" max="14594" width="22.140625" style="157" customWidth="1"/>
    <col min="14595" max="14595" width="15" style="157" customWidth="1"/>
    <col min="14596" max="14596" width="13.28515625" style="157" customWidth="1"/>
    <col min="14597" max="14597" width="12.7109375" style="157" customWidth="1"/>
    <col min="14598" max="14598" width="14" style="157" customWidth="1"/>
    <col min="14599" max="14599" width="11" style="157" customWidth="1"/>
    <col min="14600" max="14600" width="12.42578125" style="157" customWidth="1"/>
    <col min="14601" max="14601" width="11.7109375" style="157" customWidth="1"/>
    <col min="14602" max="14602" width="11" style="157" customWidth="1"/>
    <col min="14603" max="14603" width="12.28515625" style="157" customWidth="1"/>
    <col min="14604" max="14848" width="11.42578125" style="157"/>
    <col min="14849" max="14849" width="5" style="157" customWidth="1"/>
    <col min="14850" max="14850" width="22.140625" style="157" customWidth="1"/>
    <col min="14851" max="14851" width="15" style="157" customWidth="1"/>
    <col min="14852" max="14852" width="13.28515625" style="157" customWidth="1"/>
    <col min="14853" max="14853" width="12.7109375" style="157" customWidth="1"/>
    <col min="14854" max="14854" width="14" style="157" customWidth="1"/>
    <col min="14855" max="14855" width="11" style="157" customWidth="1"/>
    <col min="14856" max="14856" width="12.42578125" style="157" customWidth="1"/>
    <col min="14857" max="14857" width="11.7109375" style="157" customWidth="1"/>
    <col min="14858" max="14858" width="11" style="157" customWidth="1"/>
    <col min="14859" max="14859" width="12.28515625" style="157" customWidth="1"/>
    <col min="14860" max="15104" width="11.42578125" style="157"/>
    <col min="15105" max="15105" width="5" style="157" customWidth="1"/>
    <col min="15106" max="15106" width="22.140625" style="157" customWidth="1"/>
    <col min="15107" max="15107" width="15" style="157" customWidth="1"/>
    <col min="15108" max="15108" width="13.28515625" style="157" customWidth="1"/>
    <col min="15109" max="15109" width="12.7109375" style="157" customWidth="1"/>
    <col min="15110" max="15110" width="14" style="157" customWidth="1"/>
    <col min="15111" max="15111" width="11" style="157" customWidth="1"/>
    <col min="15112" max="15112" width="12.42578125" style="157" customWidth="1"/>
    <col min="15113" max="15113" width="11.7109375" style="157" customWidth="1"/>
    <col min="15114" max="15114" width="11" style="157" customWidth="1"/>
    <col min="15115" max="15115" width="12.28515625" style="157" customWidth="1"/>
    <col min="15116" max="15360" width="11.42578125" style="157"/>
    <col min="15361" max="15361" width="5" style="157" customWidth="1"/>
    <col min="15362" max="15362" width="22.140625" style="157" customWidth="1"/>
    <col min="15363" max="15363" width="15" style="157" customWidth="1"/>
    <col min="15364" max="15364" width="13.28515625" style="157" customWidth="1"/>
    <col min="15365" max="15365" width="12.7109375" style="157" customWidth="1"/>
    <col min="15366" max="15366" width="14" style="157" customWidth="1"/>
    <col min="15367" max="15367" width="11" style="157" customWidth="1"/>
    <col min="15368" max="15368" width="12.42578125" style="157" customWidth="1"/>
    <col min="15369" max="15369" width="11.7109375" style="157" customWidth="1"/>
    <col min="15370" max="15370" width="11" style="157" customWidth="1"/>
    <col min="15371" max="15371" width="12.28515625" style="157" customWidth="1"/>
    <col min="15372" max="15616" width="11.42578125" style="157"/>
    <col min="15617" max="15617" width="5" style="157" customWidth="1"/>
    <col min="15618" max="15618" width="22.140625" style="157" customWidth="1"/>
    <col min="15619" max="15619" width="15" style="157" customWidth="1"/>
    <col min="15620" max="15620" width="13.28515625" style="157" customWidth="1"/>
    <col min="15621" max="15621" width="12.7109375" style="157" customWidth="1"/>
    <col min="15622" max="15622" width="14" style="157" customWidth="1"/>
    <col min="15623" max="15623" width="11" style="157" customWidth="1"/>
    <col min="15624" max="15624" width="12.42578125" style="157" customWidth="1"/>
    <col min="15625" max="15625" width="11.7109375" style="157" customWidth="1"/>
    <col min="15626" max="15626" width="11" style="157" customWidth="1"/>
    <col min="15627" max="15627" width="12.28515625" style="157" customWidth="1"/>
    <col min="15628" max="15872" width="11.42578125" style="157"/>
    <col min="15873" max="15873" width="5" style="157" customWidth="1"/>
    <col min="15874" max="15874" width="22.140625" style="157" customWidth="1"/>
    <col min="15875" max="15875" width="15" style="157" customWidth="1"/>
    <col min="15876" max="15876" width="13.28515625" style="157" customWidth="1"/>
    <col min="15877" max="15877" width="12.7109375" style="157" customWidth="1"/>
    <col min="15878" max="15878" width="14" style="157" customWidth="1"/>
    <col min="15879" max="15879" width="11" style="157" customWidth="1"/>
    <col min="15880" max="15880" width="12.42578125" style="157" customWidth="1"/>
    <col min="15881" max="15881" width="11.7109375" style="157" customWidth="1"/>
    <col min="15882" max="15882" width="11" style="157" customWidth="1"/>
    <col min="15883" max="15883" width="12.28515625" style="157" customWidth="1"/>
    <col min="15884" max="16128" width="11.42578125" style="157"/>
    <col min="16129" max="16129" width="5" style="157" customWidth="1"/>
    <col min="16130" max="16130" width="22.140625" style="157" customWidth="1"/>
    <col min="16131" max="16131" width="15" style="157" customWidth="1"/>
    <col min="16132" max="16132" width="13.28515625" style="157" customWidth="1"/>
    <col min="16133" max="16133" width="12.7109375" style="157" customWidth="1"/>
    <col min="16134" max="16134" width="14" style="157" customWidth="1"/>
    <col min="16135" max="16135" width="11" style="157" customWidth="1"/>
    <col min="16136" max="16136" width="12.42578125" style="157" customWidth="1"/>
    <col min="16137" max="16137" width="11.7109375" style="157" customWidth="1"/>
    <col min="16138" max="16138" width="11" style="157" customWidth="1"/>
    <col min="16139" max="16139" width="12.28515625" style="157" customWidth="1"/>
    <col min="16140" max="16384" width="11.42578125" style="157"/>
  </cols>
  <sheetData>
    <row r="1" spans="1:16" ht="20.25" x14ac:dyDescent="0.3">
      <c r="A1" s="822" t="s">
        <v>273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</row>
    <row r="2" spans="1:16" x14ac:dyDescent="0.2">
      <c r="B2" s="573"/>
      <c r="C2" s="573"/>
      <c r="D2" s="573"/>
      <c r="E2" s="573"/>
      <c r="F2" s="573"/>
      <c r="G2" s="573"/>
      <c r="H2" s="573"/>
      <c r="I2" s="573"/>
      <c r="J2" s="573"/>
      <c r="K2" s="573"/>
    </row>
    <row r="3" spans="1:16" ht="15" x14ac:dyDescent="0.25">
      <c r="B3" s="573"/>
      <c r="C3" s="571"/>
      <c r="D3" s="571"/>
      <c r="E3" s="571"/>
      <c r="F3" s="571"/>
      <c r="G3" s="571"/>
      <c r="H3" s="572"/>
      <c r="I3" s="572"/>
      <c r="J3" s="572"/>
      <c r="K3" s="572"/>
    </row>
    <row r="4" spans="1:16" ht="18" x14ac:dyDescent="0.25">
      <c r="B4" s="570" t="s">
        <v>274</v>
      </c>
      <c r="C4" s="573"/>
      <c r="D4" s="573"/>
      <c r="E4" s="573"/>
      <c r="F4" s="573"/>
      <c r="G4" s="573"/>
      <c r="H4" s="573"/>
      <c r="I4" s="573"/>
      <c r="J4" s="573"/>
      <c r="K4" s="573"/>
    </row>
    <row r="5" spans="1:16" x14ac:dyDescent="0.2">
      <c r="B5" s="573"/>
      <c r="C5" s="573"/>
      <c r="D5" s="573"/>
      <c r="E5" s="573"/>
      <c r="F5" s="573"/>
      <c r="G5" s="573"/>
      <c r="H5" s="573"/>
      <c r="I5" s="573"/>
      <c r="J5" s="573"/>
      <c r="K5" s="573"/>
    </row>
    <row r="6" spans="1:16" x14ac:dyDescent="0.2">
      <c r="B6" s="1395" t="s">
        <v>132</v>
      </c>
      <c r="C6" s="1397" t="s">
        <v>275</v>
      </c>
      <c r="D6" s="1398"/>
      <c r="E6" s="1399"/>
      <c r="F6" s="1397" t="s">
        <v>154</v>
      </c>
      <c r="G6" s="1398"/>
      <c r="H6" s="1399"/>
      <c r="I6" s="1398" t="s">
        <v>152</v>
      </c>
      <c r="J6" s="1398"/>
      <c r="K6" s="1399"/>
    </row>
    <row r="7" spans="1:16" x14ac:dyDescent="0.2">
      <c r="B7" s="1396"/>
      <c r="C7" s="920" t="s">
        <v>151</v>
      </c>
      <c r="D7" s="173" t="s">
        <v>262</v>
      </c>
      <c r="E7" s="921" t="s">
        <v>263</v>
      </c>
      <c r="F7" s="922" t="s">
        <v>264</v>
      </c>
      <c r="G7" s="173" t="s">
        <v>262</v>
      </c>
      <c r="H7" s="921" t="s">
        <v>263</v>
      </c>
      <c r="I7" s="172" t="s">
        <v>151</v>
      </c>
      <c r="J7" s="173" t="s">
        <v>262</v>
      </c>
      <c r="K7" s="921" t="s">
        <v>263</v>
      </c>
    </row>
    <row r="8" spans="1:16" x14ac:dyDescent="0.2">
      <c r="B8" s="923"/>
      <c r="C8" s="924"/>
      <c r="D8" s="185"/>
      <c r="E8" s="925"/>
      <c r="F8" s="926"/>
      <c r="G8" s="185"/>
      <c r="H8" s="925"/>
      <c r="I8" s="184"/>
      <c r="J8" s="185"/>
      <c r="K8" s="925"/>
      <c r="O8" s="157" t="s">
        <v>276</v>
      </c>
      <c r="P8" s="157" t="s">
        <v>277</v>
      </c>
    </row>
    <row r="9" spans="1:16" x14ac:dyDescent="0.2">
      <c r="B9" s="927"/>
      <c r="C9" s="928"/>
      <c r="D9" s="929"/>
      <c r="E9" s="930"/>
      <c r="F9" s="931"/>
      <c r="G9" s="929"/>
      <c r="H9" s="930"/>
      <c r="I9" s="932"/>
      <c r="J9" s="929"/>
      <c r="K9" s="930"/>
    </row>
    <row r="10" spans="1:16" x14ac:dyDescent="0.2">
      <c r="B10" s="1685">
        <v>1995</v>
      </c>
      <c r="C10" s="1713">
        <f t="shared" ref="C10:C25" si="0">SUM(D10:E10)</f>
        <v>9849.2561280000045</v>
      </c>
      <c r="D10" s="1714">
        <f t="shared" ref="D10:E25" si="1">SUM(G10,J10)</f>
        <v>6430.3848620000044</v>
      </c>
      <c r="E10" s="1715">
        <f t="shared" si="1"/>
        <v>3418.8712659999997</v>
      </c>
      <c r="F10" s="1716">
        <f t="shared" ref="F10:F25" si="2">SUM(G10:H10)</f>
        <v>8673.7080870000045</v>
      </c>
      <c r="G10" s="1714">
        <f>+[7]desagregados!H9</f>
        <v>6430.3848620000044</v>
      </c>
      <c r="H10" s="1715">
        <f>+[7]desagregados!C9</f>
        <v>2243.3232249999996</v>
      </c>
      <c r="I10" s="1717">
        <f t="shared" ref="I10:I25" si="3">SUM(J10:K10)</f>
        <v>1175.548041</v>
      </c>
      <c r="J10" s="1714"/>
      <c r="K10" s="1715">
        <f>+[7]desagregados!B46</f>
        <v>1175.548041</v>
      </c>
      <c r="L10" s="163"/>
      <c r="M10" s="201"/>
      <c r="N10" s="157">
        <v>1995</v>
      </c>
      <c r="O10" s="203">
        <f t="shared" ref="O10:P23" si="4">D10</f>
        <v>6430.3848620000044</v>
      </c>
      <c r="P10" s="203">
        <f t="shared" si="4"/>
        <v>3418.8712659999997</v>
      </c>
    </row>
    <row r="11" spans="1:16" x14ac:dyDescent="0.2">
      <c r="B11" s="796">
        <v>1996</v>
      </c>
      <c r="C11" s="836">
        <f t="shared" si="0"/>
        <v>10330.839597999991</v>
      </c>
      <c r="D11" s="933">
        <f t="shared" si="1"/>
        <v>6781.8158419999918</v>
      </c>
      <c r="E11" s="934">
        <f t="shared" si="1"/>
        <v>3549.0237560000005</v>
      </c>
      <c r="F11" s="935">
        <f t="shared" si="2"/>
        <v>8770.6107359999914</v>
      </c>
      <c r="G11" s="933">
        <f>+[7]desagregados!H10</f>
        <v>6781.8158419999918</v>
      </c>
      <c r="H11" s="934">
        <f>+[7]desagregados!C10</f>
        <v>1988.7948940000003</v>
      </c>
      <c r="I11" s="936">
        <f t="shared" si="3"/>
        <v>1560.2288619999999</v>
      </c>
      <c r="J11" s="933"/>
      <c r="K11" s="934">
        <f>+[7]desagregados!B47</f>
        <v>1560.2288619999999</v>
      </c>
      <c r="L11" s="163"/>
      <c r="M11" s="201"/>
      <c r="N11" s="157">
        <v>1996</v>
      </c>
      <c r="O11" s="203">
        <f t="shared" si="4"/>
        <v>6781.8158419999918</v>
      </c>
      <c r="P11" s="203">
        <f t="shared" si="4"/>
        <v>3549.0237560000005</v>
      </c>
    </row>
    <row r="12" spans="1:16" x14ac:dyDescent="0.2">
      <c r="B12" s="1685">
        <v>1997</v>
      </c>
      <c r="C12" s="1713">
        <f t="shared" si="0"/>
        <v>12451.230159999992</v>
      </c>
      <c r="D12" s="1714">
        <f t="shared" si="1"/>
        <v>7291.6494419999917</v>
      </c>
      <c r="E12" s="1715">
        <f t="shared" si="1"/>
        <v>5159.5807179999993</v>
      </c>
      <c r="F12" s="1716">
        <f t="shared" si="2"/>
        <v>9377.8946799999903</v>
      </c>
      <c r="G12" s="1714">
        <f>+[7]desagregados!H11</f>
        <v>7291.6494419999917</v>
      </c>
      <c r="H12" s="1715">
        <f>+[7]desagregados!C11</f>
        <v>2086.2452379999995</v>
      </c>
      <c r="I12" s="1717">
        <f t="shared" si="3"/>
        <v>3073.3354799999997</v>
      </c>
      <c r="J12" s="1714"/>
      <c r="K12" s="1715">
        <f>+[7]desagregados!B48</f>
        <v>3073.3354799999997</v>
      </c>
      <c r="L12" s="163"/>
      <c r="M12" s="937"/>
      <c r="N12" s="157">
        <v>1997</v>
      </c>
      <c r="O12" s="203">
        <f t="shared" si="4"/>
        <v>7291.6494419999917</v>
      </c>
      <c r="P12" s="203">
        <f t="shared" si="4"/>
        <v>5159.5807179999993</v>
      </c>
    </row>
    <row r="13" spans="1:16" x14ac:dyDescent="0.2">
      <c r="B13" s="796">
        <v>1998</v>
      </c>
      <c r="C13" s="836">
        <f t="shared" si="0"/>
        <v>14008.576822999998</v>
      </c>
      <c r="D13" s="933">
        <f t="shared" si="1"/>
        <v>7755.838101999997</v>
      </c>
      <c r="E13" s="934">
        <f t="shared" si="1"/>
        <v>6252.7387210000006</v>
      </c>
      <c r="F13" s="935">
        <f t="shared" si="2"/>
        <v>9878.6615729999976</v>
      </c>
      <c r="G13" s="933">
        <f>+[7]desagregados!H12</f>
        <v>7755.838101999997</v>
      </c>
      <c r="H13" s="934">
        <f>+[7]desagregados!C12</f>
        <v>2122.8234709999997</v>
      </c>
      <c r="I13" s="936">
        <f t="shared" si="3"/>
        <v>4129.9152500000009</v>
      </c>
      <c r="J13" s="933"/>
      <c r="K13" s="934">
        <f>+[7]desagregados!B49</f>
        <v>4129.9152500000009</v>
      </c>
      <c r="L13" s="163"/>
      <c r="M13" s="201"/>
      <c r="N13" s="157">
        <v>1998</v>
      </c>
      <c r="O13" s="203">
        <f t="shared" si="4"/>
        <v>7755.838101999997</v>
      </c>
      <c r="P13" s="203">
        <f t="shared" si="4"/>
        <v>6252.7387210000006</v>
      </c>
    </row>
    <row r="14" spans="1:16" x14ac:dyDescent="0.2">
      <c r="B14" s="1685">
        <v>1999</v>
      </c>
      <c r="C14" s="1713">
        <f t="shared" si="0"/>
        <v>14591.891559000011</v>
      </c>
      <c r="D14" s="1714">
        <f t="shared" si="1"/>
        <v>8071.8733350000111</v>
      </c>
      <c r="E14" s="1715">
        <f t="shared" si="1"/>
        <v>6520.0182239999995</v>
      </c>
      <c r="F14" s="1716">
        <f t="shared" si="2"/>
        <v>10198.891027000011</v>
      </c>
      <c r="G14" s="1714">
        <f>+[7]desagregados!H13</f>
        <v>8071.8733350000111</v>
      </c>
      <c r="H14" s="1715">
        <f>+[7]desagregados!C13</f>
        <v>2127.0176919999999</v>
      </c>
      <c r="I14" s="1717">
        <f t="shared" si="3"/>
        <v>4393.000532</v>
      </c>
      <c r="J14" s="1714"/>
      <c r="K14" s="1715">
        <f>+[7]desagregados!B50</f>
        <v>4393.000532</v>
      </c>
      <c r="L14" s="163"/>
      <c r="M14" s="201"/>
      <c r="N14" s="157">
        <v>1999</v>
      </c>
      <c r="O14" s="203">
        <f t="shared" si="4"/>
        <v>8071.8733350000111</v>
      </c>
      <c r="P14" s="203">
        <f t="shared" si="4"/>
        <v>6520.0182239999995</v>
      </c>
    </row>
    <row r="15" spans="1:16" x14ac:dyDescent="0.2">
      <c r="B15" s="796">
        <v>2000</v>
      </c>
      <c r="C15" s="836">
        <f t="shared" si="0"/>
        <v>15545.595392000014</v>
      </c>
      <c r="D15" s="933">
        <f t="shared" si="1"/>
        <v>8406.7782800000132</v>
      </c>
      <c r="E15" s="934">
        <f t="shared" si="1"/>
        <v>7138.8171120000006</v>
      </c>
      <c r="F15" s="935">
        <f t="shared" si="2"/>
        <v>10763.269271000014</v>
      </c>
      <c r="G15" s="933">
        <f>+[7]desagregados!H14</f>
        <v>8406.7782800000132</v>
      </c>
      <c r="H15" s="934">
        <f>+[7]desagregados!C14</f>
        <v>2356.4909910000001</v>
      </c>
      <c r="I15" s="936">
        <f t="shared" si="3"/>
        <v>4782.3261210000001</v>
      </c>
      <c r="J15" s="938"/>
      <c r="K15" s="934">
        <f>+[7]desagregados!B51</f>
        <v>4782.3261210000001</v>
      </c>
      <c r="L15" s="163"/>
      <c r="M15" s="201"/>
      <c r="N15" s="157">
        <v>2000</v>
      </c>
      <c r="O15" s="203">
        <f t="shared" si="4"/>
        <v>8406.7782800000132</v>
      </c>
      <c r="P15" s="203">
        <f t="shared" si="4"/>
        <v>7138.8171120000006</v>
      </c>
    </row>
    <row r="16" spans="1:16" x14ac:dyDescent="0.2">
      <c r="B16" s="1685">
        <v>2001</v>
      </c>
      <c r="C16" s="1713">
        <f t="shared" si="0"/>
        <v>16628.754544999989</v>
      </c>
      <c r="D16" s="1714">
        <f t="shared" si="1"/>
        <v>8654.8532329999871</v>
      </c>
      <c r="E16" s="1715">
        <f t="shared" si="1"/>
        <v>7973.901312</v>
      </c>
      <c r="F16" s="1716">
        <f t="shared" si="2"/>
        <v>10522.374724999987</v>
      </c>
      <c r="G16" s="1714">
        <f>+[7]desagregados!H15</f>
        <v>8654.8532329999871</v>
      </c>
      <c r="H16" s="1715">
        <f>+[7]desagregados!C15</f>
        <v>1867.5214919999999</v>
      </c>
      <c r="I16" s="1717">
        <f t="shared" si="3"/>
        <v>6106.3798200000001</v>
      </c>
      <c r="J16" s="1718"/>
      <c r="K16" s="1715">
        <f>+[7]desagregados!B52</f>
        <v>6106.3798200000001</v>
      </c>
      <c r="L16" s="163"/>
      <c r="M16" s="201"/>
      <c r="N16" s="157">
        <v>2001</v>
      </c>
      <c r="O16" s="203">
        <f t="shared" si="4"/>
        <v>8654.8532329999871</v>
      </c>
      <c r="P16" s="203">
        <f t="shared" si="4"/>
        <v>7973.901312</v>
      </c>
    </row>
    <row r="17" spans="2:16" x14ac:dyDescent="0.2">
      <c r="B17" s="796">
        <v>2002</v>
      </c>
      <c r="C17" s="836">
        <f t="shared" si="0"/>
        <v>17605.325913847999</v>
      </c>
      <c r="D17" s="933">
        <f t="shared" si="1"/>
        <v>9221.8888070000012</v>
      </c>
      <c r="E17" s="934">
        <f t="shared" si="1"/>
        <v>8383.4371068479995</v>
      </c>
      <c r="F17" s="935">
        <f t="shared" si="2"/>
        <v>11113.547163000001</v>
      </c>
      <c r="G17" s="933">
        <f>+[7]desagregados!H16</f>
        <v>9221.8888070000012</v>
      </c>
      <c r="H17" s="934">
        <f>+[7]desagregados!C16</f>
        <v>1891.6583559999997</v>
      </c>
      <c r="I17" s="936">
        <f t="shared" si="3"/>
        <v>6491.7787508479996</v>
      </c>
      <c r="J17" s="938"/>
      <c r="K17" s="934">
        <f>+[7]desagregados!B53</f>
        <v>6491.7787508479996</v>
      </c>
      <c r="L17" s="163"/>
      <c r="N17" s="216">
        <v>2002</v>
      </c>
      <c r="O17" s="203">
        <f t="shared" si="4"/>
        <v>9221.8888070000012</v>
      </c>
      <c r="P17" s="203">
        <f t="shared" si="4"/>
        <v>8383.4371068479995</v>
      </c>
    </row>
    <row r="18" spans="2:16" x14ac:dyDescent="0.2">
      <c r="B18" s="1685">
        <v>2003</v>
      </c>
      <c r="C18" s="1713">
        <f>SUM(D18:E18)</f>
        <v>18375.33541</v>
      </c>
      <c r="D18" s="1714">
        <f t="shared" si="1"/>
        <v>9610.7902890000005</v>
      </c>
      <c r="E18" s="1715">
        <f t="shared" si="1"/>
        <v>8764.545121000001</v>
      </c>
      <c r="F18" s="1716">
        <f t="shared" si="2"/>
        <v>11303.613573000001</v>
      </c>
      <c r="G18" s="1714">
        <f>+[7]desagregados!H17</f>
        <v>9610.7902890000005</v>
      </c>
      <c r="H18" s="1715">
        <f>+[7]desagregados!C17</f>
        <v>1692.8232840000001</v>
      </c>
      <c r="I18" s="1717">
        <f>SUM(J18:K18)</f>
        <v>7071.721837000001</v>
      </c>
      <c r="J18" s="1718"/>
      <c r="K18" s="1715">
        <f>+[7]desagregados!B54</f>
        <v>7071.721837000001</v>
      </c>
      <c r="L18" s="939"/>
      <c r="N18" s="157">
        <v>2003</v>
      </c>
      <c r="O18" s="203">
        <f t="shared" si="4"/>
        <v>9610.7902890000005</v>
      </c>
      <c r="P18" s="203">
        <f t="shared" si="4"/>
        <v>8764.545121000001</v>
      </c>
    </row>
    <row r="19" spans="2:16" x14ac:dyDescent="0.2">
      <c r="B19" s="796">
        <v>2004</v>
      </c>
      <c r="C19" s="836">
        <f t="shared" si="0"/>
        <v>19640.651109999999</v>
      </c>
      <c r="D19" s="933">
        <f t="shared" si="1"/>
        <v>10352.511363000001</v>
      </c>
      <c r="E19" s="934">
        <f t="shared" si="1"/>
        <v>9288.1397469999993</v>
      </c>
      <c r="F19" s="935">
        <f t="shared" si="2"/>
        <v>12001.305316000002</v>
      </c>
      <c r="G19" s="933">
        <f>+[7]desagregados!H18</f>
        <v>10352.511363000001</v>
      </c>
      <c r="H19" s="934">
        <f>+[7]desagregados!C18</f>
        <v>1648.7939530000001</v>
      </c>
      <c r="I19" s="936">
        <f t="shared" si="3"/>
        <v>7639.3457939999998</v>
      </c>
      <c r="J19" s="938"/>
      <c r="K19" s="934">
        <f>+[7]desagregados!B55</f>
        <v>7639.3457939999998</v>
      </c>
      <c r="L19" s="163"/>
      <c r="N19" s="216">
        <v>2004</v>
      </c>
      <c r="O19" s="203">
        <f t="shared" si="4"/>
        <v>10352.511363000001</v>
      </c>
      <c r="P19" s="203">
        <f t="shared" si="4"/>
        <v>9288.1397469999993</v>
      </c>
    </row>
    <row r="20" spans="2:16" x14ac:dyDescent="0.2">
      <c r="B20" s="1685">
        <v>2005</v>
      </c>
      <c r="C20" s="1713">
        <f t="shared" si="0"/>
        <v>20701.382880222223</v>
      </c>
      <c r="D20" s="1714">
        <f t="shared" si="1"/>
        <v>11150.106846222223</v>
      </c>
      <c r="E20" s="1715">
        <f t="shared" si="1"/>
        <v>9551.2760340000004</v>
      </c>
      <c r="F20" s="1716">
        <f t="shared" si="2"/>
        <v>12914.287800222222</v>
      </c>
      <c r="G20" s="1714">
        <f>+[7]desagregados!H19</f>
        <v>11150.106846222223</v>
      </c>
      <c r="H20" s="1715">
        <f>+[7]desagregados!C19</f>
        <v>1764.1809539999999</v>
      </c>
      <c r="I20" s="1717">
        <f t="shared" si="3"/>
        <v>7787.095080000001</v>
      </c>
      <c r="J20" s="1718"/>
      <c r="K20" s="1715">
        <f>+[7]desagregados!B56</f>
        <v>7787.095080000001</v>
      </c>
      <c r="L20" s="163"/>
      <c r="N20" s="157">
        <v>2005</v>
      </c>
      <c r="O20" s="203">
        <f t="shared" si="4"/>
        <v>11150.106846222223</v>
      </c>
      <c r="P20" s="203">
        <f t="shared" si="4"/>
        <v>9551.2760340000004</v>
      </c>
    </row>
    <row r="21" spans="2:16" x14ac:dyDescent="0.2">
      <c r="B21" s="796">
        <v>2006</v>
      </c>
      <c r="C21" s="836">
        <f t="shared" si="0"/>
        <v>22290.061152999995</v>
      </c>
      <c r="D21" s="933">
        <f>SUM(G21,J21)</f>
        <v>12169.514937999998</v>
      </c>
      <c r="E21" s="934">
        <f>SUM(H21,K21)</f>
        <v>10120.546214999998</v>
      </c>
      <c r="F21" s="935">
        <f t="shared" si="2"/>
        <v>14043.638326999999</v>
      </c>
      <c r="G21" s="933">
        <f>+[7]desagregados!H20</f>
        <v>12169.514937999998</v>
      </c>
      <c r="H21" s="934">
        <f>+[7]desagregados!C20</f>
        <v>1874.1233889999999</v>
      </c>
      <c r="I21" s="936">
        <f t="shared" si="3"/>
        <v>8246.4228259999982</v>
      </c>
      <c r="J21" s="938"/>
      <c r="K21" s="934">
        <f>+[7]desagregados!B57</f>
        <v>8246.4228259999982</v>
      </c>
      <c r="L21" s="163"/>
      <c r="N21" s="216">
        <v>2006</v>
      </c>
      <c r="O21" s="203">
        <f t="shared" si="4"/>
        <v>12169.514937999998</v>
      </c>
      <c r="P21" s="203">
        <f t="shared" si="4"/>
        <v>10120.546214999998</v>
      </c>
    </row>
    <row r="22" spans="2:16" x14ac:dyDescent="0.2">
      <c r="B22" s="1685">
        <v>2007</v>
      </c>
      <c r="C22" s="1713">
        <f t="shared" si="0"/>
        <v>24721.748553000001</v>
      </c>
      <c r="D22" s="1714">
        <f t="shared" si="1"/>
        <v>13346.184469</v>
      </c>
      <c r="E22" s="1715">
        <f t="shared" si="1"/>
        <v>11375.564084000001</v>
      </c>
      <c r="F22" s="1716">
        <f t="shared" si="2"/>
        <v>15032.180855000001</v>
      </c>
      <c r="G22" s="1714">
        <f>+[7]desagregados!H21</f>
        <v>13346.184469</v>
      </c>
      <c r="H22" s="1715">
        <f>+[7]desagregados!C21</f>
        <v>1685.996386</v>
      </c>
      <c r="I22" s="1717">
        <f t="shared" si="3"/>
        <v>9689.5676980000007</v>
      </c>
      <c r="J22" s="1718"/>
      <c r="K22" s="1715">
        <f>+[7]desagregados!B58</f>
        <v>9689.5676980000007</v>
      </c>
      <c r="L22" s="163"/>
      <c r="N22" s="216">
        <v>2007</v>
      </c>
      <c r="O22" s="203">
        <f t="shared" si="4"/>
        <v>13346.184469</v>
      </c>
      <c r="P22" s="203">
        <f t="shared" si="4"/>
        <v>11375.564084000001</v>
      </c>
    </row>
    <row r="23" spans="2:16" x14ac:dyDescent="0.2">
      <c r="B23" s="796">
        <v>2008</v>
      </c>
      <c r="C23" s="836">
        <f t="shared" si="0"/>
        <v>26964.414596000002</v>
      </c>
      <c r="D23" s="933">
        <f t="shared" si="1"/>
        <v>14569.444074000001</v>
      </c>
      <c r="E23" s="934">
        <f t="shared" si="1"/>
        <v>12394.970522</v>
      </c>
      <c r="F23" s="935">
        <f t="shared" si="2"/>
        <v>16297.176545</v>
      </c>
      <c r="G23" s="933">
        <f>+[7]desagregados!H22</f>
        <v>14569.444074000001</v>
      </c>
      <c r="H23" s="934">
        <f>+[7]desagregados!C22</f>
        <v>1727.732471</v>
      </c>
      <c r="I23" s="936">
        <f t="shared" si="3"/>
        <v>10667.238051</v>
      </c>
      <c r="J23" s="938"/>
      <c r="K23" s="934">
        <f>+[7]desagregados!B59</f>
        <v>10667.238051</v>
      </c>
      <c r="L23" s="163"/>
      <c r="N23" s="216">
        <v>2008</v>
      </c>
      <c r="O23" s="203">
        <f t="shared" si="4"/>
        <v>14569.444074000001</v>
      </c>
      <c r="P23" s="203">
        <f t="shared" si="4"/>
        <v>12394.970522</v>
      </c>
    </row>
    <row r="24" spans="2:16" x14ac:dyDescent="0.2">
      <c r="B24" s="1685">
        <v>2009</v>
      </c>
      <c r="C24" s="1713">
        <f t="shared" si="0"/>
        <v>27087.005776999995</v>
      </c>
      <c r="D24" s="1714">
        <f t="shared" si="1"/>
        <v>15204.704771999996</v>
      </c>
      <c r="E24" s="1715">
        <f t="shared" si="1"/>
        <v>11882.301004999999</v>
      </c>
      <c r="F24" s="1716">
        <f t="shared" si="2"/>
        <v>17000.664144999995</v>
      </c>
      <c r="G24" s="1714">
        <f>+[7]desagregados!H23</f>
        <v>15204.704771999996</v>
      </c>
      <c r="H24" s="1715">
        <f>+[7]desagregados!C23</f>
        <v>1795.9593729999997</v>
      </c>
      <c r="I24" s="1717">
        <f t="shared" si="3"/>
        <v>10086.341632</v>
      </c>
      <c r="J24" s="1718"/>
      <c r="K24" s="1715">
        <f>+[7]desagregados!B60</f>
        <v>10086.341632</v>
      </c>
      <c r="L24" s="163"/>
      <c r="N24" s="216">
        <v>2009</v>
      </c>
      <c r="O24" s="203">
        <f>D24</f>
        <v>15204.704771999996</v>
      </c>
      <c r="P24" s="203">
        <f>E24</f>
        <v>11882.301004999999</v>
      </c>
    </row>
    <row r="25" spans="2:16" x14ac:dyDescent="0.2">
      <c r="B25" s="796">
        <v>2010</v>
      </c>
      <c r="C25" s="836">
        <f t="shared" si="0"/>
        <v>29436.175124000001</v>
      </c>
      <c r="D25" s="933">
        <f t="shared" si="1"/>
        <v>16430.850569000002</v>
      </c>
      <c r="E25" s="934">
        <f t="shared" si="1"/>
        <v>13005.324554999999</v>
      </c>
      <c r="F25" s="935">
        <f t="shared" si="2"/>
        <v>18195.325098000001</v>
      </c>
      <c r="G25" s="933">
        <f>+[7]desagregados!H24</f>
        <v>16430.850569000002</v>
      </c>
      <c r="H25" s="934">
        <f>+[7]desagregados!C24</f>
        <v>1764.4745290000001</v>
      </c>
      <c r="I25" s="936">
        <f t="shared" si="3"/>
        <v>11240.850026</v>
      </c>
      <c r="J25" s="938"/>
      <c r="K25" s="934">
        <f>+[7]desagregados!B61</f>
        <v>11240.850026</v>
      </c>
      <c r="L25" s="163"/>
      <c r="N25" s="216">
        <v>2010</v>
      </c>
      <c r="O25" s="203">
        <f>D25</f>
        <v>16430.850569000002</v>
      </c>
      <c r="P25" s="203">
        <f>E25</f>
        <v>13005.324554999999</v>
      </c>
    </row>
    <row r="26" spans="2:16" x14ac:dyDescent="0.2">
      <c r="B26" s="1685">
        <v>2011</v>
      </c>
      <c r="C26" s="1713">
        <f>SUM(D26:E26)</f>
        <v>31820.350805251099</v>
      </c>
      <c r="D26" s="1714">
        <f t="shared" ref="D26:E28" si="5">SUM(G26,J26)</f>
        <v>17891.5565232511</v>
      </c>
      <c r="E26" s="1715">
        <f t="shared" si="5"/>
        <v>13928.794281999999</v>
      </c>
      <c r="F26" s="1716">
        <f>SUM(G26:H26)</f>
        <v>19753.040698251101</v>
      </c>
      <c r="G26" s="1714">
        <f>+[7]desagregados!H25</f>
        <v>17891.5565232511</v>
      </c>
      <c r="H26" s="1715">
        <f>+[7]desagregados!C25</f>
        <v>1861.4841750000001</v>
      </c>
      <c r="I26" s="1717">
        <f>SUM(J26:K26)</f>
        <v>12067.310106999999</v>
      </c>
      <c r="J26" s="1718"/>
      <c r="K26" s="1715">
        <f>+[7]desagregados!B62</f>
        <v>12067.310106999999</v>
      </c>
      <c r="L26" s="163"/>
      <c r="N26" s="216">
        <v>2011</v>
      </c>
      <c r="O26" s="203">
        <f t="shared" ref="O26:P28" si="6">D26</f>
        <v>17891.5565232511</v>
      </c>
      <c r="P26" s="203">
        <f t="shared" si="6"/>
        <v>13928.794281999999</v>
      </c>
    </row>
    <row r="27" spans="2:16" x14ac:dyDescent="0.2">
      <c r="B27" s="796">
        <v>2012</v>
      </c>
      <c r="C27" s="836">
        <f>SUM(D27:E27)</f>
        <v>33648.185931</v>
      </c>
      <c r="D27" s="933">
        <f t="shared" si="5"/>
        <v>18962.169935999998</v>
      </c>
      <c r="E27" s="934">
        <f t="shared" si="5"/>
        <v>14686.015995</v>
      </c>
      <c r="F27" s="935">
        <f>SUM(G27:H27)</f>
        <v>20947.295381</v>
      </c>
      <c r="G27" s="933">
        <f>+[7]desagregados!H26</f>
        <v>18962.169935999998</v>
      </c>
      <c r="H27" s="934">
        <f>+[7]desagregados!C26</f>
        <v>1985.1254450000001</v>
      </c>
      <c r="I27" s="936">
        <f>SUM(J27:K27)</f>
        <v>12700.89055</v>
      </c>
      <c r="J27" s="938"/>
      <c r="K27" s="934">
        <f>+[7]desagregados!B63</f>
        <v>12700.89055</v>
      </c>
      <c r="L27" s="163"/>
      <c r="N27" s="216">
        <v>2012</v>
      </c>
      <c r="O27" s="203">
        <f t="shared" si="6"/>
        <v>18962.169935999998</v>
      </c>
      <c r="P27" s="203">
        <f t="shared" si="6"/>
        <v>14686.015995</v>
      </c>
    </row>
    <row r="28" spans="2:16" x14ac:dyDescent="0.2">
      <c r="B28" s="1685">
        <v>2013</v>
      </c>
      <c r="C28" s="1713">
        <f>SUM(D28:E28)</f>
        <v>35612.750660286001</v>
      </c>
      <c r="D28" s="1714">
        <f t="shared" si="5"/>
        <v>19883.276369286003</v>
      </c>
      <c r="E28" s="1715">
        <f t="shared" si="5"/>
        <v>15729.474291</v>
      </c>
      <c r="F28" s="1716">
        <f>SUM(G28:H28)</f>
        <v>21938.578439286001</v>
      </c>
      <c r="G28" s="1714">
        <f>+[7]desagregados!H27</f>
        <v>19883.276369286003</v>
      </c>
      <c r="H28" s="1715">
        <f>+[7]desagregados!C27</f>
        <v>2055.3020699999997</v>
      </c>
      <c r="I28" s="1717">
        <f>SUM(J28:K28)</f>
        <v>13674.172221000001</v>
      </c>
      <c r="J28" s="1718"/>
      <c r="K28" s="1715">
        <f>+[7]desagregados!B64</f>
        <v>13674.172221000001</v>
      </c>
      <c r="L28" s="163"/>
      <c r="N28" s="216">
        <v>2013</v>
      </c>
      <c r="O28" s="203">
        <f t="shared" si="6"/>
        <v>19883.276369286003</v>
      </c>
      <c r="P28" s="203">
        <f t="shared" si="6"/>
        <v>15729.474291</v>
      </c>
    </row>
    <row r="29" spans="2:16" x14ac:dyDescent="0.2">
      <c r="B29" s="796">
        <v>2014</v>
      </c>
      <c r="C29" s="836">
        <f>SUM(D29:E29)</f>
        <v>37327.77699419835</v>
      </c>
      <c r="D29" s="933">
        <f>SUM(G29,J29)</f>
        <v>20763.97139729272</v>
      </c>
      <c r="E29" s="934">
        <f>SUM(H29,K29)</f>
        <v>16563.805596905629</v>
      </c>
      <c r="F29" s="935">
        <f>SUM(G29:H29)</f>
        <v>22781.971993398343</v>
      </c>
      <c r="G29" s="933">
        <f>+[7]desagregados!H28</f>
        <v>20763.97139729272</v>
      </c>
      <c r="H29" s="934">
        <f>+[7]desagregados!C28</f>
        <v>2018.0005961056249</v>
      </c>
      <c r="I29" s="936">
        <f>SUM(J29:K29)</f>
        <v>14545.805000800003</v>
      </c>
      <c r="J29" s="938"/>
      <c r="K29" s="934">
        <f>+[7]desagregados!B65</f>
        <v>14545.805000800003</v>
      </c>
      <c r="N29" s="216">
        <v>2014</v>
      </c>
      <c r="O29" s="203">
        <f>D29</f>
        <v>20763.97139729272</v>
      </c>
      <c r="P29" s="203">
        <f>E29</f>
        <v>16563.805596905629</v>
      </c>
    </row>
    <row r="30" spans="2:16" x14ac:dyDescent="0.2">
      <c r="B30" s="1685" t="s">
        <v>136</v>
      </c>
      <c r="C30" s="1713">
        <f>SUM(D30:E30)</f>
        <v>39705.955406162728</v>
      </c>
      <c r="D30" s="1714">
        <f>SUM(G30,J30)</f>
        <v>21564.640493245512</v>
      </c>
      <c r="E30" s="1715">
        <f>SUM(H30,K30)</f>
        <v>18141.314912917212</v>
      </c>
      <c r="F30" s="1716">
        <f>SUM(G30:H30)</f>
        <v>23582.947281861023</v>
      </c>
      <c r="G30" s="1714">
        <f>+[7]desagregados!H29</f>
        <v>21564.640493245512</v>
      </c>
      <c r="H30" s="1715">
        <f>+[7]desagregados!C29</f>
        <v>2018.3067886155122</v>
      </c>
      <c r="I30" s="1717">
        <f>SUM(J30:K30)</f>
        <v>16123.008124301699</v>
      </c>
      <c r="J30" s="1718"/>
      <c r="K30" s="1715">
        <f>+[7]desagregados!B66</f>
        <v>16123.008124301699</v>
      </c>
      <c r="L30" s="202"/>
      <c r="N30" s="259" t="s">
        <v>136</v>
      </c>
      <c r="O30" s="203">
        <f>D30</f>
        <v>21564.640493245512</v>
      </c>
      <c r="P30" s="203">
        <f>E30</f>
        <v>18141.314912917212</v>
      </c>
    </row>
    <row r="31" spans="2:16" ht="18.75" customHeight="1" thickBot="1" x14ac:dyDescent="0.25">
      <c r="B31" s="940"/>
      <c r="C31" s="941"/>
      <c r="D31" s="942"/>
      <c r="E31" s="943"/>
      <c r="F31" s="944"/>
      <c r="G31" s="942"/>
      <c r="H31" s="943"/>
      <c r="I31" s="945"/>
      <c r="J31" s="946"/>
      <c r="K31" s="943"/>
      <c r="M31" s="202"/>
      <c r="N31" s="202"/>
    </row>
    <row r="32" spans="2:16" ht="18.75" customHeight="1" x14ac:dyDescent="0.2">
      <c r="B32" s="1719" t="s">
        <v>137</v>
      </c>
      <c r="C32" s="1720">
        <f t="shared" ref="C32:I32" si="7">(C30/C29)-1</f>
        <v>6.3710689557912925E-2</v>
      </c>
      <c r="D32" s="1721">
        <f t="shared" ref="D32:I32" si="8">(D30/D29)-1</f>
        <v>3.856049888689328E-2</v>
      </c>
      <c r="E32" s="1721">
        <f t="shared" si="8"/>
        <v>9.5238338000434242E-2</v>
      </c>
      <c r="F32" s="1722">
        <f t="shared" si="8"/>
        <v>3.5158294843606219E-2</v>
      </c>
      <c r="G32" s="1721">
        <f t="shared" si="8"/>
        <v>3.856049888689328E-2</v>
      </c>
      <c r="H32" s="1723">
        <f t="shared" si="8"/>
        <v>1.5173063401374698E-4</v>
      </c>
      <c r="I32" s="1722">
        <f t="shared" si="8"/>
        <v>0.108430102247002</v>
      </c>
      <c r="J32" s="1721" t="s">
        <v>109</v>
      </c>
      <c r="K32" s="1723">
        <f t="shared" ref="K32" si="9">(K30/K29)-1</f>
        <v>0.108430102247002</v>
      </c>
    </row>
    <row r="33" spans="2:16" ht="18.75" customHeight="1" x14ac:dyDescent="0.25">
      <c r="B33" s="947" t="s">
        <v>138</v>
      </c>
      <c r="C33" s="948">
        <f t="shared" ref="C33:I33" si="10">((C30/C25)^(1/5))-1</f>
        <v>6.1682978351820017E-2</v>
      </c>
      <c r="D33" s="949">
        <f t="shared" ref="D33:I33" si="11">((D30/D25)^(1/5))-1</f>
        <v>5.5884550182601522E-2</v>
      </c>
      <c r="E33" s="950">
        <f t="shared" si="11"/>
        <v>6.8832161793679569E-2</v>
      </c>
      <c r="F33" s="948">
        <f t="shared" si="11"/>
        <v>5.3240746253972349E-2</v>
      </c>
      <c r="G33" s="949">
        <f t="shared" si="11"/>
        <v>5.5884550182601522E-2</v>
      </c>
      <c r="H33" s="950">
        <f t="shared" si="11"/>
        <v>2.7245760294184906E-2</v>
      </c>
      <c r="I33" s="951">
        <f t="shared" si="11"/>
        <v>7.4804271776489406E-2</v>
      </c>
      <c r="J33" s="952" t="s">
        <v>109</v>
      </c>
      <c r="K33" s="950">
        <f t="shared" ref="K33" si="12">((K30/K25)^(1/5))-1</f>
        <v>7.4804271776489406E-2</v>
      </c>
      <c r="M33" s="549"/>
    </row>
    <row r="34" spans="2:16" ht="18.75" customHeight="1" x14ac:dyDescent="0.2">
      <c r="B34" s="1724" t="s">
        <v>144</v>
      </c>
      <c r="C34" s="1725">
        <f>(C30/C20)-1</f>
        <v>0.91803396110784341</v>
      </c>
      <c r="D34" s="1726">
        <f t="shared" ref="D34:I34" si="13">(D30/D20)-1</f>
        <v>0.9340299416549398</v>
      </c>
      <c r="E34" s="1727">
        <f t="shared" si="13"/>
        <v>0.8993603418369398</v>
      </c>
      <c r="F34" s="1725">
        <f t="shared" si="13"/>
        <v>0.82611287952365586</v>
      </c>
      <c r="G34" s="1726">
        <f t="shared" si="13"/>
        <v>0.9340299416549398</v>
      </c>
      <c r="H34" s="1727">
        <f t="shared" si="13"/>
        <v>0.14404748789477773</v>
      </c>
      <c r="I34" s="1728">
        <f t="shared" si="13"/>
        <v>1.0704778815031109</v>
      </c>
      <c r="J34" s="1729" t="s">
        <v>109</v>
      </c>
      <c r="K34" s="1727">
        <f>(K30/K20)-1</f>
        <v>1.0704778815031109</v>
      </c>
    </row>
    <row r="35" spans="2:16" ht="18.75" customHeight="1" thickBot="1" x14ac:dyDescent="0.25">
      <c r="B35" s="953" t="s">
        <v>140</v>
      </c>
      <c r="C35" s="954">
        <f>((C30/C20)^(1/10))-1</f>
        <v>6.7297836953092771E-2</v>
      </c>
      <c r="D35" s="955">
        <f t="shared" ref="D35:I35" si="14">((D30/D20)^(1/10))-1</f>
        <v>6.8184616898507633E-2</v>
      </c>
      <c r="E35" s="956">
        <f t="shared" si="14"/>
        <v>6.6254155084156219E-2</v>
      </c>
      <c r="F35" s="954">
        <f t="shared" si="14"/>
        <v>6.2069071538549903E-2</v>
      </c>
      <c r="G35" s="955">
        <f t="shared" si="14"/>
        <v>6.8184616898507633E-2</v>
      </c>
      <c r="H35" s="956">
        <f t="shared" si="14"/>
        <v>1.3548196455467565E-2</v>
      </c>
      <c r="I35" s="957">
        <f t="shared" si="14"/>
        <v>7.5491691149952356E-2</v>
      </c>
      <c r="J35" s="955" t="s">
        <v>109</v>
      </c>
      <c r="K35" s="956">
        <f>((K30/K20)^(1/10))-1</f>
        <v>7.5491691149952356E-2</v>
      </c>
    </row>
    <row r="36" spans="2:16" x14ac:dyDescent="0.2">
      <c r="B36" s="644" t="s">
        <v>141</v>
      </c>
      <c r="C36" s="642"/>
      <c r="D36" s="573"/>
      <c r="E36" s="573"/>
      <c r="F36" s="573"/>
      <c r="G36" s="573"/>
      <c r="H36" s="573"/>
      <c r="I36" s="573"/>
      <c r="J36" s="573"/>
      <c r="K36" s="573"/>
    </row>
    <row r="37" spans="2:16" x14ac:dyDescent="0.2">
      <c r="B37" s="643"/>
      <c r="C37" s="861"/>
      <c r="D37" s="573"/>
      <c r="E37" s="573"/>
      <c r="F37" s="573"/>
      <c r="G37" s="573"/>
      <c r="H37" s="573"/>
      <c r="I37" s="573"/>
      <c r="J37" s="573"/>
      <c r="K37" s="573"/>
    </row>
    <row r="38" spans="2:16" x14ac:dyDescent="0.2">
      <c r="B38" s="720"/>
      <c r="C38" s="573"/>
      <c r="D38" s="573"/>
      <c r="E38" s="573"/>
      <c r="F38" s="573"/>
      <c r="G38" s="573"/>
      <c r="H38" s="573"/>
      <c r="I38" s="573"/>
      <c r="J38" s="573"/>
      <c r="K38" s="573"/>
      <c r="O38" s="157" t="s">
        <v>154</v>
      </c>
      <c r="P38" s="157" t="s">
        <v>152</v>
      </c>
    </row>
    <row r="39" spans="2:16" x14ac:dyDescent="0.2"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O39" s="203"/>
      <c r="P39" s="203"/>
    </row>
    <row r="40" spans="2:16" x14ac:dyDescent="0.2"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O40" s="203"/>
      <c r="P40" s="203"/>
    </row>
    <row r="41" spans="2:16" x14ac:dyDescent="0.2"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N41" s="157">
        <v>1995</v>
      </c>
      <c r="O41" s="203">
        <f t="shared" ref="O41:O59" si="15">F10</f>
        <v>8673.7080870000045</v>
      </c>
      <c r="P41" s="203">
        <f t="shared" ref="P41:P59" si="16">I10</f>
        <v>1175.548041</v>
      </c>
    </row>
    <row r="42" spans="2:16" x14ac:dyDescent="0.2"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N42" s="157">
        <v>1996</v>
      </c>
      <c r="O42" s="203">
        <f t="shared" si="15"/>
        <v>8770.6107359999914</v>
      </c>
      <c r="P42" s="203">
        <f t="shared" si="16"/>
        <v>1560.2288619999999</v>
      </c>
    </row>
    <row r="43" spans="2:16" x14ac:dyDescent="0.2"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N43" s="157">
        <v>1997</v>
      </c>
      <c r="O43" s="203">
        <f t="shared" si="15"/>
        <v>9377.8946799999903</v>
      </c>
      <c r="P43" s="203">
        <f t="shared" si="16"/>
        <v>3073.3354799999997</v>
      </c>
    </row>
    <row r="44" spans="2:16" x14ac:dyDescent="0.2"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N44" s="157">
        <v>1998</v>
      </c>
      <c r="O44" s="203">
        <f t="shared" si="15"/>
        <v>9878.6615729999976</v>
      </c>
      <c r="P44" s="203">
        <f t="shared" si="16"/>
        <v>4129.9152500000009</v>
      </c>
    </row>
    <row r="45" spans="2:16" x14ac:dyDescent="0.2"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N45" s="157">
        <v>1999</v>
      </c>
      <c r="O45" s="203">
        <f t="shared" si="15"/>
        <v>10198.891027000011</v>
      </c>
      <c r="P45" s="203">
        <f t="shared" si="16"/>
        <v>4393.000532</v>
      </c>
    </row>
    <row r="46" spans="2:16" x14ac:dyDescent="0.2"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N46" s="157">
        <v>2000</v>
      </c>
      <c r="O46" s="203">
        <f t="shared" si="15"/>
        <v>10763.269271000014</v>
      </c>
      <c r="P46" s="203">
        <f t="shared" si="16"/>
        <v>4782.3261210000001</v>
      </c>
    </row>
    <row r="47" spans="2:16" x14ac:dyDescent="0.2"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N47" s="157">
        <v>2001</v>
      </c>
      <c r="O47" s="203">
        <f t="shared" si="15"/>
        <v>10522.374724999987</v>
      </c>
      <c r="P47" s="203">
        <f t="shared" si="16"/>
        <v>6106.3798200000001</v>
      </c>
    </row>
    <row r="48" spans="2:16" x14ac:dyDescent="0.2"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N48" s="216">
        <v>2002</v>
      </c>
      <c r="O48" s="203">
        <f t="shared" si="15"/>
        <v>11113.547163000001</v>
      </c>
      <c r="P48" s="203">
        <f t="shared" si="16"/>
        <v>6491.7787508479996</v>
      </c>
    </row>
    <row r="49" spans="2:16" x14ac:dyDescent="0.2"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N49" s="157">
        <v>2003</v>
      </c>
      <c r="O49" s="203">
        <f t="shared" si="15"/>
        <v>11303.613573000001</v>
      </c>
      <c r="P49" s="203">
        <f t="shared" si="16"/>
        <v>7071.721837000001</v>
      </c>
    </row>
    <row r="50" spans="2:16" x14ac:dyDescent="0.2"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N50" s="216">
        <v>2004</v>
      </c>
      <c r="O50" s="203">
        <f t="shared" si="15"/>
        <v>12001.305316000002</v>
      </c>
      <c r="P50" s="203">
        <f t="shared" si="16"/>
        <v>7639.3457939999998</v>
      </c>
    </row>
    <row r="51" spans="2:16" x14ac:dyDescent="0.2"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N51" s="157">
        <v>2005</v>
      </c>
      <c r="O51" s="203">
        <f t="shared" si="15"/>
        <v>12914.287800222222</v>
      </c>
      <c r="P51" s="203">
        <f t="shared" si="16"/>
        <v>7787.095080000001</v>
      </c>
    </row>
    <row r="52" spans="2:16" x14ac:dyDescent="0.2"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N52" s="216">
        <v>2006</v>
      </c>
      <c r="O52" s="203">
        <f t="shared" si="15"/>
        <v>14043.638326999999</v>
      </c>
      <c r="P52" s="203">
        <f t="shared" si="16"/>
        <v>8246.4228259999982</v>
      </c>
    </row>
    <row r="53" spans="2:16" x14ac:dyDescent="0.2"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N53" s="216">
        <v>2007</v>
      </c>
      <c r="O53" s="203">
        <f t="shared" si="15"/>
        <v>15032.180855000001</v>
      </c>
      <c r="P53" s="203">
        <f t="shared" si="16"/>
        <v>9689.5676980000007</v>
      </c>
    </row>
    <row r="54" spans="2:16" x14ac:dyDescent="0.2"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N54" s="216">
        <v>2008</v>
      </c>
      <c r="O54" s="203">
        <f t="shared" si="15"/>
        <v>16297.176545</v>
      </c>
      <c r="P54" s="203">
        <f t="shared" si="16"/>
        <v>10667.238051</v>
      </c>
    </row>
    <row r="55" spans="2:16" x14ac:dyDescent="0.2"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N55" s="216">
        <v>2009</v>
      </c>
      <c r="O55" s="203">
        <f t="shared" si="15"/>
        <v>17000.664144999995</v>
      </c>
      <c r="P55" s="203">
        <f t="shared" si="16"/>
        <v>10086.341632</v>
      </c>
    </row>
    <row r="56" spans="2:16" x14ac:dyDescent="0.2"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N56" s="216">
        <v>2010</v>
      </c>
      <c r="O56" s="203">
        <f t="shared" si="15"/>
        <v>18195.325098000001</v>
      </c>
      <c r="P56" s="203">
        <f t="shared" si="16"/>
        <v>11240.850026</v>
      </c>
    </row>
    <row r="57" spans="2:16" x14ac:dyDescent="0.2"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N57" s="216">
        <v>2011</v>
      </c>
      <c r="O57" s="203">
        <f t="shared" si="15"/>
        <v>19753.040698251101</v>
      </c>
      <c r="P57" s="203">
        <f t="shared" si="16"/>
        <v>12067.310106999999</v>
      </c>
    </row>
    <row r="58" spans="2:16" x14ac:dyDescent="0.2"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N58" s="216">
        <v>2012</v>
      </c>
      <c r="O58" s="203">
        <f t="shared" si="15"/>
        <v>20947.295381</v>
      </c>
      <c r="P58" s="203">
        <f t="shared" si="16"/>
        <v>12700.89055</v>
      </c>
    </row>
    <row r="59" spans="2:16" ht="23.25" x14ac:dyDescent="0.35">
      <c r="B59" s="1425"/>
      <c r="C59" s="573"/>
      <c r="D59" s="573"/>
      <c r="E59" s="573"/>
      <c r="F59" s="573"/>
      <c r="G59" s="573"/>
      <c r="H59" s="573"/>
      <c r="I59" s="573"/>
      <c r="J59" s="573"/>
      <c r="K59" s="573"/>
      <c r="N59" s="216">
        <v>2013</v>
      </c>
      <c r="O59" s="203">
        <f t="shared" si="15"/>
        <v>21938.578439286001</v>
      </c>
      <c r="P59" s="203">
        <f t="shared" si="16"/>
        <v>13674.172221000001</v>
      </c>
    </row>
    <row r="60" spans="2:16" x14ac:dyDescent="0.2"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N60" s="216">
        <v>2014</v>
      </c>
      <c r="O60" s="203">
        <f>F29</f>
        <v>22781.971993398343</v>
      </c>
      <c r="P60" s="203">
        <f>I29</f>
        <v>14545.805000800003</v>
      </c>
    </row>
    <row r="61" spans="2:16" x14ac:dyDescent="0.2"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N61" s="259" t="s">
        <v>136</v>
      </c>
      <c r="O61" s="203">
        <f>F30</f>
        <v>23582.947281861023</v>
      </c>
      <c r="P61" s="203">
        <f>I30</f>
        <v>16123.008124301699</v>
      </c>
    </row>
    <row r="62" spans="2:16" x14ac:dyDescent="0.2">
      <c r="B62" s="573"/>
      <c r="C62" s="573"/>
      <c r="D62" s="573"/>
      <c r="E62" s="573"/>
      <c r="F62" s="573"/>
      <c r="G62" s="573"/>
      <c r="H62" s="573"/>
      <c r="I62" s="573"/>
      <c r="J62" s="573"/>
      <c r="K62" s="573"/>
    </row>
    <row r="63" spans="2:16" x14ac:dyDescent="0.2">
      <c r="B63" s="573"/>
      <c r="C63" s="573"/>
      <c r="D63" s="573"/>
      <c r="E63" s="573"/>
      <c r="F63" s="573"/>
      <c r="G63" s="573"/>
      <c r="H63" s="573"/>
      <c r="I63" s="573"/>
      <c r="J63" s="573"/>
      <c r="K63" s="573"/>
    </row>
    <row r="64" spans="2:16" x14ac:dyDescent="0.2">
      <c r="B64" s="573"/>
      <c r="C64" s="573"/>
      <c r="D64" s="573"/>
      <c r="E64" s="573"/>
      <c r="F64" s="573"/>
      <c r="G64" s="573"/>
      <c r="H64" s="573"/>
      <c r="I64" s="573"/>
      <c r="J64" s="573"/>
      <c r="K64" s="573"/>
    </row>
    <row r="65" spans="2:11" x14ac:dyDescent="0.2">
      <c r="B65" s="573"/>
      <c r="C65" s="573"/>
      <c r="D65" s="573"/>
      <c r="E65" s="573"/>
      <c r="F65" s="573"/>
      <c r="G65" s="573"/>
      <c r="H65" s="573"/>
      <c r="I65" s="573"/>
      <c r="J65" s="573"/>
      <c r="K65" s="573"/>
    </row>
    <row r="66" spans="2:11" x14ac:dyDescent="0.2">
      <c r="B66" s="573"/>
      <c r="C66" s="573"/>
      <c r="D66" s="573"/>
      <c r="E66" s="573"/>
      <c r="F66" s="573"/>
      <c r="G66" s="573"/>
      <c r="H66" s="573"/>
      <c r="I66" s="573"/>
      <c r="J66" s="573"/>
      <c r="K66" s="573"/>
    </row>
    <row r="67" spans="2:11" x14ac:dyDescent="0.2">
      <c r="B67" s="573"/>
      <c r="C67" s="573"/>
      <c r="D67" s="573"/>
      <c r="E67" s="573"/>
      <c r="F67" s="573"/>
      <c r="G67" s="573"/>
      <c r="H67" s="573"/>
      <c r="I67" s="573"/>
      <c r="J67" s="573"/>
      <c r="K67" s="573"/>
    </row>
    <row r="68" spans="2:11" x14ac:dyDescent="0.2">
      <c r="B68" s="573"/>
      <c r="C68" s="573"/>
      <c r="D68" s="573"/>
      <c r="E68" s="573"/>
      <c r="F68" s="573"/>
      <c r="G68" s="573"/>
      <c r="H68" s="573"/>
      <c r="I68" s="573"/>
      <c r="J68" s="573"/>
      <c r="K68" s="573"/>
    </row>
    <row r="69" spans="2:11" x14ac:dyDescent="0.2">
      <c r="B69" s="573"/>
      <c r="C69" s="573"/>
      <c r="D69" s="573"/>
      <c r="E69" s="573"/>
      <c r="F69" s="573"/>
      <c r="G69" s="573"/>
      <c r="H69" s="573"/>
      <c r="I69" s="573"/>
      <c r="J69" s="573"/>
      <c r="K69" s="573"/>
    </row>
    <row r="70" spans="2:11" x14ac:dyDescent="0.2">
      <c r="B70" s="573"/>
      <c r="C70" s="573"/>
      <c r="D70" s="573"/>
      <c r="E70" s="573"/>
      <c r="F70" s="573"/>
      <c r="G70" s="573"/>
      <c r="H70" s="573"/>
      <c r="I70" s="573"/>
      <c r="J70" s="573"/>
      <c r="K70" s="573"/>
    </row>
    <row r="71" spans="2:11" x14ac:dyDescent="0.2">
      <c r="B71" s="573"/>
      <c r="C71" s="573"/>
      <c r="D71" s="573"/>
      <c r="E71" s="573"/>
      <c r="F71" s="573"/>
      <c r="G71" s="573"/>
      <c r="H71" s="573"/>
      <c r="I71" s="573"/>
      <c r="J71" s="573"/>
      <c r="K71" s="573"/>
    </row>
    <row r="72" spans="2:11" x14ac:dyDescent="0.2">
      <c r="B72" s="573"/>
      <c r="C72" s="573"/>
      <c r="D72" s="573"/>
      <c r="E72" s="573"/>
      <c r="F72" s="573"/>
      <c r="G72" s="573"/>
      <c r="H72" s="573"/>
      <c r="I72" s="573"/>
      <c r="J72" s="573"/>
      <c r="K72" s="573"/>
    </row>
    <row r="73" spans="2:11" x14ac:dyDescent="0.2">
      <c r="B73" s="573"/>
      <c r="C73" s="573"/>
      <c r="D73" s="573"/>
      <c r="E73" s="573"/>
      <c r="F73" s="573"/>
      <c r="G73" s="573"/>
      <c r="H73" s="573"/>
      <c r="I73" s="573"/>
      <c r="J73" s="573"/>
      <c r="K73" s="573"/>
    </row>
    <row r="74" spans="2:11" x14ac:dyDescent="0.2">
      <c r="B74" s="573"/>
      <c r="C74" s="573"/>
      <c r="D74" s="573"/>
      <c r="E74" s="573"/>
      <c r="F74" s="573"/>
      <c r="G74" s="573"/>
      <c r="H74" s="573"/>
      <c r="I74" s="573"/>
      <c r="J74" s="573"/>
      <c r="K74" s="573"/>
    </row>
    <row r="75" spans="2:11" x14ac:dyDescent="0.2">
      <c r="B75" s="573"/>
      <c r="C75" s="573"/>
      <c r="D75" s="573"/>
      <c r="E75" s="573"/>
      <c r="F75" s="573"/>
      <c r="G75" s="573"/>
      <c r="H75" s="573"/>
      <c r="I75" s="573"/>
      <c r="J75" s="573"/>
      <c r="K75" s="573"/>
    </row>
    <row r="76" spans="2:11" x14ac:dyDescent="0.2">
      <c r="B76" s="573"/>
      <c r="C76" s="573"/>
      <c r="D76" s="573"/>
      <c r="E76" s="573"/>
      <c r="F76" s="573"/>
      <c r="G76" s="573"/>
      <c r="H76" s="573"/>
      <c r="I76" s="573"/>
      <c r="J76" s="573"/>
      <c r="K76" s="573"/>
    </row>
    <row r="77" spans="2:11" x14ac:dyDescent="0.2">
      <c r="B77" s="573"/>
      <c r="C77" s="573"/>
      <c r="D77" s="573"/>
      <c r="E77" s="573"/>
      <c r="F77" s="573"/>
      <c r="G77" s="573"/>
      <c r="H77" s="573"/>
      <c r="I77" s="573"/>
      <c r="J77" s="573"/>
      <c r="K77" s="573"/>
    </row>
    <row r="78" spans="2:11" x14ac:dyDescent="0.2">
      <c r="B78" s="573"/>
      <c r="C78" s="573"/>
      <c r="D78" s="573"/>
      <c r="E78" s="573"/>
      <c r="F78" s="573"/>
      <c r="G78" s="573"/>
      <c r="H78" s="573"/>
      <c r="I78" s="573"/>
      <c r="J78" s="573"/>
      <c r="K78" s="573"/>
    </row>
    <row r="79" spans="2:11" x14ac:dyDescent="0.2">
      <c r="B79" s="573"/>
      <c r="C79" s="573"/>
      <c r="D79" s="573"/>
      <c r="E79" s="573"/>
      <c r="F79" s="573"/>
      <c r="G79" s="573"/>
      <c r="H79" s="573"/>
      <c r="I79" s="573"/>
      <c r="J79" s="573"/>
      <c r="K79" s="573"/>
    </row>
    <row r="80" spans="2:11" x14ac:dyDescent="0.2">
      <c r="B80" s="573"/>
      <c r="C80" s="573"/>
      <c r="D80" s="573"/>
      <c r="E80" s="573"/>
      <c r="F80" s="573"/>
      <c r="G80" s="573"/>
      <c r="H80" s="573"/>
      <c r="I80" s="573"/>
      <c r="J80" s="573"/>
      <c r="K80" s="573"/>
    </row>
    <row r="81" spans="2:11" x14ac:dyDescent="0.2">
      <c r="B81" s="573"/>
      <c r="C81" s="573"/>
      <c r="D81" s="573"/>
      <c r="E81" s="573"/>
      <c r="F81" s="573"/>
      <c r="G81" s="573"/>
      <c r="H81" s="573"/>
      <c r="I81" s="573"/>
      <c r="J81" s="573"/>
      <c r="K81" s="573"/>
    </row>
    <row r="82" spans="2:11" x14ac:dyDescent="0.2">
      <c r="B82" s="573"/>
      <c r="C82" s="573"/>
      <c r="D82" s="573"/>
      <c r="E82" s="573"/>
      <c r="F82" s="573"/>
      <c r="G82" s="573"/>
      <c r="H82" s="573"/>
      <c r="I82" s="573"/>
      <c r="J82" s="573"/>
      <c r="K82" s="573"/>
    </row>
    <row r="83" spans="2:11" x14ac:dyDescent="0.2">
      <c r="B83" s="573"/>
      <c r="C83" s="573"/>
      <c r="D83" s="573"/>
      <c r="E83" s="573"/>
      <c r="F83" s="573"/>
      <c r="G83" s="573"/>
      <c r="H83" s="573"/>
      <c r="I83" s="573"/>
      <c r="J83" s="573"/>
      <c r="K83" s="573"/>
    </row>
    <row r="84" spans="2:11" x14ac:dyDescent="0.2">
      <c r="B84" s="573"/>
      <c r="C84" s="573"/>
      <c r="D84" s="573"/>
      <c r="E84" s="573"/>
      <c r="F84" s="573"/>
      <c r="G84" s="573"/>
      <c r="H84" s="573"/>
      <c r="I84" s="573"/>
      <c r="J84" s="573"/>
      <c r="K84" s="573"/>
    </row>
  </sheetData>
  <autoFilter ref="B1:B84"/>
  <mergeCells count="4">
    <mergeCell ref="B6:B7"/>
    <mergeCell ref="C6:E6"/>
    <mergeCell ref="F6:H6"/>
    <mergeCell ref="I6:K6"/>
  </mergeCells>
  <printOptions horizontalCentered="1" verticalCentered="1"/>
  <pageMargins left="0.47244094488188981" right="0.19685039370078741" top="0.39370078740157483" bottom="0.19685039370078741" header="0" footer="0"/>
  <pageSetup paperSize="9" scale="68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0"/>
  <sheetViews>
    <sheetView view="pageBreakPreview" zoomScaleNormal="100" zoomScaleSheetLayoutView="100" workbookViewId="0">
      <selection activeCell="I66" sqref="I66"/>
    </sheetView>
  </sheetViews>
  <sheetFormatPr baseColWidth="10" defaultRowHeight="12.75" x14ac:dyDescent="0.2"/>
  <cols>
    <col min="1" max="1" width="20" style="157" customWidth="1"/>
    <col min="2" max="2" width="15.7109375" style="157" customWidth="1"/>
    <col min="3" max="3" width="14.28515625" style="157" customWidth="1"/>
    <col min="4" max="7" width="13.28515625" style="157" customWidth="1"/>
    <col min="8" max="8" width="15.42578125" style="157" customWidth="1"/>
    <col min="9" max="11" width="13.5703125" style="157" customWidth="1"/>
    <col min="12" max="12" width="11.5703125" style="573" bestFit="1" customWidth="1"/>
    <col min="13" max="13" width="10.5703125" style="157" bestFit="1" customWidth="1"/>
    <col min="14" max="14" width="11.28515625" style="157" customWidth="1"/>
    <col min="15" max="256" width="11.42578125" style="157"/>
    <col min="257" max="257" width="20" style="157" customWidth="1"/>
    <col min="258" max="258" width="15.7109375" style="157" customWidth="1"/>
    <col min="259" max="259" width="14.28515625" style="157" customWidth="1"/>
    <col min="260" max="263" width="13.28515625" style="157" customWidth="1"/>
    <col min="264" max="264" width="15.42578125" style="157" customWidth="1"/>
    <col min="265" max="267" width="13.5703125" style="157" customWidth="1"/>
    <col min="268" max="268" width="11.5703125" style="157" bestFit="1" customWidth="1"/>
    <col min="269" max="269" width="10.5703125" style="157" bestFit="1" customWidth="1"/>
    <col min="270" max="270" width="11.28515625" style="157" customWidth="1"/>
    <col min="271" max="512" width="11.42578125" style="157"/>
    <col min="513" max="513" width="20" style="157" customWidth="1"/>
    <col min="514" max="514" width="15.7109375" style="157" customWidth="1"/>
    <col min="515" max="515" width="14.28515625" style="157" customWidth="1"/>
    <col min="516" max="519" width="13.28515625" style="157" customWidth="1"/>
    <col min="520" max="520" width="15.42578125" style="157" customWidth="1"/>
    <col min="521" max="523" width="13.5703125" style="157" customWidth="1"/>
    <col min="524" max="524" width="11.5703125" style="157" bestFit="1" customWidth="1"/>
    <col min="525" max="525" width="10.5703125" style="157" bestFit="1" customWidth="1"/>
    <col min="526" max="526" width="11.28515625" style="157" customWidth="1"/>
    <col min="527" max="768" width="11.42578125" style="157"/>
    <col min="769" max="769" width="20" style="157" customWidth="1"/>
    <col min="770" max="770" width="15.7109375" style="157" customWidth="1"/>
    <col min="771" max="771" width="14.28515625" style="157" customWidth="1"/>
    <col min="772" max="775" width="13.28515625" style="157" customWidth="1"/>
    <col min="776" max="776" width="15.42578125" style="157" customWidth="1"/>
    <col min="777" max="779" width="13.5703125" style="157" customWidth="1"/>
    <col min="780" max="780" width="11.5703125" style="157" bestFit="1" customWidth="1"/>
    <col min="781" max="781" width="10.5703125" style="157" bestFit="1" customWidth="1"/>
    <col min="782" max="782" width="11.28515625" style="157" customWidth="1"/>
    <col min="783" max="1024" width="11.42578125" style="157"/>
    <col min="1025" max="1025" width="20" style="157" customWidth="1"/>
    <col min="1026" max="1026" width="15.7109375" style="157" customWidth="1"/>
    <col min="1027" max="1027" width="14.28515625" style="157" customWidth="1"/>
    <col min="1028" max="1031" width="13.28515625" style="157" customWidth="1"/>
    <col min="1032" max="1032" width="15.42578125" style="157" customWidth="1"/>
    <col min="1033" max="1035" width="13.5703125" style="157" customWidth="1"/>
    <col min="1036" max="1036" width="11.5703125" style="157" bestFit="1" customWidth="1"/>
    <col min="1037" max="1037" width="10.5703125" style="157" bestFit="1" customWidth="1"/>
    <col min="1038" max="1038" width="11.28515625" style="157" customWidth="1"/>
    <col min="1039" max="1280" width="11.42578125" style="157"/>
    <col min="1281" max="1281" width="20" style="157" customWidth="1"/>
    <col min="1282" max="1282" width="15.7109375" style="157" customWidth="1"/>
    <col min="1283" max="1283" width="14.28515625" style="157" customWidth="1"/>
    <col min="1284" max="1287" width="13.28515625" style="157" customWidth="1"/>
    <col min="1288" max="1288" width="15.42578125" style="157" customWidth="1"/>
    <col min="1289" max="1291" width="13.5703125" style="157" customWidth="1"/>
    <col min="1292" max="1292" width="11.5703125" style="157" bestFit="1" customWidth="1"/>
    <col min="1293" max="1293" width="10.5703125" style="157" bestFit="1" customWidth="1"/>
    <col min="1294" max="1294" width="11.28515625" style="157" customWidth="1"/>
    <col min="1295" max="1536" width="11.42578125" style="157"/>
    <col min="1537" max="1537" width="20" style="157" customWidth="1"/>
    <col min="1538" max="1538" width="15.7109375" style="157" customWidth="1"/>
    <col min="1539" max="1539" width="14.28515625" style="157" customWidth="1"/>
    <col min="1540" max="1543" width="13.28515625" style="157" customWidth="1"/>
    <col min="1544" max="1544" width="15.42578125" style="157" customWidth="1"/>
    <col min="1545" max="1547" width="13.5703125" style="157" customWidth="1"/>
    <col min="1548" max="1548" width="11.5703125" style="157" bestFit="1" customWidth="1"/>
    <col min="1549" max="1549" width="10.5703125" style="157" bestFit="1" customWidth="1"/>
    <col min="1550" max="1550" width="11.28515625" style="157" customWidth="1"/>
    <col min="1551" max="1792" width="11.42578125" style="157"/>
    <col min="1793" max="1793" width="20" style="157" customWidth="1"/>
    <col min="1794" max="1794" width="15.7109375" style="157" customWidth="1"/>
    <col min="1795" max="1795" width="14.28515625" style="157" customWidth="1"/>
    <col min="1796" max="1799" width="13.28515625" style="157" customWidth="1"/>
    <col min="1800" max="1800" width="15.42578125" style="157" customWidth="1"/>
    <col min="1801" max="1803" width="13.5703125" style="157" customWidth="1"/>
    <col min="1804" max="1804" width="11.5703125" style="157" bestFit="1" customWidth="1"/>
    <col min="1805" max="1805" width="10.5703125" style="157" bestFit="1" customWidth="1"/>
    <col min="1806" max="1806" width="11.28515625" style="157" customWidth="1"/>
    <col min="1807" max="2048" width="11.42578125" style="157"/>
    <col min="2049" max="2049" width="20" style="157" customWidth="1"/>
    <col min="2050" max="2050" width="15.7109375" style="157" customWidth="1"/>
    <col min="2051" max="2051" width="14.28515625" style="157" customWidth="1"/>
    <col min="2052" max="2055" width="13.28515625" style="157" customWidth="1"/>
    <col min="2056" max="2056" width="15.42578125" style="157" customWidth="1"/>
    <col min="2057" max="2059" width="13.5703125" style="157" customWidth="1"/>
    <col min="2060" max="2060" width="11.5703125" style="157" bestFit="1" customWidth="1"/>
    <col min="2061" max="2061" width="10.5703125" style="157" bestFit="1" customWidth="1"/>
    <col min="2062" max="2062" width="11.28515625" style="157" customWidth="1"/>
    <col min="2063" max="2304" width="11.42578125" style="157"/>
    <col min="2305" max="2305" width="20" style="157" customWidth="1"/>
    <col min="2306" max="2306" width="15.7109375" style="157" customWidth="1"/>
    <col min="2307" max="2307" width="14.28515625" style="157" customWidth="1"/>
    <col min="2308" max="2311" width="13.28515625" style="157" customWidth="1"/>
    <col min="2312" max="2312" width="15.42578125" style="157" customWidth="1"/>
    <col min="2313" max="2315" width="13.5703125" style="157" customWidth="1"/>
    <col min="2316" max="2316" width="11.5703125" style="157" bestFit="1" customWidth="1"/>
    <col min="2317" max="2317" width="10.5703125" style="157" bestFit="1" customWidth="1"/>
    <col min="2318" max="2318" width="11.28515625" style="157" customWidth="1"/>
    <col min="2319" max="2560" width="11.42578125" style="157"/>
    <col min="2561" max="2561" width="20" style="157" customWidth="1"/>
    <col min="2562" max="2562" width="15.7109375" style="157" customWidth="1"/>
    <col min="2563" max="2563" width="14.28515625" style="157" customWidth="1"/>
    <col min="2564" max="2567" width="13.28515625" style="157" customWidth="1"/>
    <col min="2568" max="2568" width="15.42578125" style="157" customWidth="1"/>
    <col min="2569" max="2571" width="13.5703125" style="157" customWidth="1"/>
    <col min="2572" max="2572" width="11.5703125" style="157" bestFit="1" customWidth="1"/>
    <col min="2573" max="2573" width="10.5703125" style="157" bestFit="1" customWidth="1"/>
    <col min="2574" max="2574" width="11.28515625" style="157" customWidth="1"/>
    <col min="2575" max="2816" width="11.42578125" style="157"/>
    <col min="2817" max="2817" width="20" style="157" customWidth="1"/>
    <col min="2818" max="2818" width="15.7109375" style="157" customWidth="1"/>
    <col min="2819" max="2819" width="14.28515625" style="157" customWidth="1"/>
    <col min="2820" max="2823" width="13.28515625" style="157" customWidth="1"/>
    <col min="2824" max="2824" width="15.42578125" style="157" customWidth="1"/>
    <col min="2825" max="2827" width="13.5703125" style="157" customWidth="1"/>
    <col min="2828" max="2828" width="11.5703125" style="157" bestFit="1" customWidth="1"/>
    <col min="2829" max="2829" width="10.5703125" style="157" bestFit="1" customWidth="1"/>
    <col min="2830" max="2830" width="11.28515625" style="157" customWidth="1"/>
    <col min="2831" max="3072" width="11.42578125" style="157"/>
    <col min="3073" max="3073" width="20" style="157" customWidth="1"/>
    <col min="3074" max="3074" width="15.7109375" style="157" customWidth="1"/>
    <col min="3075" max="3075" width="14.28515625" style="157" customWidth="1"/>
    <col min="3076" max="3079" width="13.28515625" style="157" customWidth="1"/>
    <col min="3080" max="3080" width="15.42578125" style="157" customWidth="1"/>
    <col min="3081" max="3083" width="13.5703125" style="157" customWidth="1"/>
    <col min="3084" max="3084" width="11.5703125" style="157" bestFit="1" customWidth="1"/>
    <col min="3085" max="3085" width="10.5703125" style="157" bestFit="1" customWidth="1"/>
    <col min="3086" max="3086" width="11.28515625" style="157" customWidth="1"/>
    <col min="3087" max="3328" width="11.42578125" style="157"/>
    <col min="3329" max="3329" width="20" style="157" customWidth="1"/>
    <col min="3330" max="3330" width="15.7109375" style="157" customWidth="1"/>
    <col min="3331" max="3331" width="14.28515625" style="157" customWidth="1"/>
    <col min="3332" max="3335" width="13.28515625" style="157" customWidth="1"/>
    <col min="3336" max="3336" width="15.42578125" style="157" customWidth="1"/>
    <col min="3337" max="3339" width="13.5703125" style="157" customWidth="1"/>
    <col min="3340" max="3340" width="11.5703125" style="157" bestFit="1" customWidth="1"/>
    <col min="3341" max="3341" width="10.5703125" style="157" bestFit="1" customWidth="1"/>
    <col min="3342" max="3342" width="11.28515625" style="157" customWidth="1"/>
    <col min="3343" max="3584" width="11.42578125" style="157"/>
    <col min="3585" max="3585" width="20" style="157" customWidth="1"/>
    <col min="3586" max="3586" width="15.7109375" style="157" customWidth="1"/>
    <col min="3587" max="3587" width="14.28515625" style="157" customWidth="1"/>
    <col min="3588" max="3591" width="13.28515625" style="157" customWidth="1"/>
    <col min="3592" max="3592" width="15.42578125" style="157" customWidth="1"/>
    <col min="3593" max="3595" width="13.5703125" style="157" customWidth="1"/>
    <col min="3596" max="3596" width="11.5703125" style="157" bestFit="1" customWidth="1"/>
    <col min="3597" max="3597" width="10.5703125" style="157" bestFit="1" customWidth="1"/>
    <col min="3598" max="3598" width="11.28515625" style="157" customWidth="1"/>
    <col min="3599" max="3840" width="11.42578125" style="157"/>
    <col min="3841" max="3841" width="20" style="157" customWidth="1"/>
    <col min="3842" max="3842" width="15.7109375" style="157" customWidth="1"/>
    <col min="3843" max="3843" width="14.28515625" style="157" customWidth="1"/>
    <col min="3844" max="3847" width="13.28515625" style="157" customWidth="1"/>
    <col min="3848" max="3848" width="15.42578125" style="157" customWidth="1"/>
    <col min="3849" max="3851" width="13.5703125" style="157" customWidth="1"/>
    <col min="3852" max="3852" width="11.5703125" style="157" bestFit="1" customWidth="1"/>
    <col min="3853" max="3853" width="10.5703125" style="157" bestFit="1" customWidth="1"/>
    <col min="3854" max="3854" width="11.28515625" style="157" customWidth="1"/>
    <col min="3855" max="4096" width="11.42578125" style="157"/>
    <col min="4097" max="4097" width="20" style="157" customWidth="1"/>
    <col min="4098" max="4098" width="15.7109375" style="157" customWidth="1"/>
    <col min="4099" max="4099" width="14.28515625" style="157" customWidth="1"/>
    <col min="4100" max="4103" width="13.28515625" style="157" customWidth="1"/>
    <col min="4104" max="4104" width="15.42578125" style="157" customWidth="1"/>
    <col min="4105" max="4107" width="13.5703125" style="157" customWidth="1"/>
    <col min="4108" max="4108" width="11.5703125" style="157" bestFit="1" customWidth="1"/>
    <col min="4109" max="4109" width="10.5703125" style="157" bestFit="1" customWidth="1"/>
    <col min="4110" max="4110" width="11.28515625" style="157" customWidth="1"/>
    <col min="4111" max="4352" width="11.42578125" style="157"/>
    <col min="4353" max="4353" width="20" style="157" customWidth="1"/>
    <col min="4354" max="4354" width="15.7109375" style="157" customWidth="1"/>
    <col min="4355" max="4355" width="14.28515625" style="157" customWidth="1"/>
    <col min="4356" max="4359" width="13.28515625" style="157" customWidth="1"/>
    <col min="4360" max="4360" width="15.42578125" style="157" customWidth="1"/>
    <col min="4361" max="4363" width="13.5703125" style="157" customWidth="1"/>
    <col min="4364" max="4364" width="11.5703125" style="157" bestFit="1" customWidth="1"/>
    <col min="4365" max="4365" width="10.5703125" style="157" bestFit="1" customWidth="1"/>
    <col min="4366" max="4366" width="11.28515625" style="157" customWidth="1"/>
    <col min="4367" max="4608" width="11.42578125" style="157"/>
    <col min="4609" max="4609" width="20" style="157" customWidth="1"/>
    <col min="4610" max="4610" width="15.7109375" style="157" customWidth="1"/>
    <col min="4611" max="4611" width="14.28515625" style="157" customWidth="1"/>
    <col min="4612" max="4615" width="13.28515625" style="157" customWidth="1"/>
    <col min="4616" max="4616" width="15.42578125" style="157" customWidth="1"/>
    <col min="4617" max="4619" width="13.5703125" style="157" customWidth="1"/>
    <col min="4620" max="4620" width="11.5703125" style="157" bestFit="1" customWidth="1"/>
    <col min="4621" max="4621" width="10.5703125" style="157" bestFit="1" customWidth="1"/>
    <col min="4622" max="4622" width="11.28515625" style="157" customWidth="1"/>
    <col min="4623" max="4864" width="11.42578125" style="157"/>
    <col min="4865" max="4865" width="20" style="157" customWidth="1"/>
    <col min="4866" max="4866" width="15.7109375" style="157" customWidth="1"/>
    <col min="4867" max="4867" width="14.28515625" style="157" customWidth="1"/>
    <col min="4868" max="4871" width="13.28515625" style="157" customWidth="1"/>
    <col min="4872" max="4872" width="15.42578125" style="157" customWidth="1"/>
    <col min="4873" max="4875" width="13.5703125" style="157" customWidth="1"/>
    <col min="4876" max="4876" width="11.5703125" style="157" bestFit="1" customWidth="1"/>
    <col min="4877" max="4877" width="10.5703125" style="157" bestFit="1" customWidth="1"/>
    <col min="4878" max="4878" width="11.28515625" style="157" customWidth="1"/>
    <col min="4879" max="5120" width="11.42578125" style="157"/>
    <col min="5121" max="5121" width="20" style="157" customWidth="1"/>
    <col min="5122" max="5122" width="15.7109375" style="157" customWidth="1"/>
    <col min="5123" max="5123" width="14.28515625" style="157" customWidth="1"/>
    <col min="5124" max="5127" width="13.28515625" style="157" customWidth="1"/>
    <col min="5128" max="5128" width="15.42578125" style="157" customWidth="1"/>
    <col min="5129" max="5131" width="13.5703125" style="157" customWidth="1"/>
    <col min="5132" max="5132" width="11.5703125" style="157" bestFit="1" customWidth="1"/>
    <col min="5133" max="5133" width="10.5703125" style="157" bestFit="1" customWidth="1"/>
    <col min="5134" max="5134" width="11.28515625" style="157" customWidth="1"/>
    <col min="5135" max="5376" width="11.42578125" style="157"/>
    <col min="5377" max="5377" width="20" style="157" customWidth="1"/>
    <col min="5378" max="5378" width="15.7109375" style="157" customWidth="1"/>
    <col min="5379" max="5379" width="14.28515625" style="157" customWidth="1"/>
    <col min="5380" max="5383" width="13.28515625" style="157" customWidth="1"/>
    <col min="5384" max="5384" width="15.42578125" style="157" customWidth="1"/>
    <col min="5385" max="5387" width="13.5703125" style="157" customWidth="1"/>
    <col min="5388" max="5388" width="11.5703125" style="157" bestFit="1" customWidth="1"/>
    <col min="5389" max="5389" width="10.5703125" style="157" bestFit="1" customWidth="1"/>
    <col min="5390" max="5390" width="11.28515625" style="157" customWidth="1"/>
    <col min="5391" max="5632" width="11.42578125" style="157"/>
    <col min="5633" max="5633" width="20" style="157" customWidth="1"/>
    <col min="5634" max="5634" width="15.7109375" style="157" customWidth="1"/>
    <col min="5635" max="5635" width="14.28515625" style="157" customWidth="1"/>
    <col min="5636" max="5639" width="13.28515625" style="157" customWidth="1"/>
    <col min="5640" max="5640" width="15.42578125" style="157" customWidth="1"/>
    <col min="5641" max="5643" width="13.5703125" style="157" customWidth="1"/>
    <col min="5644" max="5644" width="11.5703125" style="157" bestFit="1" customWidth="1"/>
    <col min="5645" max="5645" width="10.5703125" style="157" bestFit="1" customWidth="1"/>
    <col min="5646" max="5646" width="11.28515625" style="157" customWidth="1"/>
    <col min="5647" max="5888" width="11.42578125" style="157"/>
    <col min="5889" max="5889" width="20" style="157" customWidth="1"/>
    <col min="5890" max="5890" width="15.7109375" style="157" customWidth="1"/>
    <col min="5891" max="5891" width="14.28515625" style="157" customWidth="1"/>
    <col min="5892" max="5895" width="13.28515625" style="157" customWidth="1"/>
    <col min="5896" max="5896" width="15.42578125" style="157" customWidth="1"/>
    <col min="5897" max="5899" width="13.5703125" style="157" customWidth="1"/>
    <col min="5900" max="5900" width="11.5703125" style="157" bestFit="1" customWidth="1"/>
    <col min="5901" max="5901" width="10.5703125" style="157" bestFit="1" customWidth="1"/>
    <col min="5902" max="5902" width="11.28515625" style="157" customWidth="1"/>
    <col min="5903" max="6144" width="11.42578125" style="157"/>
    <col min="6145" max="6145" width="20" style="157" customWidth="1"/>
    <col min="6146" max="6146" width="15.7109375" style="157" customWidth="1"/>
    <col min="6147" max="6147" width="14.28515625" style="157" customWidth="1"/>
    <col min="6148" max="6151" width="13.28515625" style="157" customWidth="1"/>
    <col min="6152" max="6152" width="15.42578125" style="157" customWidth="1"/>
    <col min="6153" max="6155" width="13.5703125" style="157" customWidth="1"/>
    <col min="6156" max="6156" width="11.5703125" style="157" bestFit="1" customWidth="1"/>
    <col min="6157" max="6157" width="10.5703125" style="157" bestFit="1" customWidth="1"/>
    <col min="6158" max="6158" width="11.28515625" style="157" customWidth="1"/>
    <col min="6159" max="6400" width="11.42578125" style="157"/>
    <col min="6401" max="6401" width="20" style="157" customWidth="1"/>
    <col min="6402" max="6402" width="15.7109375" style="157" customWidth="1"/>
    <col min="6403" max="6403" width="14.28515625" style="157" customWidth="1"/>
    <col min="6404" max="6407" width="13.28515625" style="157" customWidth="1"/>
    <col min="6408" max="6408" width="15.42578125" style="157" customWidth="1"/>
    <col min="6409" max="6411" width="13.5703125" style="157" customWidth="1"/>
    <col min="6412" max="6412" width="11.5703125" style="157" bestFit="1" customWidth="1"/>
    <col min="6413" max="6413" width="10.5703125" style="157" bestFit="1" customWidth="1"/>
    <col min="6414" max="6414" width="11.28515625" style="157" customWidth="1"/>
    <col min="6415" max="6656" width="11.42578125" style="157"/>
    <col min="6657" max="6657" width="20" style="157" customWidth="1"/>
    <col min="6658" max="6658" width="15.7109375" style="157" customWidth="1"/>
    <col min="6659" max="6659" width="14.28515625" style="157" customWidth="1"/>
    <col min="6660" max="6663" width="13.28515625" style="157" customWidth="1"/>
    <col min="6664" max="6664" width="15.42578125" style="157" customWidth="1"/>
    <col min="6665" max="6667" width="13.5703125" style="157" customWidth="1"/>
    <col min="6668" max="6668" width="11.5703125" style="157" bestFit="1" customWidth="1"/>
    <col min="6669" max="6669" width="10.5703125" style="157" bestFit="1" customWidth="1"/>
    <col min="6670" max="6670" width="11.28515625" style="157" customWidth="1"/>
    <col min="6671" max="6912" width="11.42578125" style="157"/>
    <col min="6913" max="6913" width="20" style="157" customWidth="1"/>
    <col min="6914" max="6914" width="15.7109375" style="157" customWidth="1"/>
    <col min="6915" max="6915" width="14.28515625" style="157" customWidth="1"/>
    <col min="6916" max="6919" width="13.28515625" style="157" customWidth="1"/>
    <col min="6920" max="6920" width="15.42578125" style="157" customWidth="1"/>
    <col min="6921" max="6923" width="13.5703125" style="157" customWidth="1"/>
    <col min="6924" max="6924" width="11.5703125" style="157" bestFit="1" customWidth="1"/>
    <col min="6925" max="6925" width="10.5703125" style="157" bestFit="1" customWidth="1"/>
    <col min="6926" max="6926" width="11.28515625" style="157" customWidth="1"/>
    <col min="6927" max="7168" width="11.42578125" style="157"/>
    <col min="7169" max="7169" width="20" style="157" customWidth="1"/>
    <col min="7170" max="7170" width="15.7109375" style="157" customWidth="1"/>
    <col min="7171" max="7171" width="14.28515625" style="157" customWidth="1"/>
    <col min="7172" max="7175" width="13.28515625" style="157" customWidth="1"/>
    <col min="7176" max="7176" width="15.42578125" style="157" customWidth="1"/>
    <col min="7177" max="7179" width="13.5703125" style="157" customWidth="1"/>
    <col min="7180" max="7180" width="11.5703125" style="157" bestFit="1" customWidth="1"/>
    <col min="7181" max="7181" width="10.5703125" style="157" bestFit="1" customWidth="1"/>
    <col min="7182" max="7182" width="11.28515625" style="157" customWidth="1"/>
    <col min="7183" max="7424" width="11.42578125" style="157"/>
    <col min="7425" max="7425" width="20" style="157" customWidth="1"/>
    <col min="7426" max="7426" width="15.7109375" style="157" customWidth="1"/>
    <col min="7427" max="7427" width="14.28515625" style="157" customWidth="1"/>
    <col min="7428" max="7431" width="13.28515625" style="157" customWidth="1"/>
    <col min="7432" max="7432" width="15.42578125" style="157" customWidth="1"/>
    <col min="7433" max="7435" width="13.5703125" style="157" customWidth="1"/>
    <col min="7436" max="7436" width="11.5703125" style="157" bestFit="1" customWidth="1"/>
    <col min="7437" max="7437" width="10.5703125" style="157" bestFit="1" customWidth="1"/>
    <col min="7438" max="7438" width="11.28515625" style="157" customWidth="1"/>
    <col min="7439" max="7680" width="11.42578125" style="157"/>
    <col min="7681" max="7681" width="20" style="157" customWidth="1"/>
    <col min="7682" max="7682" width="15.7109375" style="157" customWidth="1"/>
    <col min="7683" max="7683" width="14.28515625" style="157" customWidth="1"/>
    <col min="7684" max="7687" width="13.28515625" style="157" customWidth="1"/>
    <col min="7688" max="7688" width="15.42578125" style="157" customWidth="1"/>
    <col min="7689" max="7691" width="13.5703125" style="157" customWidth="1"/>
    <col min="7692" max="7692" width="11.5703125" style="157" bestFit="1" customWidth="1"/>
    <col min="7693" max="7693" width="10.5703125" style="157" bestFit="1" customWidth="1"/>
    <col min="7694" max="7694" width="11.28515625" style="157" customWidth="1"/>
    <col min="7695" max="7936" width="11.42578125" style="157"/>
    <col min="7937" max="7937" width="20" style="157" customWidth="1"/>
    <col min="7938" max="7938" width="15.7109375" style="157" customWidth="1"/>
    <col min="7939" max="7939" width="14.28515625" style="157" customWidth="1"/>
    <col min="7940" max="7943" width="13.28515625" style="157" customWidth="1"/>
    <col min="7944" max="7944" width="15.42578125" style="157" customWidth="1"/>
    <col min="7945" max="7947" width="13.5703125" style="157" customWidth="1"/>
    <col min="7948" max="7948" width="11.5703125" style="157" bestFit="1" customWidth="1"/>
    <col min="7949" max="7949" width="10.5703125" style="157" bestFit="1" customWidth="1"/>
    <col min="7950" max="7950" width="11.28515625" style="157" customWidth="1"/>
    <col min="7951" max="8192" width="11.42578125" style="157"/>
    <col min="8193" max="8193" width="20" style="157" customWidth="1"/>
    <col min="8194" max="8194" width="15.7109375" style="157" customWidth="1"/>
    <col min="8195" max="8195" width="14.28515625" style="157" customWidth="1"/>
    <col min="8196" max="8199" width="13.28515625" style="157" customWidth="1"/>
    <col min="8200" max="8200" width="15.42578125" style="157" customWidth="1"/>
    <col min="8201" max="8203" width="13.5703125" style="157" customWidth="1"/>
    <col min="8204" max="8204" width="11.5703125" style="157" bestFit="1" customWidth="1"/>
    <col min="8205" max="8205" width="10.5703125" style="157" bestFit="1" customWidth="1"/>
    <col min="8206" max="8206" width="11.28515625" style="157" customWidth="1"/>
    <col min="8207" max="8448" width="11.42578125" style="157"/>
    <col min="8449" max="8449" width="20" style="157" customWidth="1"/>
    <col min="8450" max="8450" width="15.7109375" style="157" customWidth="1"/>
    <col min="8451" max="8451" width="14.28515625" style="157" customWidth="1"/>
    <col min="8452" max="8455" width="13.28515625" style="157" customWidth="1"/>
    <col min="8456" max="8456" width="15.42578125" style="157" customWidth="1"/>
    <col min="8457" max="8459" width="13.5703125" style="157" customWidth="1"/>
    <col min="8460" max="8460" width="11.5703125" style="157" bestFit="1" customWidth="1"/>
    <col min="8461" max="8461" width="10.5703125" style="157" bestFit="1" customWidth="1"/>
    <col min="8462" max="8462" width="11.28515625" style="157" customWidth="1"/>
    <col min="8463" max="8704" width="11.42578125" style="157"/>
    <col min="8705" max="8705" width="20" style="157" customWidth="1"/>
    <col min="8706" max="8706" width="15.7109375" style="157" customWidth="1"/>
    <col min="8707" max="8707" width="14.28515625" style="157" customWidth="1"/>
    <col min="8708" max="8711" width="13.28515625" style="157" customWidth="1"/>
    <col min="8712" max="8712" width="15.42578125" style="157" customWidth="1"/>
    <col min="8713" max="8715" width="13.5703125" style="157" customWidth="1"/>
    <col min="8716" max="8716" width="11.5703125" style="157" bestFit="1" customWidth="1"/>
    <col min="8717" max="8717" width="10.5703125" style="157" bestFit="1" customWidth="1"/>
    <col min="8718" max="8718" width="11.28515625" style="157" customWidth="1"/>
    <col min="8719" max="8960" width="11.42578125" style="157"/>
    <col min="8961" max="8961" width="20" style="157" customWidth="1"/>
    <col min="8962" max="8962" width="15.7109375" style="157" customWidth="1"/>
    <col min="8963" max="8963" width="14.28515625" style="157" customWidth="1"/>
    <col min="8964" max="8967" width="13.28515625" style="157" customWidth="1"/>
    <col min="8968" max="8968" width="15.42578125" style="157" customWidth="1"/>
    <col min="8969" max="8971" width="13.5703125" style="157" customWidth="1"/>
    <col min="8972" max="8972" width="11.5703125" style="157" bestFit="1" customWidth="1"/>
    <col min="8973" max="8973" width="10.5703125" style="157" bestFit="1" customWidth="1"/>
    <col min="8974" max="8974" width="11.28515625" style="157" customWidth="1"/>
    <col min="8975" max="9216" width="11.42578125" style="157"/>
    <col min="9217" max="9217" width="20" style="157" customWidth="1"/>
    <col min="9218" max="9218" width="15.7109375" style="157" customWidth="1"/>
    <col min="9219" max="9219" width="14.28515625" style="157" customWidth="1"/>
    <col min="9220" max="9223" width="13.28515625" style="157" customWidth="1"/>
    <col min="9224" max="9224" width="15.42578125" style="157" customWidth="1"/>
    <col min="9225" max="9227" width="13.5703125" style="157" customWidth="1"/>
    <col min="9228" max="9228" width="11.5703125" style="157" bestFit="1" customWidth="1"/>
    <col min="9229" max="9229" width="10.5703125" style="157" bestFit="1" customWidth="1"/>
    <col min="9230" max="9230" width="11.28515625" style="157" customWidth="1"/>
    <col min="9231" max="9472" width="11.42578125" style="157"/>
    <col min="9473" max="9473" width="20" style="157" customWidth="1"/>
    <col min="9474" max="9474" width="15.7109375" style="157" customWidth="1"/>
    <col min="9475" max="9475" width="14.28515625" style="157" customWidth="1"/>
    <col min="9476" max="9479" width="13.28515625" style="157" customWidth="1"/>
    <col min="9480" max="9480" width="15.42578125" style="157" customWidth="1"/>
    <col min="9481" max="9483" width="13.5703125" style="157" customWidth="1"/>
    <col min="9484" max="9484" width="11.5703125" style="157" bestFit="1" customWidth="1"/>
    <col min="9485" max="9485" width="10.5703125" style="157" bestFit="1" customWidth="1"/>
    <col min="9486" max="9486" width="11.28515625" style="157" customWidth="1"/>
    <col min="9487" max="9728" width="11.42578125" style="157"/>
    <col min="9729" max="9729" width="20" style="157" customWidth="1"/>
    <col min="9730" max="9730" width="15.7109375" style="157" customWidth="1"/>
    <col min="9731" max="9731" width="14.28515625" style="157" customWidth="1"/>
    <col min="9732" max="9735" width="13.28515625" style="157" customWidth="1"/>
    <col min="9736" max="9736" width="15.42578125" style="157" customWidth="1"/>
    <col min="9737" max="9739" width="13.5703125" style="157" customWidth="1"/>
    <col min="9740" max="9740" width="11.5703125" style="157" bestFit="1" customWidth="1"/>
    <col min="9741" max="9741" width="10.5703125" style="157" bestFit="1" customWidth="1"/>
    <col min="9742" max="9742" width="11.28515625" style="157" customWidth="1"/>
    <col min="9743" max="9984" width="11.42578125" style="157"/>
    <col min="9985" max="9985" width="20" style="157" customWidth="1"/>
    <col min="9986" max="9986" width="15.7109375" style="157" customWidth="1"/>
    <col min="9987" max="9987" width="14.28515625" style="157" customWidth="1"/>
    <col min="9988" max="9991" width="13.28515625" style="157" customWidth="1"/>
    <col min="9992" max="9992" width="15.42578125" style="157" customWidth="1"/>
    <col min="9993" max="9995" width="13.5703125" style="157" customWidth="1"/>
    <col min="9996" max="9996" width="11.5703125" style="157" bestFit="1" customWidth="1"/>
    <col min="9997" max="9997" width="10.5703125" style="157" bestFit="1" customWidth="1"/>
    <col min="9998" max="9998" width="11.28515625" style="157" customWidth="1"/>
    <col min="9999" max="10240" width="11.42578125" style="157"/>
    <col min="10241" max="10241" width="20" style="157" customWidth="1"/>
    <col min="10242" max="10242" width="15.7109375" style="157" customWidth="1"/>
    <col min="10243" max="10243" width="14.28515625" style="157" customWidth="1"/>
    <col min="10244" max="10247" width="13.28515625" style="157" customWidth="1"/>
    <col min="10248" max="10248" width="15.42578125" style="157" customWidth="1"/>
    <col min="10249" max="10251" width="13.5703125" style="157" customWidth="1"/>
    <col min="10252" max="10252" width="11.5703125" style="157" bestFit="1" customWidth="1"/>
    <col min="10253" max="10253" width="10.5703125" style="157" bestFit="1" customWidth="1"/>
    <col min="10254" max="10254" width="11.28515625" style="157" customWidth="1"/>
    <col min="10255" max="10496" width="11.42578125" style="157"/>
    <col min="10497" max="10497" width="20" style="157" customWidth="1"/>
    <col min="10498" max="10498" width="15.7109375" style="157" customWidth="1"/>
    <col min="10499" max="10499" width="14.28515625" style="157" customWidth="1"/>
    <col min="10500" max="10503" width="13.28515625" style="157" customWidth="1"/>
    <col min="10504" max="10504" width="15.42578125" style="157" customWidth="1"/>
    <col min="10505" max="10507" width="13.5703125" style="157" customWidth="1"/>
    <col min="10508" max="10508" width="11.5703125" style="157" bestFit="1" customWidth="1"/>
    <col min="10509" max="10509" width="10.5703125" style="157" bestFit="1" customWidth="1"/>
    <col min="10510" max="10510" width="11.28515625" style="157" customWidth="1"/>
    <col min="10511" max="10752" width="11.42578125" style="157"/>
    <col min="10753" max="10753" width="20" style="157" customWidth="1"/>
    <col min="10754" max="10754" width="15.7109375" style="157" customWidth="1"/>
    <col min="10755" max="10755" width="14.28515625" style="157" customWidth="1"/>
    <col min="10756" max="10759" width="13.28515625" style="157" customWidth="1"/>
    <col min="10760" max="10760" width="15.42578125" style="157" customWidth="1"/>
    <col min="10761" max="10763" width="13.5703125" style="157" customWidth="1"/>
    <col min="10764" max="10764" width="11.5703125" style="157" bestFit="1" customWidth="1"/>
    <col min="10765" max="10765" width="10.5703125" style="157" bestFit="1" customWidth="1"/>
    <col min="10766" max="10766" width="11.28515625" style="157" customWidth="1"/>
    <col min="10767" max="11008" width="11.42578125" style="157"/>
    <col min="11009" max="11009" width="20" style="157" customWidth="1"/>
    <col min="11010" max="11010" width="15.7109375" style="157" customWidth="1"/>
    <col min="11011" max="11011" width="14.28515625" style="157" customWidth="1"/>
    <col min="11012" max="11015" width="13.28515625" style="157" customWidth="1"/>
    <col min="11016" max="11016" width="15.42578125" style="157" customWidth="1"/>
    <col min="11017" max="11019" width="13.5703125" style="157" customWidth="1"/>
    <col min="11020" max="11020" width="11.5703125" style="157" bestFit="1" customWidth="1"/>
    <col min="11021" max="11021" width="10.5703125" style="157" bestFit="1" customWidth="1"/>
    <col min="11022" max="11022" width="11.28515625" style="157" customWidth="1"/>
    <col min="11023" max="11264" width="11.42578125" style="157"/>
    <col min="11265" max="11265" width="20" style="157" customWidth="1"/>
    <col min="11266" max="11266" width="15.7109375" style="157" customWidth="1"/>
    <col min="11267" max="11267" width="14.28515625" style="157" customWidth="1"/>
    <col min="11268" max="11271" width="13.28515625" style="157" customWidth="1"/>
    <col min="11272" max="11272" width="15.42578125" style="157" customWidth="1"/>
    <col min="11273" max="11275" width="13.5703125" style="157" customWidth="1"/>
    <col min="11276" max="11276" width="11.5703125" style="157" bestFit="1" customWidth="1"/>
    <col min="11277" max="11277" width="10.5703125" style="157" bestFit="1" customWidth="1"/>
    <col min="11278" max="11278" width="11.28515625" style="157" customWidth="1"/>
    <col min="11279" max="11520" width="11.42578125" style="157"/>
    <col min="11521" max="11521" width="20" style="157" customWidth="1"/>
    <col min="11522" max="11522" width="15.7109375" style="157" customWidth="1"/>
    <col min="11523" max="11523" width="14.28515625" style="157" customWidth="1"/>
    <col min="11524" max="11527" width="13.28515625" style="157" customWidth="1"/>
    <col min="11528" max="11528" width="15.42578125" style="157" customWidth="1"/>
    <col min="11529" max="11531" width="13.5703125" style="157" customWidth="1"/>
    <col min="11532" max="11532" width="11.5703125" style="157" bestFit="1" customWidth="1"/>
    <col min="11533" max="11533" width="10.5703125" style="157" bestFit="1" customWidth="1"/>
    <col min="11534" max="11534" width="11.28515625" style="157" customWidth="1"/>
    <col min="11535" max="11776" width="11.42578125" style="157"/>
    <col min="11777" max="11777" width="20" style="157" customWidth="1"/>
    <col min="11778" max="11778" width="15.7109375" style="157" customWidth="1"/>
    <col min="11779" max="11779" width="14.28515625" style="157" customWidth="1"/>
    <col min="11780" max="11783" width="13.28515625" style="157" customWidth="1"/>
    <col min="11784" max="11784" width="15.42578125" style="157" customWidth="1"/>
    <col min="11785" max="11787" width="13.5703125" style="157" customWidth="1"/>
    <col min="11788" max="11788" width="11.5703125" style="157" bestFit="1" customWidth="1"/>
    <col min="11789" max="11789" width="10.5703125" style="157" bestFit="1" customWidth="1"/>
    <col min="11790" max="11790" width="11.28515625" style="157" customWidth="1"/>
    <col min="11791" max="12032" width="11.42578125" style="157"/>
    <col min="12033" max="12033" width="20" style="157" customWidth="1"/>
    <col min="12034" max="12034" width="15.7109375" style="157" customWidth="1"/>
    <col min="12035" max="12035" width="14.28515625" style="157" customWidth="1"/>
    <col min="12036" max="12039" width="13.28515625" style="157" customWidth="1"/>
    <col min="12040" max="12040" width="15.42578125" style="157" customWidth="1"/>
    <col min="12041" max="12043" width="13.5703125" style="157" customWidth="1"/>
    <col min="12044" max="12044" width="11.5703125" style="157" bestFit="1" customWidth="1"/>
    <col min="12045" max="12045" width="10.5703125" style="157" bestFit="1" customWidth="1"/>
    <col min="12046" max="12046" width="11.28515625" style="157" customWidth="1"/>
    <col min="12047" max="12288" width="11.42578125" style="157"/>
    <col min="12289" max="12289" width="20" style="157" customWidth="1"/>
    <col min="12290" max="12290" width="15.7109375" style="157" customWidth="1"/>
    <col min="12291" max="12291" width="14.28515625" style="157" customWidth="1"/>
    <col min="12292" max="12295" width="13.28515625" style="157" customWidth="1"/>
    <col min="12296" max="12296" width="15.42578125" style="157" customWidth="1"/>
    <col min="12297" max="12299" width="13.5703125" style="157" customWidth="1"/>
    <col min="12300" max="12300" width="11.5703125" style="157" bestFit="1" customWidth="1"/>
    <col min="12301" max="12301" width="10.5703125" style="157" bestFit="1" customWidth="1"/>
    <col min="12302" max="12302" width="11.28515625" style="157" customWidth="1"/>
    <col min="12303" max="12544" width="11.42578125" style="157"/>
    <col min="12545" max="12545" width="20" style="157" customWidth="1"/>
    <col min="12546" max="12546" width="15.7109375" style="157" customWidth="1"/>
    <col min="12547" max="12547" width="14.28515625" style="157" customWidth="1"/>
    <col min="12548" max="12551" width="13.28515625" style="157" customWidth="1"/>
    <col min="12552" max="12552" width="15.42578125" style="157" customWidth="1"/>
    <col min="12553" max="12555" width="13.5703125" style="157" customWidth="1"/>
    <col min="12556" max="12556" width="11.5703125" style="157" bestFit="1" customWidth="1"/>
    <col min="12557" max="12557" width="10.5703125" style="157" bestFit="1" customWidth="1"/>
    <col min="12558" max="12558" width="11.28515625" style="157" customWidth="1"/>
    <col min="12559" max="12800" width="11.42578125" style="157"/>
    <col min="12801" max="12801" width="20" style="157" customWidth="1"/>
    <col min="12802" max="12802" width="15.7109375" style="157" customWidth="1"/>
    <col min="12803" max="12803" width="14.28515625" style="157" customWidth="1"/>
    <col min="12804" max="12807" width="13.28515625" style="157" customWidth="1"/>
    <col min="12808" max="12808" width="15.42578125" style="157" customWidth="1"/>
    <col min="12809" max="12811" width="13.5703125" style="157" customWidth="1"/>
    <col min="12812" max="12812" width="11.5703125" style="157" bestFit="1" customWidth="1"/>
    <col min="12813" max="12813" width="10.5703125" style="157" bestFit="1" customWidth="1"/>
    <col min="12814" max="12814" width="11.28515625" style="157" customWidth="1"/>
    <col min="12815" max="13056" width="11.42578125" style="157"/>
    <col min="13057" max="13057" width="20" style="157" customWidth="1"/>
    <col min="13058" max="13058" width="15.7109375" style="157" customWidth="1"/>
    <col min="13059" max="13059" width="14.28515625" style="157" customWidth="1"/>
    <col min="13060" max="13063" width="13.28515625" style="157" customWidth="1"/>
    <col min="13064" max="13064" width="15.42578125" style="157" customWidth="1"/>
    <col min="13065" max="13067" width="13.5703125" style="157" customWidth="1"/>
    <col min="13068" max="13068" width="11.5703125" style="157" bestFit="1" customWidth="1"/>
    <col min="13069" max="13069" width="10.5703125" style="157" bestFit="1" customWidth="1"/>
    <col min="13070" max="13070" width="11.28515625" style="157" customWidth="1"/>
    <col min="13071" max="13312" width="11.42578125" style="157"/>
    <col min="13313" max="13313" width="20" style="157" customWidth="1"/>
    <col min="13314" max="13314" width="15.7109375" style="157" customWidth="1"/>
    <col min="13315" max="13315" width="14.28515625" style="157" customWidth="1"/>
    <col min="13316" max="13319" width="13.28515625" style="157" customWidth="1"/>
    <col min="13320" max="13320" width="15.42578125" style="157" customWidth="1"/>
    <col min="13321" max="13323" width="13.5703125" style="157" customWidth="1"/>
    <col min="13324" max="13324" width="11.5703125" style="157" bestFit="1" customWidth="1"/>
    <col min="13325" max="13325" width="10.5703125" style="157" bestFit="1" customWidth="1"/>
    <col min="13326" max="13326" width="11.28515625" style="157" customWidth="1"/>
    <col min="13327" max="13568" width="11.42578125" style="157"/>
    <col min="13569" max="13569" width="20" style="157" customWidth="1"/>
    <col min="13570" max="13570" width="15.7109375" style="157" customWidth="1"/>
    <col min="13571" max="13571" width="14.28515625" style="157" customWidth="1"/>
    <col min="13572" max="13575" width="13.28515625" style="157" customWidth="1"/>
    <col min="13576" max="13576" width="15.42578125" style="157" customWidth="1"/>
    <col min="13577" max="13579" width="13.5703125" style="157" customWidth="1"/>
    <col min="13580" max="13580" width="11.5703125" style="157" bestFit="1" customWidth="1"/>
    <col min="13581" max="13581" width="10.5703125" style="157" bestFit="1" customWidth="1"/>
    <col min="13582" max="13582" width="11.28515625" style="157" customWidth="1"/>
    <col min="13583" max="13824" width="11.42578125" style="157"/>
    <col min="13825" max="13825" width="20" style="157" customWidth="1"/>
    <col min="13826" max="13826" width="15.7109375" style="157" customWidth="1"/>
    <col min="13827" max="13827" width="14.28515625" style="157" customWidth="1"/>
    <col min="13828" max="13831" width="13.28515625" style="157" customWidth="1"/>
    <col min="13832" max="13832" width="15.42578125" style="157" customWidth="1"/>
    <col min="13833" max="13835" width="13.5703125" style="157" customWidth="1"/>
    <col min="13836" max="13836" width="11.5703125" style="157" bestFit="1" customWidth="1"/>
    <col min="13837" max="13837" width="10.5703125" style="157" bestFit="1" customWidth="1"/>
    <col min="13838" max="13838" width="11.28515625" style="157" customWidth="1"/>
    <col min="13839" max="14080" width="11.42578125" style="157"/>
    <col min="14081" max="14081" width="20" style="157" customWidth="1"/>
    <col min="14082" max="14082" width="15.7109375" style="157" customWidth="1"/>
    <col min="14083" max="14083" width="14.28515625" style="157" customWidth="1"/>
    <col min="14084" max="14087" width="13.28515625" style="157" customWidth="1"/>
    <col min="14088" max="14088" width="15.42578125" style="157" customWidth="1"/>
    <col min="14089" max="14091" width="13.5703125" style="157" customWidth="1"/>
    <col min="14092" max="14092" width="11.5703125" style="157" bestFit="1" customWidth="1"/>
    <col min="14093" max="14093" width="10.5703125" style="157" bestFit="1" customWidth="1"/>
    <col min="14094" max="14094" width="11.28515625" style="157" customWidth="1"/>
    <col min="14095" max="14336" width="11.42578125" style="157"/>
    <col min="14337" max="14337" width="20" style="157" customWidth="1"/>
    <col min="14338" max="14338" width="15.7109375" style="157" customWidth="1"/>
    <col min="14339" max="14339" width="14.28515625" style="157" customWidth="1"/>
    <col min="14340" max="14343" width="13.28515625" style="157" customWidth="1"/>
    <col min="14344" max="14344" width="15.42578125" style="157" customWidth="1"/>
    <col min="14345" max="14347" width="13.5703125" style="157" customWidth="1"/>
    <col min="14348" max="14348" width="11.5703125" style="157" bestFit="1" customWidth="1"/>
    <col min="14349" max="14349" width="10.5703125" style="157" bestFit="1" customWidth="1"/>
    <col min="14350" max="14350" width="11.28515625" style="157" customWidth="1"/>
    <col min="14351" max="14592" width="11.42578125" style="157"/>
    <col min="14593" max="14593" width="20" style="157" customWidth="1"/>
    <col min="14594" max="14594" width="15.7109375" style="157" customWidth="1"/>
    <col min="14595" max="14595" width="14.28515625" style="157" customWidth="1"/>
    <col min="14596" max="14599" width="13.28515625" style="157" customWidth="1"/>
    <col min="14600" max="14600" width="15.42578125" style="157" customWidth="1"/>
    <col min="14601" max="14603" width="13.5703125" style="157" customWidth="1"/>
    <col min="14604" max="14604" width="11.5703125" style="157" bestFit="1" customWidth="1"/>
    <col min="14605" max="14605" width="10.5703125" style="157" bestFit="1" customWidth="1"/>
    <col min="14606" max="14606" width="11.28515625" style="157" customWidth="1"/>
    <col min="14607" max="14848" width="11.42578125" style="157"/>
    <col min="14849" max="14849" width="20" style="157" customWidth="1"/>
    <col min="14850" max="14850" width="15.7109375" style="157" customWidth="1"/>
    <col min="14851" max="14851" width="14.28515625" style="157" customWidth="1"/>
    <col min="14852" max="14855" width="13.28515625" style="157" customWidth="1"/>
    <col min="14856" max="14856" width="15.42578125" style="157" customWidth="1"/>
    <col min="14857" max="14859" width="13.5703125" style="157" customWidth="1"/>
    <col min="14860" max="14860" width="11.5703125" style="157" bestFit="1" customWidth="1"/>
    <col min="14861" max="14861" width="10.5703125" style="157" bestFit="1" customWidth="1"/>
    <col min="14862" max="14862" width="11.28515625" style="157" customWidth="1"/>
    <col min="14863" max="15104" width="11.42578125" style="157"/>
    <col min="15105" max="15105" width="20" style="157" customWidth="1"/>
    <col min="15106" max="15106" width="15.7109375" style="157" customWidth="1"/>
    <col min="15107" max="15107" width="14.28515625" style="157" customWidth="1"/>
    <col min="15108" max="15111" width="13.28515625" style="157" customWidth="1"/>
    <col min="15112" max="15112" width="15.42578125" style="157" customWidth="1"/>
    <col min="15113" max="15115" width="13.5703125" style="157" customWidth="1"/>
    <col min="15116" max="15116" width="11.5703125" style="157" bestFit="1" customWidth="1"/>
    <col min="15117" max="15117" width="10.5703125" style="157" bestFit="1" customWidth="1"/>
    <col min="15118" max="15118" width="11.28515625" style="157" customWidth="1"/>
    <col min="15119" max="15360" width="11.42578125" style="157"/>
    <col min="15361" max="15361" width="20" style="157" customWidth="1"/>
    <col min="15362" max="15362" width="15.7109375" style="157" customWidth="1"/>
    <col min="15363" max="15363" width="14.28515625" style="157" customWidth="1"/>
    <col min="15364" max="15367" width="13.28515625" style="157" customWidth="1"/>
    <col min="15368" max="15368" width="15.42578125" style="157" customWidth="1"/>
    <col min="15369" max="15371" width="13.5703125" style="157" customWidth="1"/>
    <col min="15372" max="15372" width="11.5703125" style="157" bestFit="1" customWidth="1"/>
    <col min="15373" max="15373" width="10.5703125" style="157" bestFit="1" customWidth="1"/>
    <col min="15374" max="15374" width="11.28515625" style="157" customWidth="1"/>
    <col min="15375" max="15616" width="11.42578125" style="157"/>
    <col min="15617" max="15617" width="20" style="157" customWidth="1"/>
    <col min="15618" max="15618" width="15.7109375" style="157" customWidth="1"/>
    <col min="15619" max="15619" width="14.28515625" style="157" customWidth="1"/>
    <col min="15620" max="15623" width="13.28515625" style="157" customWidth="1"/>
    <col min="15624" max="15624" width="15.42578125" style="157" customWidth="1"/>
    <col min="15625" max="15627" width="13.5703125" style="157" customWidth="1"/>
    <col min="15628" max="15628" width="11.5703125" style="157" bestFit="1" customWidth="1"/>
    <col min="15629" max="15629" width="10.5703125" style="157" bestFit="1" customWidth="1"/>
    <col min="15630" max="15630" width="11.28515625" style="157" customWidth="1"/>
    <col min="15631" max="15872" width="11.42578125" style="157"/>
    <col min="15873" max="15873" width="20" style="157" customWidth="1"/>
    <col min="15874" max="15874" width="15.7109375" style="157" customWidth="1"/>
    <col min="15875" max="15875" width="14.28515625" style="157" customWidth="1"/>
    <col min="15876" max="15879" width="13.28515625" style="157" customWidth="1"/>
    <col min="15880" max="15880" width="15.42578125" style="157" customWidth="1"/>
    <col min="15881" max="15883" width="13.5703125" style="157" customWidth="1"/>
    <col min="15884" max="15884" width="11.5703125" style="157" bestFit="1" customWidth="1"/>
    <col min="15885" max="15885" width="10.5703125" style="157" bestFit="1" customWidth="1"/>
    <col min="15886" max="15886" width="11.28515625" style="157" customWidth="1"/>
    <col min="15887" max="16128" width="11.42578125" style="157"/>
    <col min="16129" max="16129" width="20" style="157" customWidth="1"/>
    <col min="16130" max="16130" width="15.7109375" style="157" customWidth="1"/>
    <col min="16131" max="16131" width="14.28515625" style="157" customWidth="1"/>
    <col min="16132" max="16135" width="13.28515625" style="157" customWidth="1"/>
    <col min="16136" max="16136" width="15.42578125" style="157" customWidth="1"/>
    <col min="16137" max="16139" width="13.5703125" style="157" customWidth="1"/>
    <col min="16140" max="16140" width="11.5703125" style="157" bestFit="1" customWidth="1"/>
    <col min="16141" max="16141" width="10.5703125" style="157" bestFit="1" customWidth="1"/>
    <col min="16142" max="16142" width="11.28515625" style="157" customWidth="1"/>
    <col min="16143" max="16384" width="11.42578125" style="157"/>
  </cols>
  <sheetData>
    <row r="1" spans="1:14" x14ac:dyDescent="0.2">
      <c r="A1" s="573"/>
      <c r="B1" s="573"/>
      <c r="C1" s="573"/>
      <c r="D1" s="573"/>
      <c r="E1" s="573"/>
      <c r="F1" s="573"/>
      <c r="G1" s="573"/>
      <c r="H1" s="573"/>
      <c r="I1" s="573"/>
      <c r="J1" s="573"/>
      <c r="K1" s="573"/>
    </row>
    <row r="2" spans="1:14" x14ac:dyDescent="0.2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</row>
    <row r="3" spans="1:14" ht="15.75" x14ac:dyDescent="0.25">
      <c r="A3" s="646" t="s">
        <v>278</v>
      </c>
      <c r="B3" s="573"/>
      <c r="C3" s="573"/>
      <c r="D3" s="573"/>
      <c r="E3" s="573"/>
      <c r="F3" s="573"/>
      <c r="G3" s="573"/>
      <c r="H3" s="573"/>
      <c r="I3" s="573"/>
      <c r="J3" s="573"/>
      <c r="K3" s="573"/>
    </row>
    <row r="4" spans="1:14" x14ac:dyDescent="0.2">
      <c r="A4" s="643"/>
      <c r="B4" s="573"/>
      <c r="C4" s="573"/>
      <c r="D4" s="573"/>
      <c r="E4" s="573"/>
      <c r="F4" s="573"/>
      <c r="G4" s="573"/>
      <c r="H4" s="573"/>
      <c r="I4" s="573"/>
      <c r="J4" s="573"/>
      <c r="K4" s="573"/>
    </row>
    <row r="5" spans="1:14" ht="18" customHeight="1" thickBot="1" x14ac:dyDescent="0.25">
      <c r="A5" s="573"/>
      <c r="B5" s="573"/>
      <c r="C5" s="573"/>
      <c r="D5" s="573"/>
      <c r="E5" s="573"/>
      <c r="F5" s="573"/>
      <c r="G5" s="573"/>
      <c r="H5" s="573"/>
      <c r="I5" s="573"/>
      <c r="J5" s="573"/>
      <c r="K5" s="573"/>
    </row>
    <row r="6" spans="1:14" ht="18" customHeight="1" x14ac:dyDescent="0.2">
      <c r="A6" s="519" t="s">
        <v>132</v>
      </c>
      <c r="B6" s="1341" t="s">
        <v>199</v>
      </c>
      <c r="C6" s="1374" t="s">
        <v>266</v>
      </c>
      <c r="D6" s="1375"/>
      <c r="E6" s="1375"/>
      <c r="F6" s="1375"/>
      <c r="G6" s="1376"/>
      <c r="H6" s="1374" t="s">
        <v>267</v>
      </c>
      <c r="I6" s="1375"/>
      <c r="J6" s="1375"/>
      <c r="K6" s="1375"/>
      <c r="L6" s="1379"/>
      <c r="M6" s="958"/>
      <c r="N6" s="958"/>
    </row>
    <row r="7" spans="1:14" ht="13.5" thickBot="1" x14ac:dyDescent="0.25">
      <c r="A7" s="353"/>
      <c r="B7" s="357"/>
      <c r="C7" s="486" t="s">
        <v>203</v>
      </c>
      <c r="D7" s="485" t="s">
        <v>268</v>
      </c>
      <c r="E7" s="863" t="s">
        <v>269</v>
      </c>
      <c r="F7" s="485" t="s">
        <v>270</v>
      </c>
      <c r="G7" s="959" t="s">
        <v>271</v>
      </c>
      <c r="H7" s="486" t="s">
        <v>203</v>
      </c>
      <c r="I7" s="485" t="s">
        <v>268</v>
      </c>
      <c r="J7" s="863" t="s">
        <v>269</v>
      </c>
      <c r="K7" s="485" t="s">
        <v>270</v>
      </c>
      <c r="L7" s="487" t="s">
        <v>271</v>
      </c>
    </row>
    <row r="8" spans="1:14" ht="15" x14ac:dyDescent="0.25">
      <c r="A8" s="728"/>
      <c r="B8" s="960"/>
      <c r="C8" s="961"/>
      <c r="D8" s="962"/>
      <c r="E8" s="963"/>
      <c r="F8" s="962"/>
      <c r="G8" s="961"/>
      <c r="H8" s="964"/>
      <c r="I8" s="960"/>
      <c r="J8" s="963"/>
      <c r="K8" s="962"/>
      <c r="L8" s="962"/>
      <c r="M8" s="965"/>
    </row>
    <row r="9" spans="1:14" ht="15" x14ac:dyDescent="0.25">
      <c r="A9" s="1685">
        <v>1995</v>
      </c>
      <c r="B9" s="1735">
        <f>+H9+C9</f>
        <v>8673.7080870000045</v>
      </c>
      <c r="C9" s="1736">
        <f t="shared" ref="C9:C14" si="0">SUM(D9:G9)</f>
        <v>2243.3232249999996</v>
      </c>
      <c r="D9" s="1737">
        <v>559.9126940000001</v>
      </c>
      <c r="E9" s="1738">
        <v>655.26511499999992</v>
      </c>
      <c r="F9" s="1737">
        <v>1023.9378559999999</v>
      </c>
      <c r="G9" s="1748">
        <v>4.20756</v>
      </c>
      <c r="H9" s="1749">
        <f t="shared" ref="H9:H29" si="1">SUM(I9:L9)</f>
        <v>6430.3848620000044</v>
      </c>
      <c r="I9" s="1750"/>
      <c r="J9" s="1738">
        <v>11.791943000000002</v>
      </c>
      <c r="K9" s="1737">
        <v>1395.701755</v>
      </c>
      <c r="L9" s="1737">
        <v>5022.8911640000042</v>
      </c>
      <c r="M9" s="965"/>
    </row>
    <row r="10" spans="1:14" ht="15" x14ac:dyDescent="0.25">
      <c r="A10" s="796">
        <v>1996</v>
      </c>
      <c r="B10" s="966">
        <f t="shared" ref="B10:B24" si="2">+H10+C10</f>
        <v>8770.6107359999914</v>
      </c>
      <c r="C10" s="967">
        <f t="shared" si="0"/>
        <v>1988.7948940000003</v>
      </c>
      <c r="D10" s="838">
        <v>303.21370100000001</v>
      </c>
      <c r="E10" s="839">
        <v>614.27440999999999</v>
      </c>
      <c r="F10" s="838">
        <v>1067.5413520000002</v>
      </c>
      <c r="G10" s="837">
        <v>3.7654309999999991</v>
      </c>
      <c r="H10" s="968">
        <f t="shared" si="1"/>
        <v>6781.8158419999918</v>
      </c>
      <c r="I10" s="969"/>
      <c r="J10" s="839">
        <v>14.347229000000002</v>
      </c>
      <c r="K10" s="838">
        <v>1553.801197</v>
      </c>
      <c r="L10" s="838">
        <v>5213.667415999992</v>
      </c>
      <c r="M10" s="965"/>
    </row>
    <row r="11" spans="1:14" ht="15" x14ac:dyDescent="0.25">
      <c r="A11" s="1685">
        <v>1997</v>
      </c>
      <c r="B11" s="1735">
        <f t="shared" si="2"/>
        <v>9377.8946799999903</v>
      </c>
      <c r="C11" s="1736">
        <f t="shared" si="0"/>
        <v>2086.2452379999995</v>
      </c>
      <c r="D11" s="1737">
        <v>310.56120199999998</v>
      </c>
      <c r="E11" s="1738">
        <v>600.07718999999997</v>
      </c>
      <c r="F11" s="1737">
        <v>1172.7995409999999</v>
      </c>
      <c r="G11" s="1748">
        <v>2.8073049999999999</v>
      </c>
      <c r="H11" s="1749">
        <f t="shared" si="1"/>
        <v>7291.6494419999917</v>
      </c>
      <c r="I11" s="1750"/>
      <c r="J11" s="1738">
        <v>16.139772000000001</v>
      </c>
      <c r="K11" s="1737">
        <v>1753.4712790000001</v>
      </c>
      <c r="L11" s="1737">
        <v>5522.0383909999919</v>
      </c>
      <c r="M11" s="965"/>
    </row>
    <row r="12" spans="1:14" ht="15" x14ac:dyDescent="0.25">
      <c r="A12" s="796">
        <v>1998</v>
      </c>
      <c r="B12" s="966">
        <f t="shared" si="2"/>
        <v>9878.6615729999976</v>
      </c>
      <c r="C12" s="967">
        <f t="shared" si="0"/>
        <v>2122.8234709999997</v>
      </c>
      <c r="D12" s="838">
        <v>324.32158399999997</v>
      </c>
      <c r="E12" s="839">
        <v>665.67234299999996</v>
      </c>
      <c r="F12" s="838">
        <f>1132.829544</f>
        <v>1132.8295439999999</v>
      </c>
      <c r="G12" s="837"/>
      <c r="H12" s="968">
        <f t="shared" si="1"/>
        <v>7755.838101999997</v>
      </c>
      <c r="I12" s="969"/>
      <c r="J12" s="839">
        <v>8.2633410000000005</v>
      </c>
      <c r="K12" s="838">
        <v>1911.3350149999901</v>
      </c>
      <c r="L12" s="838">
        <v>5836.2397460000066</v>
      </c>
      <c r="M12" s="965"/>
    </row>
    <row r="13" spans="1:14" ht="15" x14ac:dyDescent="0.25">
      <c r="A13" s="1685">
        <v>1999</v>
      </c>
      <c r="B13" s="1735">
        <f t="shared" si="2"/>
        <v>10198.891027000011</v>
      </c>
      <c r="C13" s="1736">
        <f t="shared" si="0"/>
        <v>2127.0176919999999</v>
      </c>
      <c r="D13" s="1737">
        <v>304.77871199999993</v>
      </c>
      <c r="E13" s="1738">
        <v>605.31677600000012</v>
      </c>
      <c r="F13" s="1737">
        <v>1216.922204</v>
      </c>
      <c r="G13" s="1748"/>
      <c r="H13" s="1749">
        <f t="shared" si="1"/>
        <v>8071.8733350000111</v>
      </c>
      <c r="I13" s="1750"/>
      <c r="J13" s="1738">
        <v>5.7472080000000014</v>
      </c>
      <c r="K13" s="1737">
        <v>2090.622609</v>
      </c>
      <c r="L13" s="1737">
        <f>5975.50351800001</f>
        <v>5975.5035180000104</v>
      </c>
      <c r="M13" s="965"/>
    </row>
    <row r="14" spans="1:14" s="552" customFormat="1" x14ac:dyDescent="0.2">
      <c r="A14" s="796">
        <v>2000</v>
      </c>
      <c r="B14" s="966">
        <f t="shared" si="2"/>
        <v>10763.269271000014</v>
      </c>
      <c r="C14" s="967">
        <f t="shared" si="0"/>
        <v>2356.4909910000001</v>
      </c>
      <c r="D14" s="838">
        <v>344.03961300000003</v>
      </c>
      <c r="E14" s="839">
        <v>693.26504499999999</v>
      </c>
      <c r="F14" s="838">
        <f>1319.186333</f>
        <v>1319.1863330000001</v>
      </c>
      <c r="G14" s="837"/>
      <c r="H14" s="968">
        <f t="shared" si="1"/>
        <v>8406.7782800000132</v>
      </c>
      <c r="I14" s="969"/>
      <c r="J14" s="839">
        <v>5.9059029999999977</v>
      </c>
      <c r="K14" s="838">
        <f>2269.95571700001</f>
        <v>2269.9557170000098</v>
      </c>
      <c r="L14" s="838">
        <v>6130.9166600000035</v>
      </c>
      <c r="M14" s="970"/>
    </row>
    <row r="15" spans="1:14" x14ac:dyDescent="0.2">
      <c r="A15" s="1685">
        <v>2001</v>
      </c>
      <c r="B15" s="1735">
        <f t="shared" si="2"/>
        <v>10522.374724999987</v>
      </c>
      <c r="C15" s="1736">
        <f t="shared" ref="C15:C27" si="3">SUM(D15:G15)</f>
        <v>1867.5214919999999</v>
      </c>
      <c r="D15" s="1737">
        <v>60.848709999999997</v>
      </c>
      <c r="E15" s="1738">
        <v>493.96434599999992</v>
      </c>
      <c r="F15" s="1737">
        <v>1312.7084359999999</v>
      </c>
      <c r="G15" s="1748"/>
      <c r="H15" s="1749">
        <f t="shared" si="1"/>
        <v>8654.8532329999871</v>
      </c>
      <c r="I15" s="1750"/>
      <c r="J15" s="1738">
        <v>6.1835770000000014</v>
      </c>
      <c r="K15" s="1737">
        <v>2416.8490699999902</v>
      </c>
      <c r="L15" s="1737">
        <v>6231.820585999998</v>
      </c>
      <c r="M15" s="971"/>
    </row>
    <row r="16" spans="1:14" ht="15" x14ac:dyDescent="0.25">
      <c r="A16" s="796">
        <v>2002</v>
      </c>
      <c r="B16" s="966">
        <f t="shared" si="2"/>
        <v>11113.547163000001</v>
      </c>
      <c r="C16" s="967">
        <f t="shared" si="3"/>
        <v>1891.6583559999997</v>
      </c>
      <c r="D16" s="838">
        <v>68.563682999999997</v>
      </c>
      <c r="E16" s="839">
        <v>438.70879599999995</v>
      </c>
      <c r="F16" s="838">
        <v>1384.3858769999997</v>
      </c>
      <c r="G16" s="837"/>
      <c r="H16" s="968">
        <f t="shared" si="1"/>
        <v>9221.8888070000012</v>
      </c>
      <c r="I16" s="969"/>
      <c r="J16" s="839">
        <v>6.2325020000000002</v>
      </c>
      <c r="K16" s="838">
        <v>2640.5283990000003</v>
      </c>
      <c r="L16" s="838">
        <v>6575.1279060000006</v>
      </c>
      <c r="M16" s="965"/>
    </row>
    <row r="17" spans="1:25" ht="15" x14ac:dyDescent="0.25">
      <c r="A17" s="1685">
        <v>2003</v>
      </c>
      <c r="B17" s="1735">
        <f>+H17+C17</f>
        <v>11303.613573000001</v>
      </c>
      <c r="C17" s="1736">
        <f t="shared" si="3"/>
        <v>1692.8232840000001</v>
      </c>
      <c r="D17" s="1737">
        <v>78.298190000000005</v>
      </c>
      <c r="E17" s="1738">
        <v>359.015535</v>
      </c>
      <c r="F17" s="1737">
        <v>1255.5095590000001</v>
      </c>
      <c r="G17" s="1748"/>
      <c r="H17" s="1749">
        <f t="shared" si="1"/>
        <v>9610.7902890000005</v>
      </c>
      <c r="I17" s="1750"/>
      <c r="J17" s="1738">
        <v>6.116314</v>
      </c>
      <c r="K17" s="1737">
        <v>2812.8673650000001</v>
      </c>
      <c r="L17" s="1737">
        <v>6791.8066099999996</v>
      </c>
      <c r="M17" s="965"/>
      <c r="S17" s="972"/>
      <c r="T17" s="973"/>
    </row>
    <row r="18" spans="1:25" ht="15" x14ac:dyDescent="0.25">
      <c r="A18" s="796">
        <v>2004</v>
      </c>
      <c r="B18" s="966">
        <f t="shared" si="2"/>
        <v>12001.305316000002</v>
      </c>
      <c r="C18" s="967">
        <f t="shared" si="3"/>
        <v>1648.7939530000001</v>
      </c>
      <c r="D18" s="838">
        <v>88.434764000000001</v>
      </c>
      <c r="E18" s="839">
        <v>232.89495200000002</v>
      </c>
      <c r="F18" s="838">
        <v>1327.4642370000001</v>
      </c>
      <c r="G18" s="837"/>
      <c r="H18" s="968">
        <f t="shared" si="1"/>
        <v>10352.511363000001</v>
      </c>
      <c r="I18" s="969"/>
      <c r="J18" s="839">
        <v>21.758628999999996</v>
      </c>
      <c r="K18" s="838">
        <v>3117.0237299999999</v>
      </c>
      <c r="L18" s="838">
        <v>7213.7290040000007</v>
      </c>
      <c r="M18" s="965"/>
      <c r="R18" s="974"/>
      <c r="S18" s="972"/>
      <c r="T18" s="973"/>
    </row>
    <row r="19" spans="1:25" ht="15" x14ac:dyDescent="0.25">
      <c r="A19" s="1685">
        <v>2005</v>
      </c>
      <c r="B19" s="1735">
        <f t="shared" si="2"/>
        <v>12914.287800222222</v>
      </c>
      <c r="C19" s="1736">
        <f t="shared" si="3"/>
        <v>1764.1809539999999</v>
      </c>
      <c r="D19" s="1737">
        <v>99.922329000000005</v>
      </c>
      <c r="E19" s="1738">
        <v>333.40113500000001</v>
      </c>
      <c r="F19" s="1737">
        <v>1330.8574899999999</v>
      </c>
      <c r="G19" s="1748"/>
      <c r="H19" s="1749">
        <f t="shared" si="1"/>
        <v>11150.106846222223</v>
      </c>
      <c r="I19" s="1750"/>
      <c r="J19" s="1738">
        <v>47.876192000000003</v>
      </c>
      <c r="K19" s="1737">
        <v>3475.5951542222224</v>
      </c>
      <c r="L19" s="1737">
        <v>7626.6355000000003</v>
      </c>
      <c r="M19" s="965"/>
      <c r="R19" s="975"/>
      <c r="S19" s="976"/>
      <c r="T19" s="977"/>
    </row>
    <row r="20" spans="1:25" ht="15" x14ac:dyDescent="0.25">
      <c r="A20" s="796">
        <v>2006</v>
      </c>
      <c r="B20" s="966">
        <f t="shared" si="2"/>
        <v>14043.638326999999</v>
      </c>
      <c r="C20" s="967">
        <f>SUM(D20:G20)</f>
        <v>1874.1233889999999</v>
      </c>
      <c r="D20" s="838">
        <v>120.46023999999998</v>
      </c>
      <c r="E20" s="838">
        <v>336.66382900000002</v>
      </c>
      <c r="F20" s="838">
        <v>1416.9993199999999</v>
      </c>
      <c r="G20" s="837"/>
      <c r="H20" s="968">
        <f t="shared" si="1"/>
        <v>12169.514937999998</v>
      </c>
      <c r="I20" s="969"/>
      <c r="J20" s="839">
        <v>56.914355</v>
      </c>
      <c r="K20" s="838">
        <v>3926.7613259999998</v>
      </c>
      <c r="L20" s="838">
        <v>8185.8392569999987</v>
      </c>
      <c r="M20" s="965"/>
    </row>
    <row r="21" spans="1:25" ht="15" x14ac:dyDescent="0.25">
      <c r="A21" s="1685">
        <v>2007</v>
      </c>
      <c r="B21" s="1735">
        <f t="shared" si="2"/>
        <v>15032.180855000001</v>
      </c>
      <c r="C21" s="1736">
        <f t="shared" si="3"/>
        <v>1685.996386</v>
      </c>
      <c r="D21" s="1737">
        <v>125.38045700000001</v>
      </c>
      <c r="E21" s="1737">
        <v>161.51437200000004</v>
      </c>
      <c r="F21" s="1737">
        <v>1399.101557</v>
      </c>
      <c r="G21" s="1748"/>
      <c r="H21" s="1749">
        <f t="shared" si="1"/>
        <v>13346.184469</v>
      </c>
      <c r="I21" s="1750"/>
      <c r="J21" s="1738">
        <v>73.889322000000007</v>
      </c>
      <c r="K21" s="1737">
        <v>4470.5918109999993</v>
      </c>
      <c r="L21" s="1737">
        <v>8801.7033360000005</v>
      </c>
      <c r="M21" s="965"/>
    </row>
    <row r="22" spans="1:25" ht="15" x14ac:dyDescent="0.25">
      <c r="A22" s="796">
        <v>2008</v>
      </c>
      <c r="B22" s="966">
        <f t="shared" si="2"/>
        <v>16297.176545</v>
      </c>
      <c r="C22" s="978">
        <f t="shared" si="3"/>
        <v>1727.732471</v>
      </c>
      <c r="D22" s="838">
        <v>115.71227</v>
      </c>
      <c r="E22" s="839">
        <v>150.52122800000001</v>
      </c>
      <c r="F22" s="838">
        <v>1461.498973</v>
      </c>
      <c r="G22" s="837"/>
      <c r="H22" s="968">
        <f t="shared" si="1"/>
        <v>14569.444074000001</v>
      </c>
      <c r="I22" s="969"/>
      <c r="J22" s="839">
        <v>70.715965999999995</v>
      </c>
      <c r="K22" s="838">
        <v>4981.9765640000005</v>
      </c>
      <c r="L22" s="838">
        <v>9516.7515440000006</v>
      </c>
      <c r="M22" s="965"/>
    </row>
    <row r="23" spans="1:25" ht="15" x14ac:dyDescent="0.25">
      <c r="A23" s="1685">
        <v>2009</v>
      </c>
      <c r="B23" s="1735">
        <f t="shared" si="2"/>
        <v>17000.664144999995</v>
      </c>
      <c r="C23" s="1739">
        <f t="shared" si="3"/>
        <v>1795.9593729999997</v>
      </c>
      <c r="D23" s="1737">
        <v>118.967055</v>
      </c>
      <c r="E23" s="1738">
        <v>206.81982300000001</v>
      </c>
      <c r="F23" s="1737">
        <v>1470.1724949999996</v>
      </c>
      <c r="G23" s="1748"/>
      <c r="H23" s="1749">
        <f t="shared" si="1"/>
        <v>15204.704771999996</v>
      </c>
      <c r="I23" s="1750"/>
      <c r="J23" s="1738">
        <v>55.931503999999997</v>
      </c>
      <c r="K23" s="1737">
        <v>5245.7845059999981</v>
      </c>
      <c r="L23" s="1737">
        <v>9902.9887619999972</v>
      </c>
      <c r="M23" s="965"/>
    </row>
    <row r="24" spans="1:25" ht="15" x14ac:dyDescent="0.25">
      <c r="A24" s="979">
        <v>2010</v>
      </c>
      <c r="B24" s="980">
        <f t="shared" si="2"/>
        <v>18195.325098000001</v>
      </c>
      <c r="C24" s="981">
        <f t="shared" si="3"/>
        <v>1764.4745290000001</v>
      </c>
      <c r="D24" s="982">
        <v>13.691666000000001</v>
      </c>
      <c r="E24" s="983">
        <v>223.63291900000002</v>
      </c>
      <c r="F24" s="982">
        <v>1527.149944</v>
      </c>
      <c r="G24" s="984"/>
      <c r="H24" s="968">
        <f t="shared" si="1"/>
        <v>16430.850569000002</v>
      </c>
      <c r="I24" s="985"/>
      <c r="J24" s="983">
        <v>62.496254</v>
      </c>
      <c r="K24" s="982">
        <v>5832.7621079999999</v>
      </c>
      <c r="L24" s="982">
        <v>10535.592207000002</v>
      </c>
      <c r="M24" s="965"/>
    </row>
    <row r="25" spans="1:25" ht="15" x14ac:dyDescent="0.25">
      <c r="A25" s="1685">
        <v>2011</v>
      </c>
      <c r="B25" s="1735">
        <f>+H25+C25</f>
        <v>19753.040698251101</v>
      </c>
      <c r="C25" s="1739">
        <f t="shared" si="3"/>
        <v>1861.4841750000001</v>
      </c>
      <c r="D25" s="1737">
        <v>24.039523000000003</v>
      </c>
      <c r="E25" s="1738">
        <v>282.07516300000003</v>
      </c>
      <c r="F25" s="1737">
        <v>1555.3694890000002</v>
      </c>
      <c r="G25" s="1748"/>
      <c r="H25" s="1749">
        <f t="shared" si="1"/>
        <v>17891.5565232511</v>
      </c>
      <c r="I25" s="1750">
        <v>0.29401499999999997</v>
      </c>
      <c r="J25" s="1738">
        <v>67.803031000000004</v>
      </c>
      <c r="K25" s="1737">
        <v>6583.7697609999996</v>
      </c>
      <c r="L25" s="1737">
        <v>11239.6897162511</v>
      </c>
      <c r="M25" s="965"/>
    </row>
    <row r="26" spans="1:25" s="215" customFormat="1" ht="15" x14ac:dyDescent="0.25">
      <c r="A26" s="979">
        <v>2012</v>
      </c>
      <c r="B26" s="980">
        <f>+H26+C26</f>
        <v>20947.295381</v>
      </c>
      <c r="C26" s="981">
        <f t="shared" si="3"/>
        <v>1985.1254450000001</v>
      </c>
      <c r="D26" s="982">
        <v>21.989888000000001</v>
      </c>
      <c r="E26" s="983">
        <v>393.31016199999999</v>
      </c>
      <c r="F26" s="982">
        <v>1569.8253950000001</v>
      </c>
      <c r="G26" s="984"/>
      <c r="H26" s="986">
        <f t="shared" si="1"/>
        <v>18962.169935999998</v>
      </c>
      <c r="I26" s="985">
        <v>1.8718600000000001</v>
      </c>
      <c r="J26" s="983">
        <v>71.012542999999994</v>
      </c>
      <c r="K26" s="982">
        <v>7061.5680460000021</v>
      </c>
      <c r="L26" s="982">
        <v>11827.717486999996</v>
      </c>
      <c r="M26" s="965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s="215" customFormat="1" ht="15" x14ac:dyDescent="0.25">
      <c r="A27" s="1685">
        <v>2013</v>
      </c>
      <c r="B27" s="1735">
        <f>+H27+C27</f>
        <v>21938.578439286001</v>
      </c>
      <c r="C27" s="1739">
        <f t="shared" si="3"/>
        <v>2055.3020699999997</v>
      </c>
      <c r="D27" s="1737">
        <v>34.845469999999999</v>
      </c>
      <c r="E27" s="1738">
        <v>410.50093299999992</v>
      </c>
      <c r="F27" s="1737">
        <v>1609.9556669999999</v>
      </c>
      <c r="G27" s="1748"/>
      <c r="H27" s="1749">
        <f t="shared" si="1"/>
        <v>19883.276369286003</v>
      </c>
      <c r="I27" s="1750">
        <v>2.169584</v>
      </c>
      <c r="J27" s="1738">
        <v>47.279484000000004</v>
      </c>
      <c r="K27" s="1737">
        <v>7436.4539462143011</v>
      </c>
      <c r="L27" s="1737">
        <v>12397.373355071702</v>
      </c>
      <c r="M27" s="965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s="215" customFormat="1" ht="15" x14ac:dyDescent="0.25">
      <c r="A28" s="940">
        <v>2014</v>
      </c>
      <c r="B28" s="987">
        <f>+H28+C28</f>
        <v>22781.971993398343</v>
      </c>
      <c r="C28" s="988">
        <f>SUM(D28:G28)</f>
        <v>2018.0005961056249</v>
      </c>
      <c r="D28" s="989">
        <v>56.438800600000008</v>
      </c>
      <c r="E28" s="990">
        <v>425.41155230000004</v>
      </c>
      <c r="F28" s="989">
        <v>1536.150243205625</v>
      </c>
      <c r="G28" s="991"/>
      <c r="H28" s="968">
        <f>SUM(I28:L28)</f>
        <v>20763.97139729272</v>
      </c>
      <c r="I28" s="992">
        <v>1.9759359999999999</v>
      </c>
      <c r="J28" s="990">
        <v>48.197132299999971</v>
      </c>
      <c r="K28" s="989">
        <v>7909.1020263179444</v>
      </c>
      <c r="L28" s="989">
        <v>12804.696302674776</v>
      </c>
      <c r="M28" s="965"/>
      <c r="P28" s="993"/>
      <c r="R28" s="994"/>
      <c r="S28" s="976"/>
      <c r="T28" s="977"/>
    </row>
    <row r="29" spans="1:25" s="215" customFormat="1" ht="15" x14ac:dyDescent="0.25">
      <c r="A29" s="1685" t="s">
        <v>136</v>
      </c>
      <c r="B29" s="1735">
        <f>+H29+C29</f>
        <v>23582.947281861023</v>
      </c>
      <c r="C29" s="1739">
        <f>SUM(D29:F29)</f>
        <v>2018.3067886155122</v>
      </c>
      <c r="D29" s="1737">
        <f>39457.3690438154/1000</f>
        <v>39.457369043815397</v>
      </c>
      <c r="E29" s="1738">
        <f>454426.497998607/1000</f>
        <v>454.42649799860698</v>
      </c>
      <c r="F29" s="1737">
        <f>1524422.92157309/1000</f>
        <v>1524.42292157309</v>
      </c>
      <c r="G29" s="1748"/>
      <c r="H29" s="1749">
        <f t="shared" si="1"/>
        <v>21564.640493245512</v>
      </c>
      <c r="I29" s="1750">
        <f>2068.68341454826/1000</f>
        <v>2.0686834145482598</v>
      </c>
      <c r="J29" s="1738">
        <f>31605.1226000435/1000</f>
        <v>31.605122600043501</v>
      </c>
      <c r="K29" s="1737">
        <f>8146665.42331042/1000</f>
        <v>8146.6654233104191</v>
      </c>
      <c r="L29" s="1737">
        <f>13384301.2639205/1000</f>
        <v>13384.301263920501</v>
      </c>
      <c r="M29" s="965"/>
      <c r="P29" s="993"/>
      <c r="R29" s="994"/>
      <c r="S29" s="976"/>
      <c r="T29" s="977"/>
    </row>
    <row r="30" spans="1:25" s="215" customFormat="1" ht="15.75" thickBot="1" x14ac:dyDescent="0.3">
      <c r="A30" s="940"/>
      <c r="B30" s="987"/>
      <c r="C30" s="988"/>
      <c r="D30" s="989"/>
      <c r="E30" s="990"/>
      <c r="F30" s="989"/>
      <c r="G30" s="991"/>
      <c r="H30" s="968"/>
      <c r="I30" s="992"/>
      <c r="J30" s="990"/>
      <c r="K30" s="989"/>
      <c r="L30" s="989"/>
      <c r="M30" s="965"/>
      <c r="P30" s="993"/>
      <c r="R30" s="994"/>
      <c r="S30" s="976"/>
      <c r="T30" s="977"/>
    </row>
    <row r="31" spans="1:25" ht="12.75" customHeight="1" x14ac:dyDescent="0.2">
      <c r="A31" s="1740" t="s">
        <v>137</v>
      </c>
      <c r="B31" s="1741">
        <f>(B29/B28)-1</f>
        <v>3.5158294843606219E-2</v>
      </c>
      <c r="C31" s="1721">
        <f t="shared" ref="C31:F31" si="4">(C29/C28)-1</f>
        <v>1.5173063401374698E-4</v>
      </c>
      <c r="D31" s="1741">
        <f t="shared" si="4"/>
        <v>-0.30088221889294731</v>
      </c>
      <c r="E31" s="1721">
        <f t="shared" si="4"/>
        <v>6.82044141531577E-2</v>
      </c>
      <c r="F31" s="1742">
        <f t="shared" si="4"/>
        <v>-7.6342282822952079E-3</v>
      </c>
      <c r="G31" s="995"/>
      <c r="H31" s="1740">
        <f>(H29/H28)-1</f>
        <v>3.856049888689328E-2</v>
      </c>
      <c r="I31" s="995"/>
      <c r="J31" s="1720">
        <f t="shared" ref="J31:L31" si="5">(J29/J28)-1</f>
        <v>-0.34425304801705969</v>
      </c>
      <c r="K31" s="1741">
        <f t="shared" si="5"/>
        <v>3.0036709123484551E-2</v>
      </c>
      <c r="L31" s="1742">
        <f t="shared" si="5"/>
        <v>4.5265029919112632E-2</v>
      </c>
    </row>
    <row r="32" spans="1:25" ht="18.75" customHeight="1" x14ac:dyDescent="0.2">
      <c r="A32" s="1730" t="s">
        <v>138</v>
      </c>
      <c r="B32" s="996">
        <f>((B29/B24)^(1/5))-1</f>
        <v>5.3240746253972349E-2</v>
      </c>
      <c r="C32" s="949">
        <f t="shared" ref="C32:F32" si="6">((C29/C24)^(1/5))-1</f>
        <v>2.7245760294184906E-2</v>
      </c>
      <c r="D32" s="996">
        <f t="shared" si="6"/>
        <v>0.23576066006529039</v>
      </c>
      <c r="E32" s="949">
        <f t="shared" si="6"/>
        <v>0.15235312262578948</v>
      </c>
      <c r="F32" s="1732">
        <f t="shared" si="6"/>
        <v>-3.573941613514986E-4</v>
      </c>
      <c r="G32" s="997"/>
      <c r="H32" s="1730">
        <f>((H29/H24)^(1/5))-1</f>
        <v>5.5884550182601522E-2</v>
      </c>
      <c r="I32" s="997"/>
      <c r="J32" s="951">
        <f t="shared" ref="J32:L32" si="7">((J29/J24)^(1/5))-1</f>
        <v>-0.12746933621075085</v>
      </c>
      <c r="K32" s="996">
        <f t="shared" si="7"/>
        <v>6.9106877479048645E-2</v>
      </c>
      <c r="L32" s="1732">
        <f t="shared" si="7"/>
        <v>4.9028652075291834E-2</v>
      </c>
      <c r="Q32" s="998"/>
      <c r="R32" s="189"/>
      <c r="T32" s="998"/>
    </row>
    <row r="33" spans="1:20" ht="18.75" customHeight="1" x14ac:dyDescent="0.25">
      <c r="A33" s="1743" t="s">
        <v>144</v>
      </c>
      <c r="B33" s="1744">
        <f>(B29/B19)-1</f>
        <v>0.82611287952365586</v>
      </c>
      <c r="C33" s="1745">
        <f t="shared" ref="C33:F33" si="8">(C29/C19)-1</f>
        <v>0.14404748789477773</v>
      </c>
      <c r="D33" s="1744">
        <f t="shared" si="8"/>
        <v>-0.6051196020079217</v>
      </c>
      <c r="E33" s="1745">
        <f t="shared" si="8"/>
        <v>0.36300225252264662</v>
      </c>
      <c r="F33" s="1746">
        <f t="shared" si="8"/>
        <v>0.14544414636993941</v>
      </c>
      <c r="G33" s="997"/>
      <c r="H33" s="1743">
        <f>(H29/H19)-1</f>
        <v>0.9340299416549398</v>
      </c>
      <c r="I33" s="997"/>
      <c r="J33" s="1751">
        <f t="shared" ref="J33:L33" si="9">(J29/J19)-1</f>
        <v>-0.33985721754889153</v>
      </c>
      <c r="K33" s="1744">
        <f t="shared" si="9"/>
        <v>1.3439627061896688</v>
      </c>
      <c r="L33" s="1746">
        <f t="shared" si="9"/>
        <v>0.75494177792035555</v>
      </c>
      <c r="Q33" s="974"/>
      <c r="R33" s="546"/>
      <c r="T33" s="974"/>
    </row>
    <row r="34" spans="1:20" ht="18.75" customHeight="1" thickBot="1" x14ac:dyDescent="0.3">
      <c r="A34" s="1731" t="s">
        <v>140</v>
      </c>
      <c r="B34" s="1001">
        <f>((B29/B19)^(1/10))-1</f>
        <v>6.2069071538549903E-2</v>
      </c>
      <c r="C34" s="1000">
        <f t="shared" ref="C34:F34" si="10">((C29/C19)^(1/10))-1</f>
        <v>1.3548196455467565E-2</v>
      </c>
      <c r="D34" s="1001">
        <f t="shared" si="10"/>
        <v>-8.8731081636879594E-2</v>
      </c>
      <c r="E34" s="1000">
        <f t="shared" si="10"/>
        <v>3.1453508252652806E-2</v>
      </c>
      <c r="F34" s="1734">
        <f t="shared" si="10"/>
        <v>1.3671862966510462E-2</v>
      </c>
      <c r="G34" s="997"/>
      <c r="H34" s="1731">
        <f>((H29/H19)^(1/10))-1</f>
        <v>6.8184616898507633E-2</v>
      </c>
      <c r="I34" s="997"/>
      <c r="J34" s="1733">
        <f t="shared" ref="J34:L34" si="11">((J29/J19)^(1/10))-1</f>
        <v>-4.0679361275925419E-2</v>
      </c>
      <c r="K34" s="1001">
        <f t="shared" si="11"/>
        <v>8.8917731526360289E-2</v>
      </c>
      <c r="L34" s="1734">
        <f t="shared" si="11"/>
        <v>5.7855312210376653E-2</v>
      </c>
      <c r="Q34" s="974"/>
      <c r="R34" s="546"/>
      <c r="T34" s="974"/>
    </row>
    <row r="35" spans="1:20" s="573" customFormat="1" ht="18" customHeight="1" x14ac:dyDescent="0.2">
      <c r="A35" s="644"/>
      <c r="I35" s="645"/>
      <c r="Q35" s="1002"/>
      <c r="R35" s="1003"/>
      <c r="T35" s="1002"/>
    </row>
    <row r="36" spans="1:20" s="573" customFormat="1" x14ac:dyDescent="0.2">
      <c r="A36" s="1004" t="s">
        <v>325</v>
      </c>
      <c r="F36" s="719"/>
      <c r="Q36" s="1002"/>
      <c r="R36" s="1003"/>
      <c r="T36" s="1002"/>
    </row>
    <row r="37" spans="1:20" s="573" customFormat="1" x14ac:dyDescent="0.2">
      <c r="A37" s="720"/>
      <c r="E37" s="1004"/>
      <c r="H37" s="1004"/>
      <c r="R37" s="1005"/>
    </row>
    <row r="38" spans="1:20" s="573" customFormat="1" x14ac:dyDescent="0.2">
      <c r="A38" s="720"/>
      <c r="G38" s="1004"/>
      <c r="H38" s="1004"/>
      <c r="I38" s="1004"/>
      <c r="K38" s="1004"/>
    </row>
    <row r="39" spans="1:20" s="573" customFormat="1" x14ac:dyDescent="0.2">
      <c r="G39" s="1004"/>
      <c r="H39" s="1004"/>
      <c r="I39" s="1004"/>
      <c r="J39" s="1004"/>
    </row>
    <row r="40" spans="1:20" s="573" customFormat="1" ht="15.75" x14ac:dyDescent="0.25">
      <c r="A40" s="646" t="s">
        <v>280</v>
      </c>
      <c r="G40" s="1004"/>
      <c r="H40" s="1004"/>
      <c r="I40" s="1004"/>
      <c r="J40" s="1004"/>
      <c r="K40" s="1004"/>
    </row>
    <row r="41" spans="1:20" s="573" customFormat="1" x14ac:dyDescent="0.2">
      <c r="A41" s="643"/>
      <c r="G41" s="1004"/>
      <c r="H41" s="1004"/>
      <c r="I41" s="1004"/>
      <c r="J41" s="1004"/>
      <c r="K41" s="1004"/>
    </row>
    <row r="42" spans="1:20" s="573" customFormat="1" ht="13.5" thickBot="1" x14ac:dyDescent="0.25">
      <c r="G42" s="1004"/>
      <c r="H42" s="1004"/>
      <c r="I42" s="1004"/>
      <c r="J42" s="1004"/>
      <c r="K42" s="1004"/>
    </row>
    <row r="43" spans="1:20" s="573" customFormat="1" x14ac:dyDescent="0.2">
      <c r="A43" s="482" t="s">
        <v>132</v>
      </c>
      <c r="B43" s="483" t="s">
        <v>199</v>
      </c>
      <c r="C43" s="1375" t="s">
        <v>266</v>
      </c>
      <c r="D43" s="1375"/>
      <c r="E43" s="1375"/>
      <c r="F43" s="1379"/>
      <c r="G43" s="1004"/>
      <c r="H43" s="1006"/>
      <c r="I43" s="1004"/>
      <c r="J43" s="1004"/>
      <c r="K43" s="1004"/>
    </row>
    <row r="44" spans="1:20" s="573" customFormat="1" ht="13.5" thickBot="1" x14ac:dyDescent="0.25">
      <c r="A44" s="484"/>
      <c r="B44" s="355"/>
      <c r="C44" s="863" t="s">
        <v>268</v>
      </c>
      <c r="D44" s="485" t="s">
        <v>269</v>
      </c>
      <c r="E44" s="863" t="s">
        <v>270</v>
      </c>
      <c r="F44" s="487" t="s">
        <v>271</v>
      </c>
      <c r="G44" s="1004"/>
      <c r="H44" s="1004"/>
      <c r="I44" s="1004"/>
      <c r="J44" s="1004"/>
      <c r="K44" s="1004"/>
    </row>
    <row r="45" spans="1:20" x14ac:dyDescent="0.2">
      <c r="A45" s="489"/>
      <c r="B45" s="1007"/>
      <c r="C45" s="1008"/>
      <c r="D45" s="1009"/>
      <c r="E45" s="1008"/>
      <c r="F45" s="1010"/>
      <c r="G45" s="1004"/>
      <c r="H45" s="1006"/>
      <c r="I45" s="1004"/>
      <c r="J45" s="1004"/>
      <c r="K45" s="1004"/>
    </row>
    <row r="46" spans="1:20" x14ac:dyDescent="0.2">
      <c r="A46" s="1685">
        <v>1995</v>
      </c>
      <c r="B46" s="1735">
        <f t="shared" ref="B46:B64" si="12">SUM(C46:F46)</f>
        <v>1175.548041</v>
      </c>
      <c r="C46" s="1738">
        <v>388.77657499999998</v>
      </c>
      <c r="D46" s="1737">
        <v>157.521388</v>
      </c>
      <c r="E46" s="1738">
        <v>625.42348399999992</v>
      </c>
      <c r="F46" s="1747">
        <v>3.8265940000000001</v>
      </c>
      <c r="G46" s="1004"/>
      <c r="H46" s="1006"/>
      <c r="I46" s="1004"/>
      <c r="J46" s="1004"/>
      <c r="K46" s="1004"/>
    </row>
    <row r="47" spans="1:20" x14ac:dyDescent="0.2">
      <c r="A47" s="796">
        <v>1996</v>
      </c>
      <c r="B47" s="966">
        <f t="shared" si="12"/>
        <v>1560.2288619999999</v>
      </c>
      <c r="C47" s="839">
        <v>812.31501900000001</v>
      </c>
      <c r="D47" s="838">
        <v>235.49490800000001</v>
      </c>
      <c r="E47" s="839">
        <v>507.41297500000007</v>
      </c>
      <c r="F47" s="840">
        <v>5.00596</v>
      </c>
      <c r="G47" s="1004"/>
      <c r="H47" s="1006"/>
      <c r="I47" s="1004"/>
      <c r="J47" s="1004"/>
      <c r="K47" s="1004"/>
    </row>
    <row r="48" spans="1:20" x14ac:dyDescent="0.2">
      <c r="A48" s="1685">
        <v>1997</v>
      </c>
      <c r="B48" s="1735">
        <f t="shared" si="12"/>
        <v>3073.3354799999997</v>
      </c>
      <c r="C48" s="1738">
        <v>1623.8824859999997</v>
      </c>
      <c r="D48" s="1737">
        <v>746.31119699999988</v>
      </c>
      <c r="E48" s="1738">
        <v>698.82362300000011</v>
      </c>
      <c r="F48" s="1747">
        <v>4.3181740000000008</v>
      </c>
      <c r="G48" s="1004"/>
      <c r="H48" s="1006"/>
      <c r="I48" s="944"/>
      <c r="J48" s="1004"/>
      <c r="K48" s="1004"/>
      <c r="N48" s="202"/>
      <c r="O48" s="202"/>
    </row>
    <row r="49" spans="1:14" x14ac:dyDescent="0.2">
      <c r="A49" s="796">
        <v>1998</v>
      </c>
      <c r="B49" s="966">
        <f t="shared" si="12"/>
        <v>4129.9152500000009</v>
      </c>
      <c r="C49" s="839">
        <f>1909.533476</f>
        <v>1909.5334760000001</v>
      </c>
      <c r="D49" s="838">
        <v>1036.756995</v>
      </c>
      <c r="E49" s="839">
        <v>1182.2233990000002</v>
      </c>
      <c r="F49" s="840">
        <v>1.4013800000000001</v>
      </c>
      <c r="G49" s="1004"/>
      <c r="H49" s="1006"/>
      <c r="I49" s="1004"/>
      <c r="J49" s="1004"/>
      <c r="K49" s="1004"/>
      <c r="N49" s="202"/>
    </row>
    <row r="50" spans="1:14" x14ac:dyDescent="0.2">
      <c r="A50" s="1685">
        <v>1999</v>
      </c>
      <c r="B50" s="1735">
        <f t="shared" si="12"/>
        <v>4393.000532</v>
      </c>
      <c r="C50" s="1738">
        <v>2236.1380099999997</v>
      </c>
      <c r="D50" s="1737">
        <v>1091.0393200000001</v>
      </c>
      <c r="E50" s="1738">
        <v>1065.823202</v>
      </c>
      <c r="F50" s="1747"/>
      <c r="G50" s="1004"/>
      <c r="H50" s="1006"/>
      <c r="I50" s="1004"/>
      <c r="J50" s="1004"/>
      <c r="K50" s="1004"/>
      <c r="N50" s="202"/>
    </row>
    <row r="51" spans="1:14" x14ac:dyDescent="0.2">
      <c r="A51" s="796">
        <v>2000</v>
      </c>
      <c r="B51" s="966">
        <f t="shared" si="12"/>
        <v>4782.3261210000001</v>
      </c>
      <c r="C51" s="839">
        <v>2327.4021159999998</v>
      </c>
      <c r="D51" s="838">
        <v>1171.5316189999999</v>
      </c>
      <c r="E51" s="839">
        <v>1283.392386</v>
      </c>
      <c r="F51" s="840"/>
      <c r="G51" s="1004"/>
      <c r="H51" s="1006"/>
      <c r="I51" s="1004"/>
      <c r="J51" s="1004"/>
      <c r="K51" s="1004"/>
    </row>
    <row r="52" spans="1:14" x14ac:dyDescent="0.2">
      <c r="A52" s="1685">
        <v>2001</v>
      </c>
      <c r="B52" s="1735">
        <f t="shared" si="12"/>
        <v>6106.3798200000001</v>
      </c>
      <c r="C52" s="1738">
        <v>3308.9557990000003</v>
      </c>
      <c r="D52" s="1737">
        <v>1463.010176</v>
      </c>
      <c r="E52" s="1738">
        <v>1334.413845</v>
      </c>
      <c r="F52" s="1747"/>
      <c r="G52" s="1004"/>
      <c r="H52" s="573"/>
      <c r="I52" s="573"/>
      <c r="J52" s="573"/>
      <c r="K52" s="573"/>
    </row>
    <row r="53" spans="1:14" x14ac:dyDescent="0.2">
      <c r="A53" s="796">
        <v>2002</v>
      </c>
      <c r="B53" s="966">
        <f t="shared" si="12"/>
        <v>6491.7787508479996</v>
      </c>
      <c r="C53" s="839">
        <v>4126.7293199999995</v>
      </c>
      <c r="D53" s="838">
        <v>1229.9571980000001</v>
      </c>
      <c r="E53" s="839">
        <v>1135.0922328480001</v>
      </c>
      <c r="F53" s="840"/>
      <c r="G53" s="1004"/>
      <c r="H53" s="719"/>
      <c r="I53" s="573"/>
      <c r="J53" s="573"/>
      <c r="K53" s="573"/>
    </row>
    <row r="54" spans="1:14" x14ac:dyDescent="0.2">
      <c r="A54" s="1685">
        <v>2003</v>
      </c>
      <c r="B54" s="1735">
        <f>SUM(C54:F54)</f>
        <v>7071.721837000001</v>
      </c>
      <c r="C54" s="1738">
        <v>4521.4221450000005</v>
      </c>
      <c r="D54" s="1737">
        <v>1219.3664699999999</v>
      </c>
      <c r="E54" s="1738">
        <v>1330.9332220000001</v>
      </c>
      <c r="F54" s="1747"/>
      <c r="G54" s="573"/>
      <c r="H54" s="573"/>
      <c r="I54" s="573"/>
      <c r="J54" s="573"/>
      <c r="K54" s="573"/>
    </row>
    <row r="55" spans="1:14" x14ac:dyDescent="0.2">
      <c r="A55" s="796">
        <v>2004</v>
      </c>
      <c r="B55" s="966">
        <f t="shared" si="12"/>
        <v>7639.3457939999998</v>
      </c>
      <c r="C55" s="839">
        <v>4566.413031</v>
      </c>
      <c r="D55" s="838">
        <v>1547.5363389999998</v>
      </c>
      <c r="E55" s="839">
        <v>1525.3964239999998</v>
      </c>
      <c r="F55" s="840"/>
      <c r="G55" s="573"/>
      <c r="H55" s="573"/>
      <c r="I55" s="573"/>
      <c r="J55" s="573"/>
      <c r="K55" s="573"/>
    </row>
    <row r="56" spans="1:14" x14ac:dyDescent="0.2">
      <c r="A56" s="1685">
        <v>2005</v>
      </c>
      <c r="B56" s="1735">
        <f t="shared" si="12"/>
        <v>7787.095080000001</v>
      </c>
      <c r="C56" s="1738">
        <v>4707.2427810000008</v>
      </c>
      <c r="D56" s="1737">
        <v>1513.7901240000001</v>
      </c>
      <c r="E56" s="1738">
        <v>1566.062175</v>
      </c>
      <c r="F56" s="1747"/>
      <c r="G56" s="573"/>
      <c r="H56" s="1011"/>
      <c r="I56" s="1011"/>
      <c r="J56" s="1011"/>
      <c r="K56" s="573"/>
    </row>
    <row r="57" spans="1:14" x14ac:dyDescent="0.2">
      <c r="A57" s="796">
        <v>2006</v>
      </c>
      <c r="B57" s="966">
        <f t="shared" si="12"/>
        <v>8246.4228259999982</v>
      </c>
      <c r="C57" s="839">
        <v>5178.3976619999994</v>
      </c>
      <c r="D57" s="838">
        <v>1646.359191</v>
      </c>
      <c r="E57" s="839">
        <v>1421.6659729999999</v>
      </c>
      <c r="F57" s="840"/>
      <c r="G57" s="573"/>
      <c r="H57" s="1011"/>
      <c r="I57" s="1011"/>
      <c r="J57" s="1011"/>
      <c r="K57" s="573"/>
    </row>
    <row r="58" spans="1:14" x14ac:dyDescent="0.2">
      <c r="A58" s="1685">
        <v>2007</v>
      </c>
      <c r="B58" s="1735">
        <f t="shared" si="12"/>
        <v>9689.5676980000007</v>
      </c>
      <c r="C58" s="1738">
        <v>6265.4367430000002</v>
      </c>
      <c r="D58" s="1737">
        <v>1802.2825960000002</v>
      </c>
      <c r="E58" s="1738">
        <v>1621.8483590000001</v>
      </c>
      <c r="F58" s="1747"/>
      <c r="G58" s="573"/>
      <c r="H58" s="1011"/>
      <c r="I58" s="1011"/>
      <c r="J58" s="1011"/>
      <c r="K58" s="573"/>
    </row>
    <row r="59" spans="1:14" ht="23.25" x14ac:dyDescent="0.35">
      <c r="A59" s="796">
        <v>2008</v>
      </c>
      <c r="B59" s="1426">
        <f t="shared" si="12"/>
        <v>10667.238051</v>
      </c>
      <c r="C59" s="839">
        <v>6947.2784840000004</v>
      </c>
      <c r="D59" s="838">
        <v>1874.5323819999999</v>
      </c>
      <c r="E59" s="839">
        <v>1845.427185</v>
      </c>
      <c r="F59" s="840"/>
      <c r="G59" s="573"/>
      <c r="H59" s="1011"/>
      <c r="I59" s="1011"/>
      <c r="J59" s="1011"/>
      <c r="K59" s="573"/>
    </row>
    <row r="60" spans="1:14" x14ac:dyDescent="0.2">
      <c r="A60" s="1685">
        <v>2009</v>
      </c>
      <c r="B60" s="1735">
        <f t="shared" si="12"/>
        <v>10086.341632</v>
      </c>
      <c r="C60" s="1738">
        <v>6962.1393239999998</v>
      </c>
      <c r="D60" s="1737">
        <v>1412.491532</v>
      </c>
      <c r="E60" s="1738">
        <v>1711.7107759999999</v>
      </c>
      <c r="F60" s="1747"/>
      <c r="G60" s="573"/>
      <c r="H60" s="1011"/>
      <c r="I60" s="1011"/>
      <c r="J60" s="1011"/>
      <c r="K60" s="573"/>
    </row>
    <row r="61" spans="1:14" x14ac:dyDescent="0.2">
      <c r="A61" s="796">
        <v>2010</v>
      </c>
      <c r="B61" s="966">
        <f t="shared" si="12"/>
        <v>11240.850026</v>
      </c>
      <c r="C61" s="839">
        <v>8179.7357620000002</v>
      </c>
      <c r="D61" s="838">
        <v>1169.349653</v>
      </c>
      <c r="E61" s="839">
        <v>1891.7646110000001</v>
      </c>
      <c r="F61" s="840"/>
      <c r="G61" s="573"/>
      <c r="H61" s="1011"/>
      <c r="I61" s="1011"/>
      <c r="J61" s="1011"/>
      <c r="K61" s="573"/>
    </row>
    <row r="62" spans="1:14" x14ac:dyDescent="0.2">
      <c r="A62" s="1685">
        <v>2011</v>
      </c>
      <c r="B62" s="1735">
        <f t="shared" si="12"/>
        <v>12067.310106999999</v>
      </c>
      <c r="C62" s="1738">
        <v>8322.5081489999993</v>
      </c>
      <c r="D62" s="1737">
        <v>1523.860013</v>
      </c>
      <c r="E62" s="1738">
        <v>2220.941945</v>
      </c>
      <c r="F62" s="1747"/>
      <c r="G62" s="573"/>
      <c r="H62" s="1011"/>
      <c r="I62" s="1011"/>
      <c r="J62" s="1011"/>
      <c r="K62" s="573"/>
    </row>
    <row r="63" spans="1:14" x14ac:dyDescent="0.2">
      <c r="A63" s="796">
        <v>2012</v>
      </c>
      <c r="B63" s="966">
        <f>SUM(C63:F63)</f>
        <v>12700.89055</v>
      </c>
      <c r="C63" s="839">
        <v>8790.3356710000007</v>
      </c>
      <c r="D63" s="838">
        <v>1659.1214150000001</v>
      </c>
      <c r="E63" s="839">
        <v>2251.4334639999997</v>
      </c>
      <c r="F63" s="1012"/>
      <c r="G63" s="573"/>
      <c r="H63" s="1011"/>
      <c r="I63" s="1011"/>
      <c r="J63" s="1011"/>
      <c r="K63" s="573"/>
    </row>
    <row r="64" spans="1:14" x14ac:dyDescent="0.2">
      <c r="A64" s="1685">
        <v>2013</v>
      </c>
      <c r="B64" s="1735">
        <f t="shared" si="12"/>
        <v>13674.172221000001</v>
      </c>
      <c r="C64" s="1738">
        <v>9312.0481660000005</v>
      </c>
      <c r="D64" s="1737">
        <v>2502.1743230000002</v>
      </c>
      <c r="E64" s="1738">
        <v>1859.9497320000005</v>
      </c>
      <c r="F64" s="1747"/>
      <c r="G64" s="573"/>
      <c r="H64" s="1011"/>
      <c r="I64" s="1011"/>
      <c r="J64" s="1011"/>
      <c r="K64" s="573"/>
    </row>
    <row r="65" spans="1:16" x14ac:dyDescent="0.2">
      <c r="A65" s="796">
        <v>2014</v>
      </c>
      <c r="B65" s="966">
        <f>SUM(C65:F65)</f>
        <v>14545.805000800003</v>
      </c>
      <c r="C65" s="839">
        <v>10524.299525700006</v>
      </c>
      <c r="D65" s="838">
        <v>2247.4841483999976</v>
      </c>
      <c r="E65" s="839">
        <v>1774.0213266999997</v>
      </c>
      <c r="F65" s="1012"/>
      <c r="G65" s="573"/>
      <c r="H65" s="1011"/>
      <c r="I65" s="1011"/>
      <c r="J65" s="1011"/>
      <c r="K65" s="573"/>
    </row>
    <row r="66" spans="1:16" x14ac:dyDescent="0.2">
      <c r="A66" s="1685" t="s">
        <v>136</v>
      </c>
      <c r="B66" s="1735">
        <f>16123008.1243017/1000</f>
        <v>16123.008124301699</v>
      </c>
      <c r="C66" s="1738">
        <f>12085335.0444569/1000</f>
        <v>12085.335044456899</v>
      </c>
      <c r="D66" s="1737">
        <f>2100729.7576692/1000</f>
        <v>2100.7297576692004</v>
      </c>
      <c r="E66" s="1738">
        <f>1936943.32217559/1000</f>
        <v>1936.9433221755901</v>
      </c>
      <c r="F66" s="1747"/>
      <c r="G66" s="573"/>
      <c r="H66" s="1011"/>
      <c r="I66" s="1011"/>
      <c r="J66" s="1011"/>
      <c r="K66" s="573"/>
    </row>
    <row r="67" spans="1:16" ht="13.5" thickBot="1" x14ac:dyDescent="0.25">
      <c r="A67" s="796"/>
      <c r="B67" s="966"/>
      <c r="C67" s="839"/>
      <c r="D67" s="838"/>
      <c r="E67" s="839"/>
      <c r="F67" s="1012"/>
      <c r="G67" s="573"/>
      <c r="H67" s="573"/>
      <c r="I67" s="573"/>
      <c r="J67" s="573"/>
      <c r="K67" s="573"/>
    </row>
    <row r="68" spans="1:16" x14ac:dyDescent="0.2">
      <c r="A68" s="1695" t="s">
        <v>137</v>
      </c>
      <c r="B68" s="1722">
        <f>(B66/B65)-1</f>
        <v>0.108430102247002</v>
      </c>
      <c r="C68" s="1721">
        <f t="shared" ref="C68:E68" si="13">(C66/C65)-1</f>
        <v>0.14832678554471901</v>
      </c>
      <c r="D68" s="1741">
        <f t="shared" si="13"/>
        <v>-6.5297186115983452E-2</v>
      </c>
      <c r="E68" s="1721">
        <f t="shared" si="13"/>
        <v>9.1837675806668351E-2</v>
      </c>
      <c r="F68" s="1753" t="s">
        <v>109</v>
      </c>
      <c r="G68" s="573"/>
      <c r="H68" s="1013"/>
      <c r="I68" s="573"/>
      <c r="J68" s="573"/>
      <c r="K68" s="573"/>
    </row>
    <row r="69" spans="1:16" ht="14.25" customHeight="1" x14ac:dyDescent="0.2">
      <c r="A69" s="948" t="s">
        <v>138</v>
      </c>
      <c r="B69" s="948">
        <f>((B66/B61)^(1/5))-1</f>
        <v>7.4804271776489406E-2</v>
      </c>
      <c r="C69" s="949">
        <f t="shared" ref="C69:E69" si="14">((C66/C61)^(1/5))-1</f>
        <v>8.1194640181513345E-2</v>
      </c>
      <c r="D69" s="996">
        <f t="shared" si="14"/>
        <v>0.12430763335243467</v>
      </c>
      <c r="E69" s="949">
        <f t="shared" si="14"/>
        <v>4.7313724171431648E-3</v>
      </c>
      <c r="F69" s="1014" t="s">
        <v>109</v>
      </c>
      <c r="G69" s="573"/>
      <c r="H69" s="573"/>
      <c r="I69" s="573"/>
      <c r="J69" s="573"/>
      <c r="K69" s="573"/>
    </row>
    <row r="70" spans="1:16" ht="14.25" customHeight="1" x14ac:dyDescent="0.2">
      <c r="A70" s="1752" t="s">
        <v>144</v>
      </c>
      <c r="B70" s="1754">
        <f>(B66/B56)-1</f>
        <v>1.0704778815031109</v>
      </c>
      <c r="C70" s="1745">
        <f t="shared" ref="C70:E70" si="15">(C66/C56)-1</f>
        <v>1.5673914872709211</v>
      </c>
      <c r="D70" s="1744">
        <f t="shared" si="15"/>
        <v>0.38772853935543328</v>
      </c>
      <c r="E70" s="1745">
        <f t="shared" si="15"/>
        <v>0.23682402467551467</v>
      </c>
      <c r="F70" s="1755" t="s">
        <v>109</v>
      </c>
      <c r="G70" s="573"/>
      <c r="H70" s="573"/>
      <c r="I70" s="573"/>
      <c r="J70" s="573"/>
      <c r="K70" s="573"/>
      <c r="P70" s="189"/>
    </row>
    <row r="71" spans="1:16" ht="18.75" customHeight="1" thickBot="1" x14ac:dyDescent="0.25">
      <c r="A71" s="1756" t="s">
        <v>140</v>
      </c>
      <c r="B71" s="999">
        <f>((B66/B56)^(1/10))-1</f>
        <v>7.5491691149952356E-2</v>
      </c>
      <c r="C71" s="1000">
        <f t="shared" ref="C71:E71" si="16">((C66/C56)^(1/10))-1</f>
        <v>9.8877319295801014E-2</v>
      </c>
      <c r="D71" s="1001">
        <f t="shared" si="16"/>
        <v>3.3309570855583948E-2</v>
      </c>
      <c r="E71" s="1000">
        <f t="shared" si="16"/>
        <v>2.1482171995137023E-2</v>
      </c>
      <c r="F71" s="1015" t="s">
        <v>109</v>
      </c>
      <c r="G71" s="573"/>
      <c r="H71" s="573"/>
      <c r="I71" s="573"/>
      <c r="J71" s="573"/>
      <c r="K71" s="573"/>
    </row>
    <row r="72" spans="1:16" ht="18.75" customHeight="1" x14ac:dyDescent="0.2">
      <c r="A72" s="644"/>
      <c r="B72" s="573"/>
      <c r="C72" s="573"/>
      <c r="D72" s="573"/>
      <c r="E72" s="573"/>
      <c r="F72" s="573"/>
      <c r="G72" s="573"/>
      <c r="H72" s="573"/>
      <c r="I72" s="573"/>
      <c r="J72" s="573"/>
      <c r="K72" s="573"/>
    </row>
    <row r="73" spans="1:16" s="573" customFormat="1" ht="15.75" customHeight="1" x14ac:dyDescent="0.2">
      <c r="A73" s="1004" t="s">
        <v>324</v>
      </c>
    </row>
    <row r="74" spans="1:16" s="573" customFormat="1" x14ac:dyDescent="0.2">
      <c r="A74" s="643"/>
    </row>
    <row r="75" spans="1:16" s="573" customFormat="1" x14ac:dyDescent="0.2">
      <c r="G75" s="157"/>
      <c r="H75" s="157"/>
      <c r="I75" s="157"/>
      <c r="J75" s="157"/>
      <c r="K75" s="157"/>
    </row>
    <row r="76" spans="1:16" s="573" customFormat="1" x14ac:dyDescent="0.2">
      <c r="A76" s="157"/>
      <c r="B76" s="157"/>
      <c r="C76" s="157"/>
      <c r="D76" s="157"/>
      <c r="E76" s="157"/>
      <c r="F76" s="157"/>
      <c r="G76" s="157"/>
      <c r="H76" s="157"/>
      <c r="I76" s="157"/>
      <c r="J76" s="157"/>
      <c r="K76" s="157"/>
    </row>
    <row r="77" spans="1:16" s="573" customFormat="1" x14ac:dyDescent="0.2">
      <c r="A77" s="157"/>
      <c r="B77" s="157"/>
      <c r="C77" s="157"/>
      <c r="D77" s="157"/>
      <c r="E77" s="157"/>
      <c r="F77" s="157"/>
      <c r="G77" s="157"/>
      <c r="H77" s="157"/>
      <c r="I77" s="157"/>
      <c r="J77" s="157"/>
      <c r="K77" s="157"/>
    </row>
    <row r="78" spans="1:16" s="573" customFormat="1" x14ac:dyDescent="0.2">
      <c r="A78" s="157"/>
      <c r="B78" s="157"/>
      <c r="C78" s="157"/>
      <c r="D78" s="157"/>
      <c r="E78" s="157"/>
      <c r="F78" s="157"/>
      <c r="G78" s="157"/>
      <c r="H78" s="157"/>
      <c r="I78" s="157"/>
      <c r="J78" s="157"/>
      <c r="K78" s="157"/>
    </row>
    <row r="79" spans="1:16" s="573" customFormat="1" x14ac:dyDescent="0.2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</row>
    <row r="80" spans="1:16" s="573" customFormat="1" x14ac:dyDescent="0.2">
      <c r="A80" s="157"/>
      <c r="B80" s="157"/>
      <c r="C80" s="157"/>
      <c r="D80" s="157"/>
      <c r="E80" s="157"/>
      <c r="F80" s="157"/>
      <c r="G80" s="157"/>
      <c r="H80" s="157"/>
      <c r="I80" s="157"/>
      <c r="J80" s="157"/>
      <c r="K80" s="157"/>
    </row>
    <row r="90" spans="16:19" x14ac:dyDescent="0.2">
      <c r="P90" s="261"/>
      <c r="Q90" s="190"/>
      <c r="R90" s="190"/>
      <c r="S90" s="190"/>
    </row>
    <row r="91" spans="16:19" x14ac:dyDescent="0.2">
      <c r="P91" s="261"/>
      <c r="Q91" s="190"/>
      <c r="R91" s="190"/>
      <c r="S91" s="190"/>
    </row>
    <row r="92" spans="16:19" ht="15" x14ac:dyDescent="0.25">
      <c r="P92" s="262"/>
      <c r="Q92" s="546"/>
      <c r="R92" s="546"/>
      <c r="S92" s="546"/>
    </row>
    <row r="105" spans="1:21" ht="15" customHeight="1" x14ac:dyDescent="0.2"/>
    <row r="106" spans="1:21" ht="15" customHeight="1" x14ac:dyDescent="0.2"/>
    <row r="107" spans="1:21" ht="15" customHeight="1" x14ac:dyDescent="0.2"/>
    <row r="108" spans="1:21" ht="15" customHeight="1" x14ac:dyDescent="0.2"/>
    <row r="109" spans="1:21" s="573" customFormat="1" ht="13.5" customHeight="1" x14ac:dyDescent="0.2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N109" s="157"/>
      <c r="O109" s="157"/>
      <c r="P109" s="157"/>
      <c r="Q109" s="157"/>
      <c r="R109" s="157"/>
      <c r="S109" s="157"/>
      <c r="T109" s="157"/>
      <c r="U109" s="157"/>
    </row>
    <row r="110" spans="1:21" s="573" customFormat="1" x14ac:dyDescent="0.2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N110" s="157"/>
      <c r="O110" s="157"/>
      <c r="P110" s="157"/>
      <c r="Q110" s="157"/>
      <c r="R110" s="157"/>
      <c r="S110" s="157"/>
      <c r="T110" s="157"/>
      <c r="U110" s="157"/>
    </row>
    <row r="111" spans="1:21" s="573" customFormat="1" x14ac:dyDescent="0.2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N111" s="157"/>
      <c r="O111" s="157"/>
      <c r="P111" s="157"/>
      <c r="Q111" s="157"/>
      <c r="R111" s="157"/>
      <c r="S111" s="157"/>
      <c r="T111" s="157"/>
      <c r="U111" s="157"/>
    </row>
    <row r="112" spans="1:21" s="573" customFormat="1" x14ac:dyDescent="0.2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N112" s="157"/>
      <c r="O112" s="157"/>
      <c r="P112" s="157"/>
      <c r="Q112" s="157"/>
      <c r="R112" s="157"/>
      <c r="S112" s="157"/>
      <c r="T112" s="157"/>
      <c r="U112" s="157"/>
    </row>
    <row r="113" spans="20:24" x14ac:dyDescent="0.2">
      <c r="V113" s="1016"/>
      <c r="W113" s="1016"/>
      <c r="X113" s="1016"/>
    </row>
    <row r="115" spans="20:24" x14ac:dyDescent="0.2">
      <c r="V115" s="542"/>
      <c r="W115" s="542"/>
      <c r="X115" s="202"/>
    </row>
    <row r="116" spans="20:24" x14ac:dyDescent="0.2">
      <c r="V116" s="202"/>
      <c r="W116" s="202"/>
      <c r="X116" s="202"/>
    </row>
    <row r="117" spans="20:24" x14ac:dyDescent="0.2">
      <c r="V117" s="202"/>
      <c r="W117" s="202"/>
      <c r="X117" s="202"/>
    </row>
    <row r="118" spans="20:24" x14ac:dyDescent="0.2">
      <c r="V118" s="202"/>
      <c r="W118" s="202"/>
      <c r="X118" s="202"/>
    </row>
    <row r="119" spans="20:24" x14ac:dyDescent="0.2">
      <c r="V119" s="202"/>
      <c r="W119" s="202"/>
      <c r="X119" s="202"/>
    </row>
    <row r="120" spans="20:24" x14ac:dyDescent="0.2">
      <c r="V120" s="202"/>
      <c r="W120" s="202"/>
      <c r="X120" s="202"/>
    </row>
    <row r="121" spans="20:24" x14ac:dyDescent="0.2">
      <c r="V121" s="202"/>
      <c r="W121" s="202"/>
      <c r="X121" s="202"/>
    </row>
    <row r="122" spans="20:24" x14ac:dyDescent="0.2">
      <c r="V122" s="202"/>
      <c r="W122" s="202"/>
      <c r="X122" s="202"/>
    </row>
    <row r="123" spans="20:24" x14ac:dyDescent="0.2">
      <c r="V123" s="202"/>
      <c r="W123" s="202"/>
      <c r="X123" s="202"/>
    </row>
    <row r="124" spans="20:24" x14ac:dyDescent="0.2">
      <c r="V124" s="202"/>
      <c r="W124" s="202"/>
      <c r="X124" s="202"/>
    </row>
    <row r="125" spans="20:24" x14ac:dyDescent="0.2">
      <c r="T125" s="202"/>
      <c r="U125" s="202"/>
      <c r="V125" s="202"/>
      <c r="W125" s="202"/>
      <c r="X125" s="202"/>
    </row>
    <row r="127" spans="20:24" ht="21.75" customHeight="1" x14ac:dyDescent="0.2"/>
    <row r="128" spans="20:24" ht="21.75" customHeight="1" x14ac:dyDescent="0.2"/>
    <row r="129" ht="21.75" customHeight="1" x14ac:dyDescent="0.2"/>
    <row r="130" ht="21.75" customHeight="1" x14ac:dyDescent="0.2"/>
  </sheetData>
  <autoFilter ref="A1:A130"/>
  <mergeCells count="3">
    <mergeCell ref="C6:G6"/>
    <mergeCell ref="H6:L6"/>
    <mergeCell ref="C43:F43"/>
  </mergeCells>
  <printOptions horizontalCentered="1"/>
  <pageMargins left="0.35433070866141736" right="3.937007874015748E-2" top="0.43307086614173229" bottom="0.19685039370078741" header="0" footer="0"/>
  <pageSetup paperSize="9" scale="5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9"/>
  <sheetViews>
    <sheetView view="pageBreakPreview" zoomScaleNormal="100" zoomScaleSheetLayoutView="100" workbookViewId="0">
      <selection activeCell="Q34" sqref="Q34"/>
    </sheetView>
  </sheetViews>
  <sheetFormatPr baseColWidth="10" defaultRowHeight="12.75" x14ac:dyDescent="0.2"/>
  <cols>
    <col min="1" max="1" width="4.5703125" style="157" customWidth="1"/>
    <col min="2" max="2" width="22.140625" style="157" customWidth="1"/>
    <col min="3" max="3" width="15" style="157" customWidth="1"/>
    <col min="4" max="4" width="13.28515625" style="157" customWidth="1"/>
    <col min="5" max="5" width="12.7109375" style="157" customWidth="1"/>
    <col min="6" max="6" width="14" style="157" customWidth="1"/>
    <col min="7" max="7" width="11" style="157" customWidth="1"/>
    <col min="8" max="8" width="12.42578125" style="157" customWidth="1"/>
    <col min="9" max="9" width="11.7109375" style="157" customWidth="1"/>
    <col min="10" max="10" width="11" style="157" customWidth="1"/>
    <col min="11" max="11" width="12.28515625" style="157" customWidth="1"/>
    <col min="12" max="256" width="11.42578125" style="157"/>
    <col min="257" max="257" width="4.5703125" style="157" customWidth="1"/>
    <col min="258" max="258" width="22.140625" style="157" customWidth="1"/>
    <col min="259" max="259" width="15" style="157" customWidth="1"/>
    <col min="260" max="260" width="13.28515625" style="157" customWidth="1"/>
    <col min="261" max="261" width="12.7109375" style="157" customWidth="1"/>
    <col min="262" max="262" width="14" style="157" customWidth="1"/>
    <col min="263" max="263" width="11" style="157" customWidth="1"/>
    <col min="264" max="264" width="12.42578125" style="157" customWidth="1"/>
    <col min="265" max="265" width="11.7109375" style="157" customWidth="1"/>
    <col min="266" max="266" width="11" style="157" customWidth="1"/>
    <col min="267" max="267" width="12.28515625" style="157" customWidth="1"/>
    <col min="268" max="512" width="11.42578125" style="157"/>
    <col min="513" max="513" width="4.5703125" style="157" customWidth="1"/>
    <col min="514" max="514" width="22.140625" style="157" customWidth="1"/>
    <col min="515" max="515" width="15" style="157" customWidth="1"/>
    <col min="516" max="516" width="13.28515625" style="157" customWidth="1"/>
    <col min="517" max="517" width="12.7109375" style="157" customWidth="1"/>
    <col min="518" max="518" width="14" style="157" customWidth="1"/>
    <col min="519" max="519" width="11" style="157" customWidth="1"/>
    <col min="520" max="520" width="12.42578125" style="157" customWidth="1"/>
    <col min="521" max="521" width="11.7109375" style="157" customWidth="1"/>
    <col min="522" max="522" width="11" style="157" customWidth="1"/>
    <col min="523" max="523" width="12.28515625" style="157" customWidth="1"/>
    <col min="524" max="768" width="11.42578125" style="157"/>
    <col min="769" max="769" width="4.5703125" style="157" customWidth="1"/>
    <col min="770" max="770" width="22.140625" style="157" customWidth="1"/>
    <col min="771" max="771" width="15" style="157" customWidth="1"/>
    <col min="772" max="772" width="13.28515625" style="157" customWidth="1"/>
    <col min="773" max="773" width="12.7109375" style="157" customWidth="1"/>
    <col min="774" max="774" width="14" style="157" customWidth="1"/>
    <col min="775" max="775" width="11" style="157" customWidth="1"/>
    <col min="776" max="776" width="12.42578125" style="157" customWidth="1"/>
    <col min="777" max="777" width="11.7109375" style="157" customWidth="1"/>
    <col min="778" max="778" width="11" style="157" customWidth="1"/>
    <col min="779" max="779" width="12.28515625" style="157" customWidth="1"/>
    <col min="780" max="1024" width="11.42578125" style="157"/>
    <col min="1025" max="1025" width="4.5703125" style="157" customWidth="1"/>
    <col min="1026" max="1026" width="22.140625" style="157" customWidth="1"/>
    <col min="1027" max="1027" width="15" style="157" customWidth="1"/>
    <col min="1028" max="1028" width="13.28515625" style="157" customWidth="1"/>
    <col min="1029" max="1029" width="12.7109375" style="157" customWidth="1"/>
    <col min="1030" max="1030" width="14" style="157" customWidth="1"/>
    <col min="1031" max="1031" width="11" style="157" customWidth="1"/>
    <col min="1032" max="1032" width="12.42578125" style="157" customWidth="1"/>
    <col min="1033" max="1033" width="11.7109375" style="157" customWidth="1"/>
    <col min="1034" max="1034" width="11" style="157" customWidth="1"/>
    <col min="1035" max="1035" width="12.28515625" style="157" customWidth="1"/>
    <col min="1036" max="1280" width="11.42578125" style="157"/>
    <col min="1281" max="1281" width="4.5703125" style="157" customWidth="1"/>
    <col min="1282" max="1282" width="22.140625" style="157" customWidth="1"/>
    <col min="1283" max="1283" width="15" style="157" customWidth="1"/>
    <col min="1284" max="1284" width="13.28515625" style="157" customWidth="1"/>
    <col min="1285" max="1285" width="12.7109375" style="157" customWidth="1"/>
    <col min="1286" max="1286" width="14" style="157" customWidth="1"/>
    <col min="1287" max="1287" width="11" style="157" customWidth="1"/>
    <col min="1288" max="1288" width="12.42578125" style="157" customWidth="1"/>
    <col min="1289" max="1289" width="11.7109375" style="157" customWidth="1"/>
    <col min="1290" max="1290" width="11" style="157" customWidth="1"/>
    <col min="1291" max="1291" width="12.28515625" style="157" customWidth="1"/>
    <col min="1292" max="1536" width="11.42578125" style="157"/>
    <col min="1537" max="1537" width="4.5703125" style="157" customWidth="1"/>
    <col min="1538" max="1538" width="22.140625" style="157" customWidth="1"/>
    <col min="1539" max="1539" width="15" style="157" customWidth="1"/>
    <col min="1540" max="1540" width="13.28515625" style="157" customWidth="1"/>
    <col min="1541" max="1541" width="12.7109375" style="157" customWidth="1"/>
    <col min="1542" max="1542" width="14" style="157" customWidth="1"/>
    <col min="1543" max="1543" width="11" style="157" customWidth="1"/>
    <col min="1544" max="1544" width="12.42578125" style="157" customWidth="1"/>
    <col min="1545" max="1545" width="11.7109375" style="157" customWidth="1"/>
    <col min="1546" max="1546" width="11" style="157" customWidth="1"/>
    <col min="1547" max="1547" width="12.28515625" style="157" customWidth="1"/>
    <col min="1548" max="1792" width="11.42578125" style="157"/>
    <col min="1793" max="1793" width="4.5703125" style="157" customWidth="1"/>
    <col min="1794" max="1794" width="22.140625" style="157" customWidth="1"/>
    <col min="1795" max="1795" width="15" style="157" customWidth="1"/>
    <col min="1796" max="1796" width="13.28515625" style="157" customWidth="1"/>
    <col min="1797" max="1797" width="12.7109375" style="157" customWidth="1"/>
    <col min="1798" max="1798" width="14" style="157" customWidth="1"/>
    <col min="1799" max="1799" width="11" style="157" customWidth="1"/>
    <col min="1800" max="1800" width="12.42578125" style="157" customWidth="1"/>
    <col min="1801" max="1801" width="11.7109375" style="157" customWidth="1"/>
    <col min="1802" max="1802" width="11" style="157" customWidth="1"/>
    <col min="1803" max="1803" width="12.28515625" style="157" customWidth="1"/>
    <col min="1804" max="2048" width="11.42578125" style="157"/>
    <col min="2049" max="2049" width="4.5703125" style="157" customWidth="1"/>
    <col min="2050" max="2050" width="22.140625" style="157" customWidth="1"/>
    <col min="2051" max="2051" width="15" style="157" customWidth="1"/>
    <col min="2052" max="2052" width="13.28515625" style="157" customWidth="1"/>
    <col min="2053" max="2053" width="12.7109375" style="157" customWidth="1"/>
    <col min="2054" max="2054" width="14" style="157" customWidth="1"/>
    <col min="2055" max="2055" width="11" style="157" customWidth="1"/>
    <col min="2056" max="2056" width="12.42578125" style="157" customWidth="1"/>
    <col min="2057" max="2057" width="11.7109375" style="157" customWidth="1"/>
    <col min="2058" max="2058" width="11" style="157" customWidth="1"/>
    <col min="2059" max="2059" width="12.28515625" style="157" customWidth="1"/>
    <col min="2060" max="2304" width="11.42578125" style="157"/>
    <col min="2305" max="2305" width="4.5703125" style="157" customWidth="1"/>
    <col min="2306" max="2306" width="22.140625" style="157" customWidth="1"/>
    <col min="2307" max="2307" width="15" style="157" customWidth="1"/>
    <col min="2308" max="2308" width="13.28515625" style="157" customWidth="1"/>
    <col min="2309" max="2309" width="12.7109375" style="157" customWidth="1"/>
    <col min="2310" max="2310" width="14" style="157" customWidth="1"/>
    <col min="2311" max="2311" width="11" style="157" customWidth="1"/>
    <col min="2312" max="2312" width="12.42578125" style="157" customWidth="1"/>
    <col min="2313" max="2313" width="11.7109375" style="157" customWidth="1"/>
    <col min="2314" max="2314" width="11" style="157" customWidth="1"/>
    <col min="2315" max="2315" width="12.28515625" style="157" customWidth="1"/>
    <col min="2316" max="2560" width="11.42578125" style="157"/>
    <col min="2561" max="2561" width="4.5703125" style="157" customWidth="1"/>
    <col min="2562" max="2562" width="22.140625" style="157" customWidth="1"/>
    <col min="2563" max="2563" width="15" style="157" customWidth="1"/>
    <col min="2564" max="2564" width="13.28515625" style="157" customWidth="1"/>
    <col min="2565" max="2565" width="12.7109375" style="157" customWidth="1"/>
    <col min="2566" max="2566" width="14" style="157" customWidth="1"/>
    <col min="2567" max="2567" width="11" style="157" customWidth="1"/>
    <col min="2568" max="2568" width="12.42578125" style="157" customWidth="1"/>
    <col min="2569" max="2569" width="11.7109375" style="157" customWidth="1"/>
    <col min="2570" max="2570" width="11" style="157" customWidth="1"/>
    <col min="2571" max="2571" width="12.28515625" style="157" customWidth="1"/>
    <col min="2572" max="2816" width="11.42578125" style="157"/>
    <col min="2817" max="2817" width="4.5703125" style="157" customWidth="1"/>
    <col min="2818" max="2818" width="22.140625" style="157" customWidth="1"/>
    <col min="2819" max="2819" width="15" style="157" customWidth="1"/>
    <col min="2820" max="2820" width="13.28515625" style="157" customWidth="1"/>
    <col min="2821" max="2821" width="12.7109375" style="157" customWidth="1"/>
    <col min="2822" max="2822" width="14" style="157" customWidth="1"/>
    <col min="2823" max="2823" width="11" style="157" customWidth="1"/>
    <col min="2824" max="2824" width="12.42578125" style="157" customWidth="1"/>
    <col min="2825" max="2825" width="11.7109375" style="157" customWidth="1"/>
    <col min="2826" max="2826" width="11" style="157" customWidth="1"/>
    <col min="2827" max="2827" width="12.28515625" style="157" customWidth="1"/>
    <col min="2828" max="3072" width="11.42578125" style="157"/>
    <col min="3073" max="3073" width="4.5703125" style="157" customWidth="1"/>
    <col min="3074" max="3074" width="22.140625" style="157" customWidth="1"/>
    <col min="3075" max="3075" width="15" style="157" customWidth="1"/>
    <col min="3076" max="3076" width="13.28515625" style="157" customWidth="1"/>
    <col min="3077" max="3077" width="12.7109375" style="157" customWidth="1"/>
    <col min="3078" max="3078" width="14" style="157" customWidth="1"/>
    <col min="3079" max="3079" width="11" style="157" customWidth="1"/>
    <col min="3080" max="3080" width="12.42578125" style="157" customWidth="1"/>
    <col min="3081" max="3081" width="11.7109375" style="157" customWidth="1"/>
    <col min="3082" max="3082" width="11" style="157" customWidth="1"/>
    <col min="3083" max="3083" width="12.28515625" style="157" customWidth="1"/>
    <col min="3084" max="3328" width="11.42578125" style="157"/>
    <col min="3329" max="3329" width="4.5703125" style="157" customWidth="1"/>
    <col min="3330" max="3330" width="22.140625" style="157" customWidth="1"/>
    <col min="3331" max="3331" width="15" style="157" customWidth="1"/>
    <col min="3332" max="3332" width="13.28515625" style="157" customWidth="1"/>
    <col min="3333" max="3333" width="12.7109375" style="157" customWidth="1"/>
    <col min="3334" max="3334" width="14" style="157" customWidth="1"/>
    <col min="3335" max="3335" width="11" style="157" customWidth="1"/>
    <col min="3336" max="3336" width="12.42578125" style="157" customWidth="1"/>
    <col min="3337" max="3337" width="11.7109375" style="157" customWidth="1"/>
    <col min="3338" max="3338" width="11" style="157" customWidth="1"/>
    <col min="3339" max="3339" width="12.28515625" style="157" customWidth="1"/>
    <col min="3340" max="3584" width="11.42578125" style="157"/>
    <col min="3585" max="3585" width="4.5703125" style="157" customWidth="1"/>
    <col min="3586" max="3586" width="22.140625" style="157" customWidth="1"/>
    <col min="3587" max="3587" width="15" style="157" customWidth="1"/>
    <col min="3588" max="3588" width="13.28515625" style="157" customWidth="1"/>
    <col min="3589" max="3589" width="12.7109375" style="157" customWidth="1"/>
    <col min="3590" max="3590" width="14" style="157" customWidth="1"/>
    <col min="3591" max="3591" width="11" style="157" customWidth="1"/>
    <col min="3592" max="3592" width="12.42578125" style="157" customWidth="1"/>
    <col min="3593" max="3593" width="11.7109375" style="157" customWidth="1"/>
    <col min="3594" max="3594" width="11" style="157" customWidth="1"/>
    <col min="3595" max="3595" width="12.28515625" style="157" customWidth="1"/>
    <col min="3596" max="3840" width="11.42578125" style="157"/>
    <col min="3841" max="3841" width="4.5703125" style="157" customWidth="1"/>
    <col min="3842" max="3842" width="22.140625" style="157" customWidth="1"/>
    <col min="3843" max="3843" width="15" style="157" customWidth="1"/>
    <col min="3844" max="3844" width="13.28515625" style="157" customWidth="1"/>
    <col min="3845" max="3845" width="12.7109375" style="157" customWidth="1"/>
    <col min="3846" max="3846" width="14" style="157" customWidth="1"/>
    <col min="3847" max="3847" width="11" style="157" customWidth="1"/>
    <col min="3848" max="3848" width="12.42578125" style="157" customWidth="1"/>
    <col min="3849" max="3849" width="11.7109375" style="157" customWidth="1"/>
    <col min="3850" max="3850" width="11" style="157" customWidth="1"/>
    <col min="3851" max="3851" width="12.28515625" style="157" customWidth="1"/>
    <col min="3852" max="4096" width="11.42578125" style="157"/>
    <col min="4097" max="4097" width="4.5703125" style="157" customWidth="1"/>
    <col min="4098" max="4098" width="22.140625" style="157" customWidth="1"/>
    <col min="4099" max="4099" width="15" style="157" customWidth="1"/>
    <col min="4100" max="4100" width="13.28515625" style="157" customWidth="1"/>
    <col min="4101" max="4101" width="12.7109375" style="157" customWidth="1"/>
    <col min="4102" max="4102" width="14" style="157" customWidth="1"/>
    <col min="4103" max="4103" width="11" style="157" customWidth="1"/>
    <col min="4104" max="4104" width="12.42578125" style="157" customWidth="1"/>
    <col min="4105" max="4105" width="11.7109375" style="157" customWidth="1"/>
    <col min="4106" max="4106" width="11" style="157" customWidth="1"/>
    <col min="4107" max="4107" width="12.28515625" style="157" customWidth="1"/>
    <col min="4108" max="4352" width="11.42578125" style="157"/>
    <col min="4353" max="4353" width="4.5703125" style="157" customWidth="1"/>
    <col min="4354" max="4354" width="22.140625" style="157" customWidth="1"/>
    <col min="4355" max="4355" width="15" style="157" customWidth="1"/>
    <col min="4356" max="4356" width="13.28515625" style="157" customWidth="1"/>
    <col min="4357" max="4357" width="12.7109375" style="157" customWidth="1"/>
    <col min="4358" max="4358" width="14" style="157" customWidth="1"/>
    <col min="4359" max="4359" width="11" style="157" customWidth="1"/>
    <col min="4360" max="4360" width="12.42578125" style="157" customWidth="1"/>
    <col min="4361" max="4361" width="11.7109375" style="157" customWidth="1"/>
    <col min="4362" max="4362" width="11" style="157" customWidth="1"/>
    <col min="4363" max="4363" width="12.28515625" style="157" customWidth="1"/>
    <col min="4364" max="4608" width="11.42578125" style="157"/>
    <col min="4609" max="4609" width="4.5703125" style="157" customWidth="1"/>
    <col min="4610" max="4610" width="22.140625" style="157" customWidth="1"/>
    <col min="4611" max="4611" width="15" style="157" customWidth="1"/>
    <col min="4612" max="4612" width="13.28515625" style="157" customWidth="1"/>
    <col min="4613" max="4613" width="12.7109375" style="157" customWidth="1"/>
    <col min="4614" max="4614" width="14" style="157" customWidth="1"/>
    <col min="4615" max="4615" width="11" style="157" customWidth="1"/>
    <col min="4616" max="4616" width="12.42578125" style="157" customWidth="1"/>
    <col min="4617" max="4617" width="11.7109375" style="157" customWidth="1"/>
    <col min="4618" max="4618" width="11" style="157" customWidth="1"/>
    <col min="4619" max="4619" width="12.28515625" style="157" customWidth="1"/>
    <col min="4620" max="4864" width="11.42578125" style="157"/>
    <col min="4865" max="4865" width="4.5703125" style="157" customWidth="1"/>
    <col min="4866" max="4866" width="22.140625" style="157" customWidth="1"/>
    <col min="4867" max="4867" width="15" style="157" customWidth="1"/>
    <col min="4868" max="4868" width="13.28515625" style="157" customWidth="1"/>
    <col min="4869" max="4869" width="12.7109375" style="157" customWidth="1"/>
    <col min="4870" max="4870" width="14" style="157" customWidth="1"/>
    <col min="4871" max="4871" width="11" style="157" customWidth="1"/>
    <col min="4872" max="4872" width="12.42578125" style="157" customWidth="1"/>
    <col min="4873" max="4873" width="11.7109375" style="157" customWidth="1"/>
    <col min="4874" max="4874" width="11" style="157" customWidth="1"/>
    <col min="4875" max="4875" width="12.28515625" style="157" customWidth="1"/>
    <col min="4876" max="5120" width="11.42578125" style="157"/>
    <col min="5121" max="5121" width="4.5703125" style="157" customWidth="1"/>
    <col min="5122" max="5122" width="22.140625" style="157" customWidth="1"/>
    <col min="5123" max="5123" width="15" style="157" customWidth="1"/>
    <col min="5124" max="5124" width="13.28515625" style="157" customWidth="1"/>
    <col min="5125" max="5125" width="12.7109375" style="157" customWidth="1"/>
    <col min="5126" max="5126" width="14" style="157" customWidth="1"/>
    <col min="5127" max="5127" width="11" style="157" customWidth="1"/>
    <col min="5128" max="5128" width="12.42578125" style="157" customWidth="1"/>
    <col min="5129" max="5129" width="11.7109375" style="157" customWidth="1"/>
    <col min="5130" max="5130" width="11" style="157" customWidth="1"/>
    <col min="5131" max="5131" width="12.28515625" style="157" customWidth="1"/>
    <col min="5132" max="5376" width="11.42578125" style="157"/>
    <col min="5377" max="5377" width="4.5703125" style="157" customWidth="1"/>
    <col min="5378" max="5378" width="22.140625" style="157" customWidth="1"/>
    <col min="5379" max="5379" width="15" style="157" customWidth="1"/>
    <col min="5380" max="5380" width="13.28515625" style="157" customWidth="1"/>
    <col min="5381" max="5381" width="12.7109375" style="157" customWidth="1"/>
    <col min="5382" max="5382" width="14" style="157" customWidth="1"/>
    <col min="5383" max="5383" width="11" style="157" customWidth="1"/>
    <col min="5384" max="5384" width="12.42578125" style="157" customWidth="1"/>
    <col min="5385" max="5385" width="11.7109375" style="157" customWidth="1"/>
    <col min="5386" max="5386" width="11" style="157" customWidth="1"/>
    <col min="5387" max="5387" width="12.28515625" style="157" customWidth="1"/>
    <col min="5388" max="5632" width="11.42578125" style="157"/>
    <col min="5633" max="5633" width="4.5703125" style="157" customWidth="1"/>
    <col min="5634" max="5634" width="22.140625" style="157" customWidth="1"/>
    <col min="5635" max="5635" width="15" style="157" customWidth="1"/>
    <col min="5636" max="5636" width="13.28515625" style="157" customWidth="1"/>
    <col min="5637" max="5637" width="12.7109375" style="157" customWidth="1"/>
    <col min="5638" max="5638" width="14" style="157" customWidth="1"/>
    <col min="5639" max="5639" width="11" style="157" customWidth="1"/>
    <col min="5640" max="5640" width="12.42578125" style="157" customWidth="1"/>
    <col min="5641" max="5641" width="11.7109375" style="157" customWidth="1"/>
    <col min="5642" max="5642" width="11" style="157" customWidth="1"/>
    <col min="5643" max="5643" width="12.28515625" style="157" customWidth="1"/>
    <col min="5644" max="5888" width="11.42578125" style="157"/>
    <col min="5889" max="5889" width="4.5703125" style="157" customWidth="1"/>
    <col min="5890" max="5890" width="22.140625" style="157" customWidth="1"/>
    <col min="5891" max="5891" width="15" style="157" customWidth="1"/>
    <col min="5892" max="5892" width="13.28515625" style="157" customWidth="1"/>
    <col min="5893" max="5893" width="12.7109375" style="157" customWidth="1"/>
    <col min="5894" max="5894" width="14" style="157" customWidth="1"/>
    <col min="5895" max="5895" width="11" style="157" customWidth="1"/>
    <col min="5896" max="5896" width="12.42578125" style="157" customWidth="1"/>
    <col min="5897" max="5897" width="11.7109375" style="157" customWidth="1"/>
    <col min="5898" max="5898" width="11" style="157" customWidth="1"/>
    <col min="5899" max="5899" width="12.28515625" style="157" customWidth="1"/>
    <col min="5900" max="6144" width="11.42578125" style="157"/>
    <col min="6145" max="6145" width="4.5703125" style="157" customWidth="1"/>
    <col min="6146" max="6146" width="22.140625" style="157" customWidth="1"/>
    <col min="6147" max="6147" width="15" style="157" customWidth="1"/>
    <col min="6148" max="6148" width="13.28515625" style="157" customWidth="1"/>
    <col min="6149" max="6149" width="12.7109375" style="157" customWidth="1"/>
    <col min="6150" max="6150" width="14" style="157" customWidth="1"/>
    <col min="6151" max="6151" width="11" style="157" customWidth="1"/>
    <col min="6152" max="6152" width="12.42578125" style="157" customWidth="1"/>
    <col min="6153" max="6153" width="11.7109375" style="157" customWidth="1"/>
    <col min="6154" max="6154" width="11" style="157" customWidth="1"/>
    <col min="6155" max="6155" width="12.28515625" style="157" customWidth="1"/>
    <col min="6156" max="6400" width="11.42578125" style="157"/>
    <col min="6401" max="6401" width="4.5703125" style="157" customWidth="1"/>
    <col min="6402" max="6402" width="22.140625" style="157" customWidth="1"/>
    <col min="6403" max="6403" width="15" style="157" customWidth="1"/>
    <col min="6404" max="6404" width="13.28515625" style="157" customWidth="1"/>
    <col min="6405" max="6405" width="12.7109375" style="157" customWidth="1"/>
    <col min="6406" max="6406" width="14" style="157" customWidth="1"/>
    <col min="6407" max="6407" width="11" style="157" customWidth="1"/>
    <col min="6408" max="6408" width="12.42578125" style="157" customWidth="1"/>
    <col min="6409" max="6409" width="11.7109375" style="157" customWidth="1"/>
    <col min="6410" max="6410" width="11" style="157" customWidth="1"/>
    <col min="6411" max="6411" width="12.28515625" style="157" customWidth="1"/>
    <col min="6412" max="6656" width="11.42578125" style="157"/>
    <col min="6657" max="6657" width="4.5703125" style="157" customWidth="1"/>
    <col min="6658" max="6658" width="22.140625" style="157" customWidth="1"/>
    <col min="6659" max="6659" width="15" style="157" customWidth="1"/>
    <col min="6660" max="6660" width="13.28515625" style="157" customWidth="1"/>
    <col min="6661" max="6661" width="12.7109375" style="157" customWidth="1"/>
    <col min="6662" max="6662" width="14" style="157" customWidth="1"/>
    <col min="6663" max="6663" width="11" style="157" customWidth="1"/>
    <col min="6664" max="6664" width="12.42578125" style="157" customWidth="1"/>
    <col min="6665" max="6665" width="11.7109375" style="157" customWidth="1"/>
    <col min="6666" max="6666" width="11" style="157" customWidth="1"/>
    <col min="6667" max="6667" width="12.28515625" style="157" customWidth="1"/>
    <col min="6668" max="6912" width="11.42578125" style="157"/>
    <col min="6913" max="6913" width="4.5703125" style="157" customWidth="1"/>
    <col min="6914" max="6914" width="22.140625" style="157" customWidth="1"/>
    <col min="6915" max="6915" width="15" style="157" customWidth="1"/>
    <col min="6916" max="6916" width="13.28515625" style="157" customWidth="1"/>
    <col min="6917" max="6917" width="12.7109375" style="157" customWidth="1"/>
    <col min="6918" max="6918" width="14" style="157" customWidth="1"/>
    <col min="6919" max="6919" width="11" style="157" customWidth="1"/>
    <col min="6920" max="6920" width="12.42578125" style="157" customWidth="1"/>
    <col min="6921" max="6921" width="11.7109375" style="157" customWidth="1"/>
    <col min="6922" max="6922" width="11" style="157" customWidth="1"/>
    <col min="6923" max="6923" width="12.28515625" style="157" customWidth="1"/>
    <col min="6924" max="7168" width="11.42578125" style="157"/>
    <col min="7169" max="7169" width="4.5703125" style="157" customWidth="1"/>
    <col min="7170" max="7170" width="22.140625" style="157" customWidth="1"/>
    <col min="7171" max="7171" width="15" style="157" customWidth="1"/>
    <col min="7172" max="7172" width="13.28515625" style="157" customWidth="1"/>
    <col min="7173" max="7173" width="12.7109375" style="157" customWidth="1"/>
    <col min="7174" max="7174" width="14" style="157" customWidth="1"/>
    <col min="7175" max="7175" width="11" style="157" customWidth="1"/>
    <col min="7176" max="7176" width="12.42578125" style="157" customWidth="1"/>
    <col min="7177" max="7177" width="11.7109375" style="157" customWidth="1"/>
    <col min="7178" max="7178" width="11" style="157" customWidth="1"/>
    <col min="7179" max="7179" width="12.28515625" style="157" customWidth="1"/>
    <col min="7180" max="7424" width="11.42578125" style="157"/>
    <col min="7425" max="7425" width="4.5703125" style="157" customWidth="1"/>
    <col min="7426" max="7426" width="22.140625" style="157" customWidth="1"/>
    <col min="7427" max="7427" width="15" style="157" customWidth="1"/>
    <col min="7428" max="7428" width="13.28515625" style="157" customWidth="1"/>
    <col min="7429" max="7429" width="12.7109375" style="157" customWidth="1"/>
    <col min="7430" max="7430" width="14" style="157" customWidth="1"/>
    <col min="7431" max="7431" width="11" style="157" customWidth="1"/>
    <col min="7432" max="7432" width="12.42578125" style="157" customWidth="1"/>
    <col min="7433" max="7433" width="11.7109375" style="157" customWidth="1"/>
    <col min="7434" max="7434" width="11" style="157" customWidth="1"/>
    <col min="7435" max="7435" width="12.28515625" style="157" customWidth="1"/>
    <col min="7436" max="7680" width="11.42578125" style="157"/>
    <col min="7681" max="7681" width="4.5703125" style="157" customWidth="1"/>
    <col min="7682" max="7682" width="22.140625" style="157" customWidth="1"/>
    <col min="7683" max="7683" width="15" style="157" customWidth="1"/>
    <col min="7684" max="7684" width="13.28515625" style="157" customWidth="1"/>
    <col min="7685" max="7685" width="12.7109375" style="157" customWidth="1"/>
    <col min="7686" max="7686" width="14" style="157" customWidth="1"/>
    <col min="7687" max="7687" width="11" style="157" customWidth="1"/>
    <col min="7688" max="7688" width="12.42578125" style="157" customWidth="1"/>
    <col min="7689" max="7689" width="11.7109375" style="157" customWidth="1"/>
    <col min="7690" max="7690" width="11" style="157" customWidth="1"/>
    <col min="7691" max="7691" width="12.28515625" style="157" customWidth="1"/>
    <col min="7692" max="7936" width="11.42578125" style="157"/>
    <col min="7937" max="7937" width="4.5703125" style="157" customWidth="1"/>
    <col min="7938" max="7938" width="22.140625" style="157" customWidth="1"/>
    <col min="7939" max="7939" width="15" style="157" customWidth="1"/>
    <col min="7940" max="7940" width="13.28515625" style="157" customWidth="1"/>
    <col min="7941" max="7941" width="12.7109375" style="157" customWidth="1"/>
    <col min="7942" max="7942" width="14" style="157" customWidth="1"/>
    <col min="7943" max="7943" width="11" style="157" customWidth="1"/>
    <col min="7944" max="7944" width="12.42578125" style="157" customWidth="1"/>
    <col min="7945" max="7945" width="11.7109375" style="157" customWidth="1"/>
    <col min="7946" max="7946" width="11" style="157" customWidth="1"/>
    <col min="7947" max="7947" width="12.28515625" style="157" customWidth="1"/>
    <col min="7948" max="8192" width="11.42578125" style="157"/>
    <col min="8193" max="8193" width="4.5703125" style="157" customWidth="1"/>
    <col min="8194" max="8194" width="22.140625" style="157" customWidth="1"/>
    <col min="8195" max="8195" width="15" style="157" customWidth="1"/>
    <col min="8196" max="8196" width="13.28515625" style="157" customWidth="1"/>
    <col min="8197" max="8197" width="12.7109375" style="157" customWidth="1"/>
    <col min="8198" max="8198" width="14" style="157" customWidth="1"/>
    <col min="8199" max="8199" width="11" style="157" customWidth="1"/>
    <col min="8200" max="8200" width="12.42578125" style="157" customWidth="1"/>
    <col min="8201" max="8201" width="11.7109375" style="157" customWidth="1"/>
    <col min="8202" max="8202" width="11" style="157" customWidth="1"/>
    <col min="8203" max="8203" width="12.28515625" style="157" customWidth="1"/>
    <col min="8204" max="8448" width="11.42578125" style="157"/>
    <col min="8449" max="8449" width="4.5703125" style="157" customWidth="1"/>
    <col min="8450" max="8450" width="22.140625" style="157" customWidth="1"/>
    <col min="8451" max="8451" width="15" style="157" customWidth="1"/>
    <col min="8452" max="8452" width="13.28515625" style="157" customWidth="1"/>
    <col min="8453" max="8453" width="12.7109375" style="157" customWidth="1"/>
    <col min="8454" max="8454" width="14" style="157" customWidth="1"/>
    <col min="8455" max="8455" width="11" style="157" customWidth="1"/>
    <col min="8456" max="8456" width="12.42578125" style="157" customWidth="1"/>
    <col min="8457" max="8457" width="11.7109375" style="157" customWidth="1"/>
    <col min="8458" max="8458" width="11" style="157" customWidth="1"/>
    <col min="8459" max="8459" width="12.28515625" style="157" customWidth="1"/>
    <col min="8460" max="8704" width="11.42578125" style="157"/>
    <col min="8705" max="8705" width="4.5703125" style="157" customWidth="1"/>
    <col min="8706" max="8706" width="22.140625" style="157" customWidth="1"/>
    <col min="8707" max="8707" width="15" style="157" customWidth="1"/>
    <col min="8708" max="8708" width="13.28515625" style="157" customWidth="1"/>
    <col min="8709" max="8709" width="12.7109375" style="157" customWidth="1"/>
    <col min="8710" max="8710" width="14" style="157" customWidth="1"/>
    <col min="8711" max="8711" width="11" style="157" customWidth="1"/>
    <col min="8712" max="8712" width="12.42578125" style="157" customWidth="1"/>
    <col min="8713" max="8713" width="11.7109375" style="157" customWidth="1"/>
    <col min="8714" max="8714" width="11" style="157" customWidth="1"/>
    <col min="8715" max="8715" width="12.28515625" style="157" customWidth="1"/>
    <col min="8716" max="8960" width="11.42578125" style="157"/>
    <col min="8961" max="8961" width="4.5703125" style="157" customWidth="1"/>
    <col min="8962" max="8962" width="22.140625" style="157" customWidth="1"/>
    <col min="8963" max="8963" width="15" style="157" customWidth="1"/>
    <col min="8964" max="8964" width="13.28515625" style="157" customWidth="1"/>
    <col min="8965" max="8965" width="12.7109375" style="157" customWidth="1"/>
    <col min="8966" max="8966" width="14" style="157" customWidth="1"/>
    <col min="8967" max="8967" width="11" style="157" customWidth="1"/>
    <col min="8968" max="8968" width="12.42578125" style="157" customWidth="1"/>
    <col min="8969" max="8969" width="11.7109375" style="157" customWidth="1"/>
    <col min="8970" max="8970" width="11" style="157" customWidth="1"/>
    <col min="8971" max="8971" width="12.28515625" style="157" customWidth="1"/>
    <col min="8972" max="9216" width="11.42578125" style="157"/>
    <col min="9217" max="9217" width="4.5703125" style="157" customWidth="1"/>
    <col min="9218" max="9218" width="22.140625" style="157" customWidth="1"/>
    <col min="9219" max="9219" width="15" style="157" customWidth="1"/>
    <col min="9220" max="9220" width="13.28515625" style="157" customWidth="1"/>
    <col min="9221" max="9221" width="12.7109375" style="157" customWidth="1"/>
    <col min="9222" max="9222" width="14" style="157" customWidth="1"/>
    <col min="9223" max="9223" width="11" style="157" customWidth="1"/>
    <col min="9224" max="9224" width="12.42578125" style="157" customWidth="1"/>
    <col min="9225" max="9225" width="11.7109375" style="157" customWidth="1"/>
    <col min="9226" max="9226" width="11" style="157" customWidth="1"/>
    <col min="9227" max="9227" width="12.28515625" style="157" customWidth="1"/>
    <col min="9228" max="9472" width="11.42578125" style="157"/>
    <col min="9473" max="9473" width="4.5703125" style="157" customWidth="1"/>
    <col min="9474" max="9474" width="22.140625" style="157" customWidth="1"/>
    <col min="9475" max="9475" width="15" style="157" customWidth="1"/>
    <col min="9476" max="9476" width="13.28515625" style="157" customWidth="1"/>
    <col min="9477" max="9477" width="12.7109375" style="157" customWidth="1"/>
    <col min="9478" max="9478" width="14" style="157" customWidth="1"/>
    <col min="9479" max="9479" width="11" style="157" customWidth="1"/>
    <col min="9480" max="9480" width="12.42578125" style="157" customWidth="1"/>
    <col min="9481" max="9481" width="11.7109375" style="157" customWidth="1"/>
    <col min="9482" max="9482" width="11" style="157" customWidth="1"/>
    <col min="9483" max="9483" width="12.28515625" style="157" customWidth="1"/>
    <col min="9484" max="9728" width="11.42578125" style="157"/>
    <col min="9729" max="9729" width="4.5703125" style="157" customWidth="1"/>
    <col min="9730" max="9730" width="22.140625" style="157" customWidth="1"/>
    <col min="9731" max="9731" width="15" style="157" customWidth="1"/>
    <col min="9732" max="9732" width="13.28515625" style="157" customWidth="1"/>
    <col min="9733" max="9733" width="12.7109375" style="157" customWidth="1"/>
    <col min="9734" max="9734" width="14" style="157" customWidth="1"/>
    <col min="9735" max="9735" width="11" style="157" customWidth="1"/>
    <col min="9736" max="9736" width="12.42578125" style="157" customWidth="1"/>
    <col min="9737" max="9737" width="11.7109375" style="157" customWidth="1"/>
    <col min="9738" max="9738" width="11" style="157" customWidth="1"/>
    <col min="9739" max="9739" width="12.28515625" style="157" customWidth="1"/>
    <col min="9740" max="9984" width="11.42578125" style="157"/>
    <col min="9985" max="9985" width="4.5703125" style="157" customWidth="1"/>
    <col min="9986" max="9986" width="22.140625" style="157" customWidth="1"/>
    <col min="9987" max="9987" width="15" style="157" customWidth="1"/>
    <col min="9988" max="9988" width="13.28515625" style="157" customWidth="1"/>
    <col min="9989" max="9989" width="12.7109375" style="157" customWidth="1"/>
    <col min="9990" max="9990" width="14" style="157" customWidth="1"/>
    <col min="9991" max="9991" width="11" style="157" customWidth="1"/>
    <col min="9992" max="9992" width="12.42578125" style="157" customWidth="1"/>
    <col min="9993" max="9993" width="11.7109375" style="157" customWidth="1"/>
    <col min="9994" max="9994" width="11" style="157" customWidth="1"/>
    <col min="9995" max="9995" width="12.28515625" style="157" customWidth="1"/>
    <col min="9996" max="10240" width="11.42578125" style="157"/>
    <col min="10241" max="10241" width="4.5703125" style="157" customWidth="1"/>
    <col min="10242" max="10242" width="22.140625" style="157" customWidth="1"/>
    <col min="10243" max="10243" width="15" style="157" customWidth="1"/>
    <col min="10244" max="10244" width="13.28515625" style="157" customWidth="1"/>
    <col min="10245" max="10245" width="12.7109375" style="157" customWidth="1"/>
    <col min="10246" max="10246" width="14" style="157" customWidth="1"/>
    <col min="10247" max="10247" width="11" style="157" customWidth="1"/>
    <col min="10248" max="10248" width="12.42578125" style="157" customWidth="1"/>
    <col min="10249" max="10249" width="11.7109375" style="157" customWidth="1"/>
    <col min="10250" max="10250" width="11" style="157" customWidth="1"/>
    <col min="10251" max="10251" width="12.28515625" style="157" customWidth="1"/>
    <col min="10252" max="10496" width="11.42578125" style="157"/>
    <col min="10497" max="10497" width="4.5703125" style="157" customWidth="1"/>
    <col min="10498" max="10498" width="22.140625" style="157" customWidth="1"/>
    <col min="10499" max="10499" width="15" style="157" customWidth="1"/>
    <col min="10500" max="10500" width="13.28515625" style="157" customWidth="1"/>
    <col min="10501" max="10501" width="12.7109375" style="157" customWidth="1"/>
    <col min="10502" max="10502" width="14" style="157" customWidth="1"/>
    <col min="10503" max="10503" width="11" style="157" customWidth="1"/>
    <col min="10504" max="10504" width="12.42578125" style="157" customWidth="1"/>
    <col min="10505" max="10505" width="11.7109375" style="157" customWidth="1"/>
    <col min="10506" max="10506" width="11" style="157" customWidth="1"/>
    <col min="10507" max="10507" width="12.28515625" style="157" customWidth="1"/>
    <col min="10508" max="10752" width="11.42578125" style="157"/>
    <col min="10753" max="10753" width="4.5703125" style="157" customWidth="1"/>
    <col min="10754" max="10754" width="22.140625" style="157" customWidth="1"/>
    <col min="10755" max="10755" width="15" style="157" customWidth="1"/>
    <col min="10756" max="10756" width="13.28515625" style="157" customWidth="1"/>
    <col min="10757" max="10757" width="12.7109375" style="157" customWidth="1"/>
    <col min="10758" max="10758" width="14" style="157" customWidth="1"/>
    <col min="10759" max="10759" width="11" style="157" customWidth="1"/>
    <col min="10760" max="10760" width="12.42578125" style="157" customWidth="1"/>
    <col min="10761" max="10761" width="11.7109375" style="157" customWidth="1"/>
    <col min="10762" max="10762" width="11" style="157" customWidth="1"/>
    <col min="10763" max="10763" width="12.28515625" style="157" customWidth="1"/>
    <col min="10764" max="11008" width="11.42578125" style="157"/>
    <col min="11009" max="11009" width="4.5703125" style="157" customWidth="1"/>
    <col min="11010" max="11010" width="22.140625" style="157" customWidth="1"/>
    <col min="11011" max="11011" width="15" style="157" customWidth="1"/>
    <col min="11012" max="11012" width="13.28515625" style="157" customWidth="1"/>
    <col min="11013" max="11013" width="12.7109375" style="157" customWidth="1"/>
    <col min="11014" max="11014" width="14" style="157" customWidth="1"/>
    <col min="11015" max="11015" width="11" style="157" customWidth="1"/>
    <col min="11016" max="11016" width="12.42578125" style="157" customWidth="1"/>
    <col min="11017" max="11017" width="11.7109375" style="157" customWidth="1"/>
    <col min="11018" max="11018" width="11" style="157" customWidth="1"/>
    <col min="11019" max="11019" width="12.28515625" style="157" customWidth="1"/>
    <col min="11020" max="11264" width="11.42578125" style="157"/>
    <col min="11265" max="11265" width="4.5703125" style="157" customWidth="1"/>
    <col min="11266" max="11266" width="22.140625" style="157" customWidth="1"/>
    <col min="11267" max="11267" width="15" style="157" customWidth="1"/>
    <col min="11268" max="11268" width="13.28515625" style="157" customWidth="1"/>
    <col min="11269" max="11269" width="12.7109375" style="157" customWidth="1"/>
    <col min="11270" max="11270" width="14" style="157" customWidth="1"/>
    <col min="11271" max="11271" width="11" style="157" customWidth="1"/>
    <col min="11272" max="11272" width="12.42578125" style="157" customWidth="1"/>
    <col min="11273" max="11273" width="11.7109375" style="157" customWidth="1"/>
    <col min="11274" max="11274" width="11" style="157" customWidth="1"/>
    <col min="11275" max="11275" width="12.28515625" style="157" customWidth="1"/>
    <col min="11276" max="11520" width="11.42578125" style="157"/>
    <col min="11521" max="11521" width="4.5703125" style="157" customWidth="1"/>
    <col min="11522" max="11522" width="22.140625" style="157" customWidth="1"/>
    <col min="11523" max="11523" width="15" style="157" customWidth="1"/>
    <col min="11524" max="11524" width="13.28515625" style="157" customWidth="1"/>
    <col min="11525" max="11525" width="12.7109375" style="157" customWidth="1"/>
    <col min="11526" max="11526" width="14" style="157" customWidth="1"/>
    <col min="11527" max="11527" width="11" style="157" customWidth="1"/>
    <col min="11528" max="11528" width="12.42578125" style="157" customWidth="1"/>
    <col min="11529" max="11529" width="11.7109375" style="157" customWidth="1"/>
    <col min="11530" max="11530" width="11" style="157" customWidth="1"/>
    <col min="11531" max="11531" width="12.28515625" style="157" customWidth="1"/>
    <col min="11532" max="11776" width="11.42578125" style="157"/>
    <col min="11777" max="11777" width="4.5703125" style="157" customWidth="1"/>
    <col min="11778" max="11778" width="22.140625" style="157" customWidth="1"/>
    <col min="11779" max="11779" width="15" style="157" customWidth="1"/>
    <col min="11780" max="11780" width="13.28515625" style="157" customWidth="1"/>
    <col min="11781" max="11781" width="12.7109375" style="157" customWidth="1"/>
    <col min="11782" max="11782" width="14" style="157" customWidth="1"/>
    <col min="11783" max="11783" width="11" style="157" customWidth="1"/>
    <col min="11784" max="11784" width="12.42578125" style="157" customWidth="1"/>
    <col min="11785" max="11785" width="11.7109375" style="157" customWidth="1"/>
    <col min="11786" max="11786" width="11" style="157" customWidth="1"/>
    <col min="11787" max="11787" width="12.28515625" style="157" customWidth="1"/>
    <col min="11788" max="12032" width="11.42578125" style="157"/>
    <col min="12033" max="12033" width="4.5703125" style="157" customWidth="1"/>
    <col min="12034" max="12034" width="22.140625" style="157" customWidth="1"/>
    <col min="12035" max="12035" width="15" style="157" customWidth="1"/>
    <col min="12036" max="12036" width="13.28515625" style="157" customWidth="1"/>
    <col min="12037" max="12037" width="12.7109375" style="157" customWidth="1"/>
    <col min="12038" max="12038" width="14" style="157" customWidth="1"/>
    <col min="12039" max="12039" width="11" style="157" customWidth="1"/>
    <col min="12040" max="12040" width="12.42578125" style="157" customWidth="1"/>
    <col min="12041" max="12041" width="11.7109375" style="157" customWidth="1"/>
    <col min="12042" max="12042" width="11" style="157" customWidth="1"/>
    <col min="12043" max="12043" width="12.28515625" style="157" customWidth="1"/>
    <col min="12044" max="12288" width="11.42578125" style="157"/>
    <col min="12289" max="12289" width="4.5703125" style="157" customWidth="1"/>
    <col min="12290" max="12290" width="22.140625" style="157" customWidth="1"/>
    <col min="12291" max="12291" width="15" style="157" customWidth="1"/>
    <col min="12292" max="12292" width="13.28515625" style="157" customWidth="1"/>
    <col min="12293" max="12293" width="12.7109375" style="157" customWidth="1"/>
    <col min="12294" max="12294" width="14" style="157" customWidth="1"/>
    <col min="12295" max="12295" width="11" style="157" customWidth="1"/>
    <col min="12296" max="12296" width="12.42578125" style="157" customWidth="1"/>
    <col min="12297" max="12297" width="11.7109375" style="157" customWidth="1"/>
    <col min="12298" max="12298" width="11" style="157" customWidth="1"/>
    <col min="12299" max="12299" width="12.28515625" style="157" customWidth="1"/>
    <col min="12300" max="12544" width="11.42578125" style="157"/>
    <col min="12545" max="12545" width="4.5703125" style="157" customWidth="1"/>
    <col min="12546" max="12546" width="22.140625" style="157" customWidth="1"/>
    <col min="12547" max="12547" width="15" style="157" customWidth="1"/>
    <col min="12548" max="12548" width="13.28515625" style="157" customWidth="1"/>
    <col min="12549" max="12549" width="12.7109375" style="157" customWidth="1"/>
    <col min="12550" max="12550" width="14" style="157" customWidth="1"/>
    <col min="12551" max="12551" width="11" style="157" customWidth="1"/>
    <col min="12552" max="12552" width="12.42578125" style="157" customWidth="1"/>
    <col min="12553" max="12553" width="11.7109375" style="157" customWidth="1"/>
    <col min="12554" max="12554" width="11" style="157" customWidth="1"/>
    <col min="12555" max="12555" width="12.28515625" style="157" customWidth="1"/>
    <col min="12556" max="12800" width="11.42578125" style="157"/>
    <col min="12801" max="12801" width="4.5703125" style="157" customWidth="1"/>
    <col min="12802" max="12802" width="22.140625" style="157" customWidth="1"/>
    <col min="12803" max="12803" width="15" style="157" customWidth="1"/>
    <col min="12804" max="12804" width="13.28515625" style="157" customWidth="1"/>
    <col min="12805" max="12805" width="12.7109375" style="157" customWidth="1"/>
    <col min="12806" max="12806" width="14" style="157" customWidth="1"/>
    <col min="12807" max="12807" width="11" style="157" customWidth="1"/>
    <col min="12808" max="12808" width="12.42578125" style="157" customWidth="1"/>
    <col min="12809" max="12809" width="11.7109375" style="157" customWidth="1"/>
    <col min="12810" max="12810" width="11" style="157" customWidth="1"/>
    <col min="12811" max="12811" width="12.28515625" style="157" customWidth="1"/>
    <col min="12812" max="13056" width="11.42578125" style="157"/>
    <col min="13057" max="13057" width="4.5703125" style="157" customWidth="1"/>
    <col min="13058" max="13058" width="22.140625" style="157" customWidth="1"/>
    <col min="13059" max="13059" width="15" style="157" customWidth="1"/>
    <col min="13060" max="13060" width="13.28515625" style="157" customWidth="1"/>
    <col min="13061" max="13061" width="12.7109375" style="157" customWidth="1"/>
    <col min="13062" max="13062" width="14" style="157" customWidth="1"/>
    <col min="13063" max="13063" width="11" style="157" customWidth="1"/>
    <col min="13064" max="13064" width="12.42578125" style="157" customWidth="1"/>
    <col min="13065" max="13065" width="11.7109375" style="157" customWidth="1"/>
    <col min="13066" max="13066" width="11" style="157" customWidth="1"/>
    <col min="13067" max="13067" width="12.28515625" style="157" customWidth="1"/>
    <col min="13068" max="13312" width="11.42578125" style="157"/>
    <col min="13313" max="13313" width="4.5703125" style="157" customWidth="1"/>
    <col min="13314" max="13314" width="22.140625" style="157" customWidth="1"/>
    <col min="13315" max="13315" width="15" style="157" customWidth="1"/>
    <col min="13316" max="13316" width="13.28515625" style="157" customWidth="1"/>
    <col min="13317" max="13317" width="12.7109375" style="157" customWidth="1"/>
    <col min="13318" max="13318" width="14" style="157" customWidth="1"/>
    <col min="13319" max="13319" width="11" style="157" customWidth="1"/>
    <col min="13320" max="13320" width="12.42578125" style="157" customWidth="1"/>
    <col min="13321" max="13321" width="11.7109375" style="157" customWidth="1"/>
    <col min="13322" max="13322" width="11" style="157" customWidth="1"/>
    <col min="13323" max="13323" width="12.28515625" style="157" customWidth="1"/>
    <col min="13324" max="13568" width="11.42578125" style="157"/>
    <col min="13569" max="13569" width="4.5703125" style="157" customWidth="1"/>
    <col min="13570" max="13570" width="22.140625" style="157" customWidth="1"/>
    <col min="13571" max="13571" width="15" style="157" customWidth="1"/>
    <col min="13572" max="13572" width="13.28515625" style="157" customWidth="1"/>
    <col min="13573" max="13573" width="12.7109375" style="157" customWidth="1"/>
    <col min="13574" max="13574" width="14" style="157" customWidth="1"/>
    <col min="13575" max="13575" width="11" style="157" customWidth="1"/>
    <col min="13576" max="13576" width="12.42578125" style="157" customWidth="1"/>
    <col min="13577" max="13577" width="11.7109375" style="157" customWidth="1"/>
    <col min="13578" max="13578" width="11" style="157" customWidth="1"/>
    <col min="13579" max="13579" width="12.28515625" style="157" customWidth="1"/>
    <col min="13580" max="13824" width="11.42578125" style="157"/>
    <col min="13825" max="13825" width="4.5703125" style="157" customWidth="1"/>
    <col min="13826" max="13826" width="22.140625" style="157" customWidth="1"/>
    <col min="13827" max="13827" width="15" style="157" customWidth="1"/>
    <col min="13828" max="13828" width="13.28515625" style="157" customWidth="1"/>
    <col min="13829" max="13829" width="12.7109375" style="157" customWidth="1"/>
    <col min="13830" max="13830" width="14" style="157" customWidth="1"/>
    <col min="13831" max="13831" width="11" style="157" customWidth="1"/>
    <col min="13832" max="13832" width="12.42578125" style="157" customWidth="1"/>
    <col min="13833" max="13833" width="11.7109375" style="157" customWidth="1"/>
    <col min="13834" max="13834" width="11" style="157" customWidth="1"/>
    <col min="13835" max="13835" width="12.28515625" style="157" customWidth="1"/>
    <col min="13836" max="14080" width="11.42578125" style="157"/>
    <col min="14081" max="14081" width="4.5703125" style="157" customWidth="1"/>
    <col min="14082" max="14082" width="22.140625" style="157" customWidth="1"/>
    <col min="14083" max="14083" width="15" style="157" customWidth="1"/>
    <col min="14084" max="14084" width="13.28515625" style="157" customWidth="1"/>
    <col min="14085" max="14085" width="12.7109375" style="157" customWidth="1"/>
    <col min="14086" max="14086" width="14" style="157" customWidth="1"/>
    <col min="14087" max="14087" width="11" style="157" customWidth="1"/>
    <col min="14088" max="14088" width="12.42578125" style="157" customWidth="1"/>
    <col min="14089" max="14089" width="11.7109375" style="157" customWidth="1"/>
    <col min="14090" max="14090" width="11" style="157" customWidth="1"/>
    <col min="14091" max="14091" width="12.28515625" style="157" customWidth="1"/>
    <col min="14092" max="14336" width="11.42578125" style="157"/>
    <col min="14337" max="14337" width="4.5703125" style="157" customWidth="1"/>
    <col min="14338" max="14338" width="22.140625" style="157" customWidth="1"/>
    <col min="14339" max="14339" width="15" style="157" customWidth="1"/>
    <col min="14340" max="14340" width="13.28515625" style="157" customWidth="1"/>
    <col min="14341" max="14341" width="12.7109375" style="157" customWidth="1"/>
    <col min="14342" max="14342" width="14" style="157" customWidth="1"/>
    <col min="14343" max="14343" width="11" style="157" customWidth="1"/>
    <col min="14344" max="14344" width="12.42578125" style="157" customWidth="1"/>
    <col min="14345" max="14345" width="11.7109375" style="157" customWidth="1"/>
    <col min="14346" max="14346" width="11" style="157" customWidth="1"/>
    <col min="14347" max="14347" width="12.28515625" style="157" customWidth="1"/>
    <col min="14348" max="14592" width="11.42578125" style="157"/>
    <col min="14593" max="14593" width="4.5703125" style="157" customWidth="1"/>
    <col min="14594" max="14594" width="22.140625" style="157" customWidth="1"/>
    <col min="14595" max="14595" width="15" style="157" customWidth="1"/>
    <col min="14596" max="14596" width="13.28515625" style="157" customWidth="1"/>
    <col min="14597" max="14597" width="12.7109375" style="157" customWidth="1"/>
    <col min="14598" max="14598" width="14" style="157" customWidth="1"/>
    <col min="14599" max="14599" width="11" style="157" customWidth="1"/>
    <col min="14600" max="14600" width="12.42578125" style="157" customWidth="1"/>
    <col min="14601" max="14601" width="11.7109375" style="157" customWidth="1"/>
    <col min="14602" max="14602" width="11" style="157" customWidth="1"/>
    <col min="14603" max="14603" width="12.28515625" style="157" customWidth="1"/>
    <col min="14604" max="14848" width="11.42578125" style="157"/>
    <col min="14849" max="14849" width="4.5703125" style="157" customWidth="1"/>
    <col min="14850" max="14850" width="22.140625" style="157" customWidth="1"/>
    <col min="14851" max="14851" width="15" style="157" customWidth="1"/>
    <col min="14852" max="14852" width="13.28515625" style="157" customWidth="1"/>
    <col min="14853" max="14853" width="12.7109375" style="157" customWidth="1"/>
    <col min="14854" max="14854" width="14" style="157" customWidth="1"/>
    <col min="14855" max="14855" width="11" style="157" customWidth="1"/>
    <col min="14856" max="14856" width="12.42578125" style="157" customWidth="1"/>
    <col min="14857" max="14857" width="11.7109375" style="157" customWidth="1"/>
    <col min="14858" max="14858" width="11" style="157" customWidth="1"/>
    <col min="14859" max="14859" width="12.28515625" style="157" customWidth="1"/>
    <col min="14860" max="15104" width="11.42578125" style="157"/>
    <col min="15105" max="15105" width="4.5703125" style="157" customWidth="1"/>
    <col min="15106" max="15106" width="22.140625" style="157" customWidth="1"/>
    <col min="15107" max="15107" width="15" style="157" customWidth="1"/>
    <col min="15108" max="15108" width="13.28515625" style="157" customWidth="1"/>
    <col min="15109" max="15109" width="12.7109375" style="157" customWidth="1"/>
    <col min="15110" max="15110" width="14" style="157" customWidth="1"/>
    <col min="15111" max="15111" width="11" style="157" customWidth="1"/>
    <col min="15112" max="15112" width="12.42578125" style="157" customWidth="1"/>
    <col min="15113" max="15113" width="11.7109375" style="157" customWidth="1"/>
    <col min="15114" max="15114" width="11" style="157" customWidth="1"/>
    <col min="15115" max="15115" width="12.28515625" style="157" customWidth="1"/>
    <col min="15116" max="15360" width="11.42578125" style="157"/>
    <col min="15361" max="15361" width="4.5703125" style="157" customWidth="1"/>
    <col min="15362" max="15362" width="22.140625" style="157" customWidth="1"/>
    <col min="15363" max="15363" width="15" style="157" customWidth="1"/>
    <col min="15364" max="15364" width="13.28515625" style="157" customWidth="1"/>
    <col min="15365" max="15365" width="12.7109375" style="157" customWidth="1"/>
    <col min="15366" max="15366" width="14" style="157" customWidth="1"/>
    <col min="15367" max="15367" width="11" style="157" customWidth="1"/>
    <col min="15368" max="15368" width="12.42578125" style="157" customWidth="1"/>
    <col min="15369" max="15369" width="11.7109375" style="157" customWidth="1"/>
    <col min="15370" max="15370" width="11" style="157" customWidth="1"/>
    <col min="15371" max="15371" width="12.28515625" style="157" customWidth="1"/>
    <col min="15372" max="15616" width="11.42578125" style="157"/>
    <col min="15617" max="15617" width="4.5703125" style="157" customWidth="1"/>
    <col min="15618" max="15618" width="22.140625" style="157" customWidth="1"/>
    <col min="15619" max="15619" width="15" style="157" customWidth="1"/>
    <col min="15620" max="15620" width="13.28515625" style="157" customWidth="1"/>
    <col min="15621" max="15621" width="12.7109375" style="157" customWidth="1"/>
    <col min="15622" max="15622" width="14" style="157" customWidth="1"/>
    <col min="15623" max="15623" width="11" style="157" customWidth="1"/>
    <col min="15624" max="15624" width="12.42578125" style="157" customWidth="1"/>
    <col min="15625" max="15625" width="11.7109375" style="157" customWidth="1"/>
    <col min="15626" max="15626" width="11" style="157" customWidth="1"/>
    <col min="15627" max="15627" width="12.28515625" style="157" customWidth="1"/>
    <col min="15628" max="15872" width="11.42578125" style="157"/>
    <col min="15873" max="15873" width="4.5703125" style="157" customWidth="1"/>
    <col min="15874" max="15874" width="22.140625" style="157" customWidth="1"/>
    <col min="15875" max="15875" width="15" style="157" customWidth="1"/>
    <col min="15876" max="15876" width="13.28515625" style="157" customWidth="1"/>
    <col min="15877" max="15877" width="12.7109375" style="157" customWidth="1"/>
    <col min="15878" max="15878" width="14" style="157" customWidth="1"/>
    <col min="15879" max="15879" width="11" style="157" customWidth="1"/>
    <col min="15880" max="15880" width="12.42578125" style="157" customWidth="1"/>
    <col min="15881" max="15881" width="11.7109375" style="157" customWidth="1"/>
    <col min="15882" max="15882" width="11" style="157" customWidth="1"/>
    <col min="15883" max="15883" width="12.28515625" style="157" customWidth="1"/>
    <col min="15884" max="16128" width="11.42578125" style="157"/>
    <col min="16129" max="16129" width="4.5703125" style="157" customWidth="1"/>
    <col min="16130" max="16130" width="22.140625" style="157" customWidth="1"/>
    <col min="16131" max="16131" width="15" style="157" customWidth="1"/>
    <col min="16132" max="16132" width="13.28515625" style="157" customWidth="1"/>
    <col min="16133" max="16133" width="12.7109375" style="157" customWidth="1"/>
    <col min="16134" max="16134" width="14" style="157" customWidth="1"/>
    <col min="16135" max="16135" width="11" style="157" customWidth="1"/>
    <col min="16136" max="16136" width="12.42578125" style="157" customWidth="1"/>
    <col min="16137" max="16137" width="11.7109375" style="157" customWidth="1"/>
    <col min="16138" max="16138" width="11" style="157" customWidth="1"/>
    <col min="16139" max="16139" width="12.28515625" style="157" customWidth="1"/>
    <col min="16140" max="16384" width="11.42578125" style="157"/>
  </cols>
  <sheetData>
    <row r="1" spans="1:28" ht="18" x14ac:dyDescent="0.25">
      <c r="A1" s="159" t="s">
        <v>281</v>
      </c>
    </row>
    <row r="3" spans="1:28" ht="15" x14ac:dyDescent="0.25">
      <c r="C3" s="160"/>
      <c r="D3" s="160"/>
      <c r="E3" s="160"/>
      <c r="F3" s="160"/>
      <c r="G3" s="160"/>
      <c r="H3" s="161"/>
      <c r="I3" s="161"/>
      <c r="J3" s="161"/>
      <c r="K3" s="161"/>
    </row>
    <row r="4" spans="1:28" ht="18" x14ac:dyDescent="0.25">
      <c r="B4" s="159" t="s">
        <v>282</v>
      </c>
      <c r="K4" s="162"/>
    </row>
    <row r="6" spans="1:28" s="856" customFormat="1" ht="16.5" customHeight="1" x14ac:dyDescent="0.2">
      <c r="B6" s="1400" t="s">
        <v>132</v>
      </c>
      <c r="C6" s="1402" t="s">
        <v>275</v>
      </c>
      <c r="D6" s="1403"/>
      <c r="E6" s="1403"/>
      <c r="F6" s="1402" t="s">
        <v>154</v>
      </c>
      <c r="G6" s="1403"/>
      <c r="H6" s="1403"/>
      <c r="I6" s="1404" t="s">
        <v>152</v>
      </c>
      <c r="J6" s="1403"/>
      <c r="K6" s="1405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</row>
    <row r="7" spans="1:28" s="856" customFormat="1" ht="16.5" customHeight="1" x14ac:dyDescent="0.2">
      <c r="B7" s="1401"/>
      <c r="C7" s="1017" t="s">
        <v>151</v>
      </c>
      <c r="D7" s="1018" t="s">
        <v>262</v>
      </c>
      <c r="E7" s="1019" t="s">
        <v>263</v>
      </c>
      <c r="F7" s="1020" t="s">
        <v>264</v>
      </c>
      <c r="G7" s="1018" t="s">
        <v>262</v>
      </c>
      <c r="H7" s="1019" t="s">
        <v>263</v>
      </c>
      <c r="I7" s="1021" t="s">
        <v>151</v>
      </c>
      <c r="J7" s="1018" t="s">
        <v>262</v>
      </c>
      <c r="K7" s="1022" t="s">
        <v>263</v>
      </c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</row>
    <row r="8" spans="1:28" x14ac:dyDescent="0.2">
      <c r="B8" s="1023"/>
      <c r="C8" s="1024"/>
      <c r="D8" s="1025"/>
      <c r="E8" s="1026"/>
      <c r="F8" s="1027"/>
      <c r="G8" s="1025"/>
      <c r="H8" s="1026"/>
      <c r="I8" s="1028"/>
      <c r="J8" s="1025"/>
      <c r="K8" s="1029"/>
      <c r="O8" s="157" t="s">
        <v>276</v>
      </c>
      <c r="P8" s="157" t="s">
        <v>277</v>
      </c>
    </row>
    <row r="9" spans="1:28" x14ac:dyDescent="0.2">
      <c r="B9" s="1221">
        <v>1995</v>
      </c>
      <c r="C9" s="1211">
        <f>SUM(D9:E9)</f>
        <v>826676.00168974232</v>
      </c>
      <c r="D9" s="302">
        <f t="shared" ref="D9:E14" si="0">(G9+J9)</f>
        <v>652594.70505039126</v>
      </c>
      <c r="E9" s="588">
        <f t="shared" si="0"/>
        <v>174081.29663935103</v>
      </c>
      <c r="F9" s="1757">
        <f t="shared" ref="F9:F24" si="1">SUM(G9:H9)</f>
        <v>776779.19139398972</v>
      </c>
      <c r="G9" s="302">
        <f>+[8]desagregados!H9</f>
        <v>652594.70505039126</v>
      </c>
      <c r="H9" s="588">
        <f>+[8]desagregados!C9</f>
        <v>124184.48634359846</v>
      </c>
      <c r="I9" s="300">
        <f t="shared" ref="I9:I27" si="2">SUM(J9:K9)</f>
        <v>49896.810295752563</v>
      </c>
      <c r="J9" s="302"/>
      <c r="K9" s="757">
        <f>+[8]desagregados!B43</f>
        <v>49896.810295752563</v>
      </c>
      <c r="L9" s="163"/>
      <c r="M9" s="201"/>
      <c r="N9" s="157">
        <v>1995</v>
      </c>
      <c r="O9" s="203">
        <f t="shared" ref="O9:P24" si="3">D9</f>
        <v>652594.70505039126</v>
      </c>
      <c r="P9" s="203">
        <f t="shared" si="3"/>
        <v>174081.29663935103</v>
      </c>
    </row>
    <row r="10" spans="1:28" x14ac:dyDescent="0.2">
      <c r="B10" s="1030">
        <v>1996</v>
      </c>
      <c r="C10" s="1031">
        <f>SUM(D10:E10)</f>
        <v>893370.39514081739</v>
      </c>
      <c r="D10" s="298">
        <f t="shared" si="0"/>
        <v>703942.0843935553</v>
      </c>
      <c r="E10" s="421">
        <f t="shared" si="0"/>
        <v>189428.31074726206</v>
      </c>
      <c r="F10" s="1032">
        <f t="shared" si="1"/>
        <v>822460.27859264216</v>
      </c>
      <c r="G10" s="298">
        <f>+[8]desagregados!H10</f>
        <v>703942.0843935553</v>
      </c>
      <c r="H10" s="421">
        <f>+[8]desagregados!C10</f>
        <v>118518.19419908689</v>
      </c>
      <c r="I10" s="296">
        <f t="shared" si="2"/>
        <v>70910.116548175167</v>
      </c>
      <c r="J10" s="298"/>
      <c r="K10" s="1033">
        <f>+[8]desagregados!B44</f>
        <v>70910.116548175167</v>
      </c>
      <c r="L10" s="163"/>
      <c r="M10" s="201"/>
      <c r="N10" s="157">
        <v>1996</v>
      </c>
      <c r="O10" s="203">
        <f t="shared" si="3"/>
        <v>703942.0843935553</v>
      </c>
      <c r="P10" s="203">
        <f t="shared" si="3"/>
        <v>189428.31074726206</v>
      </c>
    </row>
    <row r="11" spans="1:28" x14ac:dyDescent="0.2">
      <c r="B11" s="1221">
        <v>1997</v>
      </c>
      <c r="C11" s="1211">
        <f>SUM(D11:E11)</f>
        <v>1019537.5366169369</v>
      </c>
      <c r="D11" s="302">
        <f t="shared" si="0"/>
        <v>739882.06859937776</v>
      </c>
      <c r="E11" s="588">
        <f t="shared" si="0"/>
        <v>279655.46801755915</v>
      </c>
      <c r="F11" s="1757">
        <f t="shared" si="1"/>
        <v>859351.67959043023</v>
      </c>
      <c r="G11" s="302">
        <f>+[8]desagregados!H11</f>
        <v>739882.06859937776</v>
      </c>
      <c r="H11" s="588">
        <f>+[8]desagregados!C11</f>
        <v>119469.61099105242</v>
      </c>
      <c r="I11" s="300">
        <f t="shared" si="2"/>
        <v>160185.85702650671</v>
      </c>
      <c r="J11" s="302"/>
      <c r="K11" s="757">
        <f>+[8]desagregados!B45</f>
        <v>160185.85702650671</v>
      </c>
      <c r="L11" s="163"/>
      <c r="M11" s="201"/>
      <c r="N11" s="157">
        <v>1997</v>
      </c>
      <c r="O11" s="203">
        <f t="shared" si="3"/>
        <v>739882.06859937776</v>
      </c>
      <c r="P11" s="203">
        <f t="shared" si="3"/>
        <v>279655.46801755915</v>
      </c>
    </row>
    <row r="12" spans="1:28" x14ac:dyDescent="0.2">
      <c r="B12" s="1030">
        <v>1998</v>
      </c>
      <c r="C12" s="1031">
        <f t="shared" ref="C12:C24" si="4">SUM(D12:E12)</f>
        <v>988144.97054525139</v>
      </c>
      <c r="D12" s="298">
        <f t="shared" si="0"/>
        <v>678887.14895575435</v>
      </c>
      <c r="E12" s="421">
        <f t="shared" si="0"/>
        <v>309257.82158949709</v>
      </c>
      <c r="F12" s="1032">
        <f t="shared" si="1"/>
        <v>786060.99965563859</v>
      </c>
      <c r="G12" s="298">
        <f>+[8]desagregados!H12</f>
        <v>678887.14895575435</v>
      </c>
      <c r="H12" s="421">
        <f>+[8]desagregados!C12</f>
        <v>107173.85069988419</v>
      </c>
      <c r="I12" s="296">
        <f t="shared" si="2"/>
        <v>202083.97088961289</v>
      </c>
      <c r="J12" s="298"/>
      <c r="K12" s="1033">
        <f>+[8]desagregados!B46</f>
        <v>202083.97088961289</v>
      </c>
      <c r="L12" s="163"/>
      <c r="M12" s="201"/>
      <c r="N12" s="157">
        <v>1998</v>
      </c>
      <c r="O12" s="203">
        <f t="shared" si="3"/>
        <v>678887.14895575435</v>
      </c>
      <c r="P12" s="203">
        <f t="shared" si="3"/>
        <v>309257.82158949709</v>
      </c>
    </row>
    <row r="13" spans="1:28" x14ac:dyDescent="0.2">
      <c r="B13" s="1221">
        <v>1999</v>
      </c>
      <c r="C13" s="1211">
        <f t="shared" si="4"/>
        <v>991959.36826673022</v>
      </c>
      <c r="D13" s="302">
        <f t="shared" si="0"/>
        <v>670509.97864915198</v>
      </c>
      <c r="E13" s="588">
        <f t="shared" si="0"/>
        <v>321449.38961757824</v>
      </c>
      <c r="F13" s="1757">
        <f t="shared" si="1"/>
        <v>778389.13985393988</v>
      </c>
      <c r="G13" s="302">
        <f>+[8]desagregados!H13</f>
        <v>670509.97864915198</v>
      </c>
      <c r="H13" s="588">
        <f>+[8]desagregados!C13</f>
        <v>107879.16120478789</v>
      </c>
      <c r="I13" s="300">
        <f t="shared" si="2"/>
        <v>213570.22841279037</v>
      </c>
      <c r="J13" s="302"/>
      <c r="K13" s="757">
        <f>+[8]desagregados!B47</f>
        <v>213570.22841279037</v>
      </c>
      <c r="L13" s="163"/>
      <c r="M13" s="201"/>
      <c r="N13" s="157">
        <v>1999</v>
      </c>
      <c r="O13" s="203">
        <f t="shared" si="3"/>
        <v>670509.97864915198</v>
      </c>
      <c r="P13" s="203">
        <f t="shared" si="3"/>
        <v>321449.38961757824</v>
      </c>
    </row>
    <row r="14" spans="1:28" x14ac:dyDescent="0.2">
      <c r="B14" s="1030">
        <v>2000</v>
      </c>
      <c r="C14" s="1031">
        <f t="shared" si="4"/>
        <v>1113069.5002683792</v>
      </c>
      <c r="D14" s="298">
        <f t="shared" si="0"/>
        <v>740329.43935992219</v>
      </c>
      <c r="E14" s="421">
        <f t="shared" si="0"/>
        <v>372740.06090845715</v>
      </c>
      <c r="F14" s="1032">
        <f t="shared" si="1"/>
        <v>866072.13672822504</v>
      </c>
      <c r="G14" s="298">
        <f>+[8]desagregados!H14</f>
        <v>740329.43935992219</v>
      </c>
      <c r="H14" s="421">
        <f>+[8]desagregados!C14</f>
        <v>125742.6973683028</v>
      </c>
      <c r="I14" s="296">
        <f t="shared" si="2"/>
        <v>246997.36354015436</v>
      </c>
      <c r="J14" s="298"/>
      <c r="K14" s="1033">
        <f>+[8]desagregados!B48</f>
        <v>246997.36354015436</v>
      </c>
      <c r="L14" s="163"/>
      <c r="M14" s="201"/>
      <c r="N14" s="157">
        <v>2000</v>
      </c>
      <c r="O14" s="203">
        <f t="shared" si="3"/>
        <v>740329.43935992219</v>
      </c>
      <c r="P14" s="203">
        <f t="shared" si="3"/>
        <v>372740.06090845715</v>
      </c>
    </row>
    <row r="15" spans="1:28" x14ac:dyDescent="0.2">
      <c r="B15" s="1221">
        <v>2001</v>
      </c>
      <c r="C15" s="1211">
        <f>SUM(D15:E15)</f>
        <v>1139358.5138385482</v>
      </c>
      <c r="D15" s="302">
        <f>(G15+J15)</f>
        <v>761192.05792891572</v>
      </c>
      <c r="E15" s="588">
        <f>(H15+K15)</f>
        <v>378166.4559096325</v>
      </c>
      <c r="F15" s="1757">
        <f>SUM(G15:H15)</f>
        <v>862632.28368588316</v>
      </c>
      <c r="G15" s="302">
        <f>+[8]desagregados!H15</f>
        <v>761192.05792891572</v>
      </c>
      <c r="H15" s="588">
        <f>+[8]desagregados!C15</f>
        <v>101440.22575696744</v>
      </c>
      <c r="I15" s="300">
        <f t="shared" si="2"/>
        <v>276726.23015266506</v>
      </c>
      <c r="J15" s="301"/>
      <c r="K15" s="757">
        <f>+[8]desagregados!B49</f>
        <v>276726.23015266506</v>
      </c>
      <c r="L15" s="163"/>
      <c r="M15" s="201"/>
      <c r="N15" s="157">
        <v>2001</v>
      </c>
      <c r="O15" s="203">
        <f t="shared" si="3"/>
        <v>761192.05792891572</v>
      </c>
      <c r="P15" s="203">
        <f t="shared" si="3"/>
        <v>378166.4559096325</v>
      </c>
    </row>
    <row r="16" spans="1:28" x14ac:dyDescent="0.2">
      <c r="B16" s="1030">
        <v>2002</v>
      </c>
      <c r="C16" s="1031">
        <f t="shared" si="4"/>
        <v>1157067.1602677335</v>
      </c>
      <c r="D16" s="298">
        <f t="shared" ref="D16:E27" si="5">SUM(G16,J16)</f>
        <v>764543.09032842796</v>
      </c>
      <c r="E16" s="421">
        <f t="shared" si="5"/>
        <v>392524.06993930548</v>
      </c>
      <c r="F16" s="1032">
        <f t="shared" si="1"/>
        <v>862228.11757443007</v>
      </c>
      <c r="G16" s="298">
        <f>+[8]desagregados!H16</f>
        <v>764543.09032842796</v>
      </c>
      <c r="H16" s="421">
        <f>+[8]desagregados!C16</f>
        <v>97685.027246002166</v>
      </c>
      <c r="I16" s="296">
        <f t="shared" si="2"/>
        <v>294839.04269330332</v>
      </c>
      <c r="J16" s="297"/>
      <c r="K16" s="1033">
        <f>+[8]desagregados!B50</f>
        <v>294839.04269330332</v>
      </c>
      <c r="L16" s="163"/>
      <c r="N16" s="157">
        <v>2002</v>
      </c>
      <c r="O16" s="203">
        <f t="shared" si="3"/>
        <v>764543.09032842796</v>
      </c>
      <c r="P16" s="203">
        <f t="shared" si="3"/>
        <v>392524.06993930548</v>
      </c>
    </row>
    <row r="17" spans="2:16" x14ac:dyDescent="0.2">
      <c r="B17" s="1221">
        <v>2003</v>
      </c>
      <c r="C17" s="1211">
        <f>SUM(D17:E17)</f>
        <v>1217210.1436706816</v>
      </c>
      <c r="D17" s="302">
        <f t="shared" si="5"/>
        <v>811107.14639795315</v>
      </c>
      <c r="E17" s="588">
        <f t="shared" si="5"/>
        <v>406102.99727272848</v>
      </c>
      <c r="F17" s="1757">
        <f>SUM(G17:H17)</f>
        <v>901096.17241545301</v>
      </c>
      <c r="G17" s="302">
        <f>+[8]desagregados!H17</f>
        <v>811107.14639795315</v>
      </c>
      <c r="H17" s="588">
        <f>+[8]desagregados!C17</f>
        <v>89989.026017499913</v>
      </c>
      <c r="I17" s="300">
        <f>SUM(J17:K17)</f>
        <v>316113.97125522856</v>
      </c>
      <c r="J17" s="301"/>
      <c r="K17" s="757">
        <f>+[8]desagregados!B51</f>
        <v>316113.97125522856</v>
      </c>
      <c r="L17" s="163"/>
      <c r="N17" s="157">
        <v>2003</v>
      </c>
      <c r="O17" s="203">
        <f t="shared" si="3"/>
        <v>811107.14639795315</v>
      </c>
      <c r="P17" s="203">
        <f t="shared" si="3"/>
        <v>406102.99727272848</v>
      </c>
    </row>
    <row r="18" spans="2:16" x14ac:dyDescent="0.2">
      <c r="B18" s="1030">
        <v>2004</v>
      </c>
      <c r="C18" s="1031">
        <f t="shared" si="4"/>
        <v>1382300.0118101076</v>
      </c>
      <c r="D18" s="298">
        <f t="shared" si="5"/>
        <v>897997.70685053943</v>
      </c>
      <c r="E18" s="421">
        <f t="shared" si="5"/>
        <v>484302.30495956831</v>
      </c>
      <c r="F18" s="1032">
        <f t="shared" si="1"/>
        <v>986870.11767828721</v>
      </c>
      <c r="G18" s="298">
        <f>+[8]desagregados!H18</f>
        <v>897997.70685053943</v>
      </c>
      <c r="H18" s="421">
        <f>+[8]desagregados!C18</f>
        <v>88872.410827747721</v>
      </c>
      <c r="I18" s="296">
        <f t="shared" si="2"/>
        <v>395429.89413182059</v>
      </c>
      <c r="J18" s="297"/>
      <c r="K18" s="1033">
        <f>+[8]desagregados!B52</f>
        <v>395429.89413182059</v>
      </c>
      <c r="L18" s="163"/>
      <c r="N18" s="157">
        <v>2004</v>
      </c>
      <c r="O18" s="203">
        <f t="shared" si="3"/>
        <v>897997.70685053943</v>
      </c>
      <c r="P18" s="203">
        <f t="shared" si="3"/>
        <v>484302.30495956831</v>
      </c>
    </row>
    <row r="19" spans="2:16" x14ac:dyDescent="0.2">
      <c r="B19" s="1221">
        <v>2005</v>
      </c>
      <c r="C19" s="1211">
        <f t="shared" si="4"/>
        <v>1579209.27109638</v>
      </c>
      <c r="D19" s="302">
        <f t="shared" si="5"/>
        <v>1048137.0214944701</v>
      </c>
      <c r="E19" s="588">
        <f t="shared" si="5"/>
        <v>531072.24960191001</v>
      </c>
      <c r="F19" s="1757">
        <f t="shared" si="1"/>
        <v>1147775.8928376874</v>
      </c>
      <c r="G19" s="302">
        <f>+[8]desagregados!H19</f>
        <v>1048137.0214944701</v>
      </c>
      <c r="H19" s="588">
        <f>+[8]desagregados!C19</f>
        <v>99638.871343217426</v>
      </c>
      <c r="I19" s="300">
        <f t="shared" si="2"/>
        <v>431433.37825869262</v>
      </c>
      <c r="J19" s="301"/>
      <c r="K19" s="757">
        <f>+[8]desagregados!B53</f>
        <v>431433.37825869262</v>
      </c>
      <c r="L19" s="163"/>
      <c r="N19" s="157">
        <v>2005</v>
      </c>
      <c r="O19" s="203">
        <f>D19</f>
        <v>1048137.0214944701</v>
      </c>
      <c r="P19" s="203">
        <f t="shared" si="3"/>
        <v>531072.24960191001</v>
      </c>
    </row>
    <row r="20" spans="2:16" x14ac:dyDescent="0.2">
      <c r="B20" s="1030">
        <v>2006</v>
      </c>
      <c r="C20" s="1031">
        <f t="shared" si="4"/>
        <v>1683168.9043059072</v>
      </c>
      <c r="D20" s="298">
        <f t="shared" si="5"/>
        <v>1120521.0639498956</v>
      </c>
      <c r="E20" s="421">
        <f t="shared" si="5"/>
        <v>562647.84035601164</v>
      </c>
      <c r="F20" s="1032">
        <f t="shared" si="1"/>
        <v>1222413.6377595204</v>
      </c>
      <c r="G20" s="298">
        <f>+[8]desagregados!H20</f>
        <v>1120521.0639498956</v>
      </c>
      <c r="H20" s="421">
        <f>+[8]desagregados!C20</f>
        <v>101892.57380962497</v>
      </c>
      <c r="I20" s="296">
        <f t="shared" si="2"/>
        <v>460755.2665463867</v>
      </c>
      <c r="J20" s="297"/>
      <c r="K20" s="1033">
        <f>+[8]desagregados!B54</f>
        <v>460755.2665463867</v>
      </c>
      <c r="L20" s="163"/>
      <c r="N20" s="157">
        <v>2006</v>
      </c>
      <c r="O20" s="203">
        <f t="shared" si="3"/>
        <v>1120521.0639498956</v>
      </c>
      <c r="P20" s="203">
        <f t="shared" si="3"/>
        <v>562647.84035601164</v>
      </c>
    </row>
    <row r="21" spans="2:16" x14ac:dyDescent="0.2">
      <c r="B21" s="1221">
        <v>2007</v>
      </c>
      <c r="C21" s="1211">
        <f t="shared" si="4"/>
        <v>1830631.6634342424</v>
      </c>
      <c r="D21" s="302">
        <f t="shared" si="5"/>
        <v>1213689.4778540342</v>
      </c>
      <c r="E21" s="588">
        <f t="shared" si="5"/>
        <v>616942.18558020808</v>
      </c>
      <c r="F21" s="1757">
        <f t="shared" si="1"/>
        <v>1305447.8754961956</v>
      </c>
      <c r="G21" s="302">
        <f>+[8]desagregados!H21</f>
        <v>1213689.4778540342</v>
      </c>
      <c r="H21" s="588">
        <f>+[8]desagregados!C21</f>
        <v>91758.397642161377</v>
      </c>
      <c r="I21" s="300">
        <f t="shared" si="2"/>
        <v>525183.78793804673</v>
      </c>
      <c r="J21" s="301"/>
      <c r="K21" s="757">
        <f>+[8]desagregados!B55</f>
        <v>525183.78793804673</v>
      </c>
      <c r="L21" s="163"/>
      <c r="N21" s="216">
        <v>2007</v>
      </c>
      <c r="O21" s="203">
        <f t="shared" si="3"/>
        <v>1213689.4778540342</v>
      </c>
      <c r="P21" s="203">
        <f t="shared" si="3"/>
        <v>616942.18558020808</v>
      </c>
    </row>
    <row r="22" spans="2:16" x14ac:dyDescent="0.2">
      <c r="B22" s="1030">
        <v>2008</v>
      </c>
      <c r="C22" s="1031">
        <f t="shared" si="4"/>
        <v>2216099.9731833665</v>
      </c>
      <c r="D22" s="298">
        <f t="shared" si="5"/>
        <v>1393393.8557439279</v>
      </c>
      <c r="E22" s="421">
        <f t="shared" si="5"/>
        <v>822706.11743943871</v>
      </c>
      <c r="F22" s="1032">
        <f t="shared" si="1"/>
        <v>1501002.7378177985</v>
      </c>
      <c r="G22" s="298">
        <f>+[8]desagregados!H22</f>
        <v>1393393.8557439279</v>
      </c>
      <c r="H22" s="421">
        <f>+[8]desagregados!C22</f>
        <v>107608.88207387061</v>
      </c>
      <c r="I22" s="296">
        <f t="shared" si="2"/>
        <v>715097.23536556808</v>
      </c>
      <c r="J22" s="297"/>
      <c r="K22" s="1033">
        <f>+[8]desagregados!B56</f>
        <v>715097.23536556808</v>
      </c>
      <c r="L22" s="163"/>
      <c r="N22" s="216">
        <v>2008</v>
      </c>
      <c r="O22" s="203">
        <f t="shared" si="3"/>
        <v>1393393.8557439279</v>
      </c>
      <c r="P22" s="203">
        <f t="shared" si="3"/>
        <v>822706.11743943871</v>
      </c>
    </row>
    <row r="23" spans="2:16" x14ac:dyDescent="0.2">
      <c r="B23" s="1221">
        <v>2009</v>
      </c>
      <c r="C23" s="1211">
        <f t="shared" si="4"/>
        <v>2236058.1538174003</v>
      </c>
      <c r="D23" s="302">
        <f t="shared" si="5"/>
        <v>1556915.7010486</v>
      </c>
      <c r="E23" s="588">
        <f t="shared" si="5"/>
        <v>679142.45276880008</v>
      </c>
      <c r="F23" s="1757">
        <f t="shared" si="1"/>
        <v>1675664.7528214001</v>
      </c>
      <c r="G23" s="302">
        <f>+[8]desagregados!H23</f>
        <v>1556915.7010486</v>
      </c>
      <c r="H23" s="588">
        <f>+[8]desagregados!C23</f>
        <v>118749.05177280001</v>
      </c>
      <c r="I23" s="300">
        <f t="shared" si="2"/>
        <v>560393.40099600004</v>
      </c>
      <c r="J23" s="301"/>
      <c r="K23" s="757">
        <f>+[8]desagregados!B57</f>
        <v>560393.40099600004</v>
      </c>
      <c r="L23" s="163"/>
      <c r="N23" s="216">
        <v>2009</v>
      </c>
      <c r="O23" s="203">
        <f t="shared" si="3"/>
        <v>1556915.7010486</v>
      </c>
      <c r="P23" s="203">
        <f t="shared" si="3"/>
        <v>679142.45276880008</v>
      </c>
    </row>
    <row r="24" spans="2:16" x14ac:dyDescent="0.2">
      <c r="B24" s="1030">
        <v>2010</v>
      </c>
      <c r="C24" s="1031">
        <f t="shared" si="4"/>
        <v>2448535.0282029589</v>
      </c>
      <c r="D24" s="298">
        <f t="shared" si="5"/>
        <v>1718589.3030064055</v>
      </c>
      <c r="E24" s="421">
        <f t="shared" si="5"/>
        <v>729945.72519655328</v>
      </c>
      <c r="F24" s="1032">
        <f t="shared" si="1"/>
        <v>1841104.1163105767</v>
      </c>
      <c r="G24" s="298">
        <f>+[8]desagregados!H24</f>
        <v>1718589.3030064055</v>
      </c>
      <c r="H24" s="421">
        <f>+[8]desagregados!C24</f>
        <v>122514.81330417127</v>
      </c>
      <c r="I24" s="296">
        <f t="shared" si="2"/>
        <v>607430.91189238196</v>
      </c>
      <c r="J24" s="297"/>
      <c r="K24" s="1033">
        <f>+[8]desagregados!B58</f>
        <v>607430.91189238196</v>
      </c>
      <c r="L24" s="163"/>
      <c r="N24" s="216">
        <v>2010</v>
      </c>
      <c r="O24" s="203">
        <f t="shared" si="3"/>
        <v>1718589.3030064055</v>
      </c>
      <c r="P24" s="203">
        <f t="shared" si="3"/>
        <v>729945.72519655328</v>
      </c>
    </row>
    <row r="25" spans="2:16" x14ac:dyDescent="0.2">
      <c r="B25" s="1221">
        <v>2011</v>
      </c>
      <c r="C25" s="1211">
        <f>SUM(D25:E25)</f>
        <v>2860391.5553587964</v>
      </c>
      <c r="D25" s="302">
        <f t="shared" si="5"/>
        <v>1984402.415805182</v>
      </c>
      <c r="E25" s="588">
        <f t="shared" si="5"/>
        <v>875989.13955361466</v>
      </c>
      <c r="F25" s="1757">
        <f>SUM(G25:H25)</f>
        <v>2130475.7425380684</v>
      </c>
      <c r="G25" s="302">
        <f>+[8]desagregados!H25</f>
        <v>1984402.415805182</v>
      </c>
      <c r="H25" s="588">
        <f>+[8]desagregados!C25</f>
        <v>146073.32673288663</v>
      </c>
      <c r="I25" s="300">
        <f t="shared" si="2"/>
        <v>729915.81282072805</v>
      </c>
      <c r="J25" s="301"/>
      <c r="K25" s="757">
        <f>+[8]desagregados!B59</f>
        <v>729915.81282072805</v>
      </c>
      <c r="L25" s="163"/>
      <c r="N25" s="216">
        <v>2011</v>
      </c>
      <c r="O25" s="203">
        <f t="shared" ref="O25:P27" si="6">D25</f>
        <v>1984402.415805182</v>
      </c>
      <c r="P25" s="203">
        <f t="shared" si="6"/>
        <v>875989.13955361466</v>
      </c>
    </row>
    <row r="26" spans="2:16" x14ac:dyDescent="0.2">
      <c r="B26" s="1030">
        <v>2012</v>
      </c>
      <c r="C26" s="1031">
        <f>SUM(D26:E26)</f>
        <v>3299125.4993270137</v>
      </c>
      <c r="D26" s="298">
        <f t="shared" si="5"/>
        <v>2313676.253838758</v>
      </c>
      <c r="E26" s="421">
        <f t="shared" si="5"/>
        <v>985449.24548825587</v>
      </c>
      <c r="F26" s="1032">
        <f>SUM(G26:H26)</f>
        <v>2474533.5608113483</v>
      </c>
      <c r="G26" s="298">
        <f>+[8]desagregados!H26</f>
        <v>2313676.253838758</v>
      </c>
      <c r="H26" s="421">
        <f>+[8]desagregados!C26</f>
        <v>160857.30697259019</v>
      </c>
      <c r="I26" s="296">
        <f>SUM(J26:K26)</f>
        <v>824591.93851566571</v>
      </c>
      <c r="J26" s="297"/>
      <c r="K26" s="1033">
        <f>+[8]desagregados!B60</f>
        <v>824591.93851566571</v>
      </c>
      <c r="L26" s="163"/>
      <c r="N26" s="216">
        <v>2012</v>
      </c>
      <c r="O26" s="203">
        <f t="shared" si="6"/>
        <v>2313676.253838758</v>
      </c>
      <c r="P26" s="203">
        <f t="shared" si="6"/>
        <v>985449.24548825587</v>
      </c>
    </row>
    <row r="27" spans="2:16" x14ac:dyDescent="0.2">
      <c r="B27" s="1685">
        <v>2013</v>
      </c>
      <c r="C27" s="1211">
        <f>SUM(D27:E27)</f>
        <v>3536226.3294514855</v>
      </c>
      <c r="D27" s="302">
        <f t="shared" si="5"/>
        <v>2432390.4404826723</v>
      </c>
      <c r="E27" s="588">
        <f t="shared" si="5"/>
        <v>1103835.8889688132</v>
      </c>
      <c r="F27" s="1757">
        <f>SUM(G27:H27)</f>
        <v>2617666.0377429985</v>
      </c>
      <c r="G27" s="302">
        <f>+[8]desagregados!H27</f>
        <v>2432390.4404826723</v>
      </c>
      <c r="H27" s="588">
        <v>185275.59726032626</v>
      </c>
      <c r="I27" s="300">
        <f t="shared" si="2"/>
        <v>918560.29170848709</v>
      </c>
      <c r="J27" s="301"/>
      <c r="K27" s="757">
        <f>+[8]desagregados!B61</f>
        <v>918560.29170848709</v>
      </c>
      <c r="L27" s="163"/>
      <c r="N27" s="216">
        <v>2013</v>
      </c>
      <c r="O27" s="203">
        <f t="shared" si="6"/>
        <v>2432390.4404826723</v>
      </c>
      <c r="P27" s="203">
        <f t="shared" si="6"/>
        <v>1103835.8889688132</v>
      </c>
    </row>
    <row r="28" spans="2:16" x14ac:dyDescent="0.2">
      <c r="B28" s="791">
        <v>2014</v>
      </c>
      <c r="C28" s="1031">
        <f>SUM(D28:E28)</f>
        <v>4025346.115473662</v>
      </c>
      <c r="D28" s="298">
        <f>SUM(G28,J28)</f>
        <v>2788652.8472374799</v>
      </c>
      <c r="E28" s="421">
        <f>SUM(H28,K28)</f>
        <v>1236693.2682361822</v>
      </c>
      <c r="F28" s="1032">
        <f>SUM(G28:H28)</f>
        <v>2974214.4336703988</v>
      </c>
      <c r="G28" s="298">
        <f>+[8]desagregados!H28</f>
        <v>2788652.8472374799</v>
      </c>
      <c r="H28" s="421">
        <f>+[8]desagregados!C28</f>
        <v>185561.5864329187</v>
      </c>
      <c r="I28" s="296">
        <f>SUM(J28:K28)</f>
        <v>1051131.6818032635</v>
      </c>
      <c r="J28" s="297"/>
      <c r="K28" s="1033">
        <f>+[8]desagregados!B62</f>
        <v>1051131.6818032635</v>
      </c>
      <c r="L28" s="163"/>
      <c r="N28" s="216">
        <v>2014</v>
      </c>
      <c r="O28" s="203">
        <f>D28</f>
        <v>2788652.8472374799</v>
      </c>
      <c r="P28" s="203">
        <f>E28</f>
        <v>1236693.2682361822</v>
      </c>
    </row>
    <row r="29" spans="2:16" x14ac:dyDescent="0.2">
      <c r="B29" s="1685" t="s">
        <v>136</v>
      </c>
      <c r="C29" s="1211">
        <f>SUM(D29:E29)</f>
        <v>4266063.0255301893</v>
      </c>
      <c r="D29" s="302">
        <f>SUM(G29,J29)</f>
        <v>2946488.7014594637</v>
      </c>
      <c r="E29" s="588">
        <f>SUM(H29,K29)</f>
        <v>1319574.3240707251</v>
      </c>
      <c r="F29" s="1757">
        <f>SUM(G29:H29)</f>
        <v>3137958.6764348825</v>
      </c>
      <c r="G29" s="302">
        <f>+[8]desagregados!H29</f>
        <v>2946488.7014594637</v>
      </c>
      <c r="H29" s="588">
        <f>+[8]desagregados!C29</f>
        <v>191469.97497541874</v>
      </c>
      <c r="I29" s="300">
        <f>SUM(J29:K29)</f>
        <v>1128104.3490953064</v>
      </c>
      <c r="J29" s="301"/>
      <c r="K29" s="757">
        <f>+[8]desagregados!B63</f>
        <v>1128104.3490953064</v>
      </c>
      <c r="L29" s="163"/>
      <c r="N29" s="259" t="s">
        <v>136</v>
      </c>
      <c r="O29" s="203">
        <f>D29</f>
        <v>2946488.7014594637</v>
      </c>
      <c r="P29" s="203">
        <f>E29</f>
        <v>1319574.3240707251</v>
      </c>
    </row>
    <row r="30" spans="2:16" ht="14.25" customHeight="1" thickBot="1" x14ac:dyDescent="0.25">
      <c r="B30" s="791"/>
      <c r="C30" s="1034"/>
      <c r="D30" s="290"/>
      <c r="E30" s="286"/>
      <c r="F30" s="469"/>
      <c r="G30" s="290"/>
      <c r="H30" s="286"/>
      <c r="I30" s="284"/>
      <c r="J30" s="292"/>
      <c r="K30" s="494"/>
    </row>
    <row r="31" spans="2:16" ht="18.75" customHeight="1" x14ac:dyDescent="0.2">
      <c r="B31" s="604" t="s">
        <v>137</v>
      </c>
      <c r="C31" s="1758">
        <f>(C29/C28)-1</f>
        <v>5.9800301179368853E-2</v>
      </c>
      <c r="D31" s="1759">
        <f t="shared" ref="D31:I31" si="7">(D29/D28)-1</f>
        <v>5.6599319767729694E-2</v>
      </c>
      <c r="E31" s="1760">
        <f t="shared" si="7"/>
        <v>6.7018280088765314E-2</v>
      </c>
      <c r="F31" s="1758">
        <f t="shared" si="7"/>
        <v>5.5054619099003999E-2</v>
      </c>
      <c r="G31" s="1759">
        <f t="shared" si="7"/>
        <v>5.6599319767729694E-2</v>
      </c>
      <c r="H31" s="1759">
        <f t="shared" si="7"/>
        <v>3.1840580025629173E-2</v>
      </c>
      <c r="I31" s="1761">
        <f t="shared" si="7"/>
        <v>7.3228377209592521E-2</v>
      </c>
      <c r="J31" s="1759"/>
      <c r="K31" s="1760">
        <f>(K29/K28)-1</f>
        <v>7.3228377209592521E-2</v>
      </c>
    </row>
    <row r="32" spans="2:16" ht="18.75" customHeight="1" x14ac:dyDescent="0.2">
      <c r="B32" s="1035" t="s">
        <v>138</v>
      </c>
      <c r="C32" s="1036">
        <f>((C29/C24)^(1/5))-1</f>
        <v>0.11743993784123163</v>
      </c>
      <c r="D32" s="1037">
        <f t="shared" ref="D32:I32" si="8">((D29/D24)^(1/5))-1</f>
        <v>0.11384955366980898</v>
      </c>
      <c r="E32" s="1038">
        <f t="shared" si="8"/>
        <v>0.12571552971986177</v>
      </c>
      <c r="F32" s="1036">
        <f t="shared" si="8"/>
        <v>0.11253523461372206</v>
      </c>
      <c r="G32" s="1037">
        <f t="shared" si="8"/>
        <v>0.11384955366980898</v>
      </c>
      <c r="H32" s="1037">
        <f t="shared" si="8"/>
        <v>9.3408424173906601E-2</v>
      </c>
      <c r="I32" s="1039">
        <f t="shared" si="8"/>
        <v>0.1318020516708871</v>
      </c>
      <c r="J32" s="1037"/>
      <c r="K32" s="1038">
        <f>((K29/K24)^(1/5))-1</f>
        <v>0.1318020516708871</v>
      </c>
    </row>
    <row r="33" spans="2:16" ht="18.75" customHeight="1" x14ac:dyDescent="0.2">
      <c r="B33" s="1239" t="s">
        <v>144</v>
      </c>
      <c r="C33" s="1762">
        <f>(C29/C19)-1</f>
        <v>1.7013918317288228</v>
      </c>
      <c r="D33" s="1763">
        <f t="shared" ref="D33:I33" si="9">(D29/D19)-1</f>
        <v>1.8111674724152556</v>
      </c>
      <c r="E33" s="1764">
        <f t="shared" si="9"/>
        <v>1.4847359753025575</v>
      </c>
      <c r="F33" s="1762">
        <f t="shared" si="9"/>
        <v>1.7339471895308716</v>
      </c>
      <c r="G33" s="1763">
        <f t="shared" si="9"/>
        <v>1.8111674724152556</v>
      </c>
      <c r="H33" s="1763">
        <f t="shared" si="9"/>
        <v>0.92163934009126436</v>
      </c>
      <c r="I33" s="1765">
        <f t="shared" si="9"/>
        <v>1.6147822721747818</v>
      </c>
      <c r="J33" s="1763"/>
      <c r="K33" s="1764">
        <f>(K29/K19)-1</f>
        <v>1.6147822721747818</v>
      </c>
    </row>
    <row r="34" spans="2:16" ht="16.5" customHeight="1" thickBot="1" x14ac:dyDescent="0.25">
      <c r="B34" s="625" t="s">
        <v>140</v>
      </c>
      <c r="C34" s="1040">
        <f>((C29/C19)^(1/10))-1</f>
        <v>0.10448229441510648</v>
      </c>
      <c r="D34" s="1041">
        <f t="shared" ref="D34:I34" si="10">((D29/D19)^(1/10))-1</f>
        <v>0.10889052314841718</v>
      </c>
      <c r="E34" s="1042">
        <f t="shared" si="10"/>
        <v>9.5287231402751971E-2</v>
      </c>
      <c r="F34" s="1040">
        <f t="shared" si="10"/>
        <v>0.1058061784211084</v>
      </c>
      <c r="G34" s="1041">
        <f t="shared" si="10"/>
        <v>0.10889052314841718</v>
      </c>
      <c r="H34" s="1041">
        <f t="shared" si="10"/>
        <v>6.7498290239779379E-2</v>
      </c>
      <c r="I34" s="1043">
        <f t="shared" si="10"/>
        <v>0.10088905292386863</v>
      </c>
      <c r="J34" s="1041"/>
      <c r="K34" s="1042">
        <f>((K29/K19)^(1/10))-1</f>
        <v>0.10088905292386863</v>
      </c>
    </row>
    <row r="35" spans="2:16" x14ac:dyDescent="0.2">
      <c r="B35" s="319" t="s">
        <v>141</v>
      </c>
      <c r="C35" s="1044"/>
    </row>
    <row r="36" spans="2:16" x14ac:dyDescent="0.2">
      <c r="B36" s="349"/>
      <c r="G36" s="202"/>
      <c r="I36" s="421"/>
      <c r="O36" s="157" t="s">
        <v>154</v>
      </c>
      <c r="P36" s="157" t="s">
        <v>152</v>
      </c>
    </row>
    <row r="37" spans="2:16" x14ac:dyDescent="0.2">
      <c r="G37" s="202"/>
      <c r="I37" s="421"/>
      <c r="O37" s="203"/>
      <c r="P37" s="203"/>
    </row>
    <row r="38" spans="2:16" x14ac:dyDescent="0.2">
      <c r="O38" s="203"/>
      <c r="P38" s="203"/>
    </row>
    <row r="39" spans="2:16" x14ac:dyDescent="0.2">
      <c r="N39" s="157">
        <v>1995</v>
      </c>
      <c r="O39" s="203">
        <f t="shared" ref="O39:O57" si="11">F9</f>
        <v>776779.19139398972</v>
      </c>
      <c r="P39" s="203">
        <f t="shared" ref="P39:P57" si="12">I9</f>
        <v>49896.810295752563</v>
      </c>
    </row>
    <row r="40" spans="2:16" x14ac:dyDescent="0.2">
      <c r="N40" s="157">
        <v>1996</v>
      </c>
      <c r="O40" s="203">
        <f t="shared" si="11"/>
        <v>822460.27859264216</v>
      </c>
      <c r="P40" s="203">
        <f t="shared" si="12"/>
        <v>70910.116548175167</v>
      </c>
    </row>
    <row r="41" spans="2:16" x14ac:dyDescent="0.2">
      <c r="N41" s="157">
        <v>1997</v>
      </c>
      <c r="O41" s="203">
        <f t="shared" si="11"/>
        <v>859351.67959043023</v>
      </c>
      <c r="P41" s="203">
        <f t="shared" si="12"/>
        <v>160185.85702650671</v>
      </c>
    </row>
    <row r="42" spans="2:16" x14ac:dyDescent="0.2">
      <c r="N42" s="157">
        <v>1998</v>
      </c>
      <c r="O42" s="203">
        <f t="shared" si="11"/>
        <v>786060.99965563859</v>
      </c>
      <c r="P42" s="203">
        <f t="shared" si="12"/>
        <v>202083.97088961289</v>
      </c>
    </row>
    <row r="43" spans="2:16" x14ac:dyDescent="0.2">
      <c r="N43" s="157">
        <v>1999</v>
      </c>
      <c r="O43" s="203">
        <f t="shared" si="11"/>
        <v>778389.13985393988</v>
      </c>
      <c r="P43" s="203">
        <f t="shared" si="12"/>
        <v>213570.22841279037</v>
      </c>
    </row>
    <row r="44" spans="2:16" x14ac:dyDescent="0.2">
      <c r="N44" s="157">
        <v>2000</v>
      </c>
      <c r="O44" s="203">
        <f t="shared" si="11"/>
        <v>866072.13672822504</v>
      </c>
      <c r="P44" s="203">
        <f t="shared" si="12"/>
        <v>246997.36354015436</v>
      </c>
    </row>
    <row r="45" spans="2:16" x14ac:dyDescent="0.2">
      <c r="N45" s="157">
        <v>2001</v>
      </c>
      <c r="O45" s="203">
        <f t="shared" si="11"/>
        <v>862632.28368588316</v>
      </c>
      <c r="P45" s="203">
        <f t="shared" si="12"/>
        <v>276726.23015266506</v>
      </c>
    </row>
    <row r="46" spans="2:16" x14ac:dyDescent="0.2">
      <c r="N46" s="157">
        <v>2002</v>
      </c>
      <c r="O46" s="203">
        <f t="shared" si="11"/>
        <v>862228.11757443007</v>
      </c>
      <c r="P46" s="203">
        <f t="shared" si="12"/>
        <v>294839.04269330332</v>
      </c>
    </row>
    <row r="47" spans="2:16" x14ac:dyDescent="0.2">
      <c r="N47" s="157">
        <v>2003</v>
      </c>
      <c r="O47" s="203">
        <f t="shared" si="11"/>
        <v>901096.17241545301</v>
      </c>
      <c r="P47" s="203">
        <f t="shared" si="12"/>
        <v>316113.97125522856</v>
      </c>
    </row>
    <row r="48" spans="2:16" x14ac:dyDescent="0.2">
      <c r="N48" s="157">
        <v>2004</v>
      </c>
      <c r="O48" s="203">
        <f t="shared" si="11"/>
        <v>986870.11767828721</v>
      </c>
      <c r="P48" s="203">
        <f t="shared" si="12"/>
        <v>395429.89413182059</v>
      </c>
    </row>
    <row r="49" spans="2:16" x14ac:dyDescent="0.2">
      <c r="N49" s="157">
        <v>2005</v>
      </c>
      <c r="O49" s="203">
        <f t="shared" si="11"/>
        <v>1147775.8928376874</v>
      </c>
      <c r="P49" s="203">
        <f t="shared" si="12"/>
        <v>431433.37825869262</v>
      </c>
    </row>
    <row r="50" spans="2:16" x14ac:dyDescent="0.2">
      <c r="N50" s="216">
        <v>2006</v>
      </c>
      <c r="O50" s="203">
        <f t="shared" si="11"/>
        <v>1222413.6377595204</v>
      </c>
      <c r="P50" s="203">
        <f t="shared" si="12"/>
        <v>460755.2665463867</v>
      </c>
    </row>
    <row r="51" spans="2:16" x14ac:dyDescent="0.2">
      <c r="N51" s="216">
        <v>2007</v>
      </c>
      <c r="O51" s="203">
        <f t="shared" si="11"/>
        <v>1305447.8754961956</v>
      </c>
      <c r="P51" s="203">
        <f t="shared" si="12"/>
        <v>525183.78793804673</v>
      </c>
    </row>
    <row r="52" spans="2:16" x14ac:dyDescent="0.2">
      <c r="N52" s="216">
        <v>2008</v>
      </c>
      <c r="O52" s="203">
        <f t="shared" si="11"/>
        <v>1501002.7378177985</v>
      </c>
      <c r="P52" s="203">
        <f t="shared" si="12"/>
        <v>715097.23536556808</v>
      </c>
    </row>
    <row r="53" spans="2:16" x14ac:dyDescent="0.2">
      <c r="N53" s="216">
        <v>2009</v>
      </c>
      <c r="O53" s="203">
        <f t="shared" si="11"/>
        <v>1675664.7528214001</v>
      </c>
      <c r="P53" s="203">
        <f t="shared" si="12"/>
        <v>560393.40099600004</v>
      </c>
    </row>
    <row r="54" spans="2:16" x14ac:dyDescent="0.2">
      <c r="N54" s="216">
        <v>2010</v>
      </c>
      <c r="O54" s="203">
        <f t="shared" si="11"/>
        <v>1841104.1163105767</v>
      </c>
      <c r="P54" s="203">
        <f t="shared" si="12"/>
        <v>607430.91189238196</v>
      </c>
    </row>
    <row r="55" spans="2:16" x14ac:dyDescent="0.2">
      <c r="N55" s="216">
        <v>2011</v>
      </c>
      <c r="O55" s="203">
        <f t="shared" si="11"/>
        <v>2130475.7425380684</v>
      </c>
      <c r="P55" s="203">
        <f t="shared" si="12"/>
        <v>729915.81282072805</v>
      </c>
    </row>
    <row r="56" spans="2:16" x14ac:dyDescent="0.2">
      <c r="N56" s="216">
        <v>2012</v>
      </c>
      <c r="O56" s="203">
        <f t="shared" si="11"/>
        <v>2474533.5608113483</v>
      </c>
      <c r="P56" s="203">
        <f t="shared" si="12"/>
        <v>824591.93851566571</v>
      </c>
    </row>
    <row r="57" spans="2:16" x14ac:dyDescent="0.2">
      <c r="N57" s="216">
        <v>2013</v>
      </c>
      <c r="O57" s="203">
        <f t="shared" si="11"/>
        <v>2617666.0377429985</v>
      </c>
      <c r="P57" s="203">
        <f t="shared" si="12"/>
        <v>918560.29170848709</v>
      </c>
    </row>
    <row r="58" spans="2:16" x14ac:dyDescent="0.2">
      <c r="N58" s="216">
        <v>2014</v>
      </c>
      <c r="O58" s="203">
        <f>F28</f>
        <v>2974214.4336703988</v>
      </c>
      <c r="P58" s="203">
        <f>I28</f>
        <v>1051131.6818032635</v>
      </c>
    </row>
    <row r="59" spans="2:16" ht="226.5" x14ac:dyDescent="0.3">
      <c r="B59" s="1424" t="s">
        <v>316</v>
      </c>
      <c r="N59" s="259" t="s">
        <v>136</v>
      </c>
      <c r="O59" s="203">
        <f>F29</f>
        <v>3137958.6764348825</v>
      </c>
      <c r="P59" s="203">
        <f>I29</f>
        <v>1128104.3490953064</v>
      </c>
    </row>
  </sheetData>
  <autoFilter ref="B1:B59"/>
  <mergeCells count="4">
    <mergeCell ref="B6:B7"/>
    <mergeCell ref="C6:E6"/>
    <mergeCell ref="F6:H6"/>
    <mergeCell ref="I6:K6"/>
  </mergeCells>
  <printOptions horizontalCentered="1" verticalCentered="1"/>
  <pageMargins left="0.55118110236220474" right="0.43307086614173229" top="0.98425196850393704" bottom="0.98425196850393704" header="0" footer="0"/>
  <pageSetup paperSize="9" scale="5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78"/>
  <sheetViews>
    <sheetView view="pageBreakPreview" zoomScaleNormal="100" zoomScaleSheetLayoutView="100" workbookViewId="0">
      <selection activeCell="B68" sqref="B68"/>
    </sheetView>
  </sheetViews>
  <sheetFormatPr baseColWidth="10" defaultRowHeight="12.75" x14ac:dyDescent="0.2"/>
  <cols>
    <col min="1" max="1" width="27" style="157" customWidth="1"/>
    <col min="2" max="2" width="15.7109375" style="157" customWidth="1"/>
    <col min="3" max="3" width="14.28515625" style="157" customWidth="1"/>
    <col min="4" max="4" width="13.28515625" style="157" customWidth="1"/>
    <col min="5" max="5" width="16.5703125" style="157" customWidth="1"/>
    <col min="6" max="7" width="13.28515625" style="157" customWidth="1"/>
    <col min="8" max="8" width="15.42578125" style="157" customWidth="1"/>
    <col min="9" max="11" width="13.5703125" style="157" customWidth="1"/>
    <col min="12" max="13" width="11.42578125" style="157"/>
    <col min="14" max="15" width="9.5703125" style="157" customWidth="1"/>
    <col min="16" max="16" width="10.85546875" style="157" customWidth="1"/>
    <col min="17" max="25" width="9.5703125" style="157" customWidth="1"/>
    <col min="26" max="26" width="10.42578125" style="157" bestFit="1" customWidth="1"/>
    <col min="27" max="38" width="8.42578125" style="157" customWidth="1"/>
    <col min="39" max="256" width="11.42578125" style="157"/>
    <col min="257" max="257" width="27" style="157" customWidth="1"/>
    <col min="258" max="258" width="15.7109375" style="157" customWidth="1"/>
    <col min="259" max="259" width="14.28515625" style="157" customWidth="1"/>
    <col min="260" max="260" width="13.28515625" style="157" customWidth="1"/>
    <col min="261" max="261" width="16.5703125" style="157" customWidth="1"/>
    <col min="262" max="263" width="13.28515625" style="157" customWidth="1"/>
    <col min="264" max="264" width="15.42578125" style="157" customWidth="1"/>
    <col min="265" max="267" width="13.5703125" style="157" customWidth="1"/>
    <col min="268" max="269" width="11.42578125" style="157"/>
    <col min="270" max="271" width="9.5703125" style="157" customWidth="1"/>
    <col min="272" max="272" width="10.85546875" style="157" customWidth="1"/>
    <col min="273" max="281" width="9.5703125" style="157" customWidth="1"/>
    <col min="282" max="282" width="10.42578125" style="157" bestFit="1" customWidth="1"/>
    <col min="283" max="294" width="8.42578125" style="157" customWidth="1"/>
    <col min="295" max="512" width="11.42578125" style="157"/>
    <col min="513" max="513" width="27" style="157" customWidth="1"/>
    <col min="514" max="514" width="15.7109375" style="157" customWidth="1"/>
    <col min="515" max="515" width="14.28515625" style="157" customWidth="1"/>
    <col min="516" max="516" width="13.28515625" style="157" customWidth="1"/>
    <col min="517" max="517" width="16.5703125" style="157" customWidth="1"/>
    <col min="518" max="519" width="13.28515625" style="157" customWidth="1"/>
    <col min="520" max="520" width="15.42578125" style="157" customWidth="1"/>
    <col min="521" max="523" width="13.5703125" style="157" customWidth="1"/>
    <col min="524" max="525" width="11.42578125" style="157"/>
    <col min="526" max="527" width="9.5703125" style="157" customWidth="1"/>
    <col min="528" max="528" width="10.85546875" style="157" customWidth="1"/>
    <col min="529" max="537" width="9.5703125" style="157" customWidth="1"/>
    <col min="538" max="538" width="10.42578125" style="157" bestFit="1" customWidth="1"/>
    <col min="539" max="550" width="8.42578125" style="157" customWidth="1"/>
    <col min="551" max="768" width="11.42578125" style="157"/>
    <col min="769" max="769" width="27" style="157" customWidth="1"/>
    <col min="770" max="770" width="15.7109375" style="157" customWidth="1"/>
    <col min="771" max="771" width="14.28515625" style="157" customWidth="1"/>
    <col min="772" max="772" width="13.28515625" style="157" customWidth="1"/>
    <col min="773" max="773" width="16.5703125" style="157" customWidth="1"/>
    <col min="774" max="775" width="13.28515625" style="157" customWidth="1"/>
    <col min="776" max="776" width="15.42578125" style="157" customWidth="1"/>
    <col min="777" max="779" width="13.5703125" style="157" customWidth="1"/>
    <col min="780" max="781" width="11.42578125" style="157"/>
    <col min="782" max="783" width="9.5703125" style="157" customWidth="1"/>
    <col min="784" max="784" width="10.85546875" style="157" customWidth="1"/>
    <col min="785" max="793" width="9.5703125" style="157" customWidth="1"/>
    <col min="794" max="794" width="10.42578125" style="157" bestFit="1" customWidth="1"/>
    <col min="795" max="806" width="8.42578125" style="157" customWidth="1"/>
    <col min="807" max="1024" width="11.42578125" style="157"/>
    <col min="1025" max="1025" width="27" style="157" customWidth="1"/>
    <col min="1026" max="1026" width="15.7109375" style="157" customWidth="1"/>
    <col min="1027" max="1027" width="14.28515625" style="157" customWidth="1"/>
    <col min="1028" max="1028" width="13.28515625" style="157" customWidth="1"/>
    <col min="1029" max="1029" width="16.5703125" style="157" customWidth="1"/>
    <col min="1030" max="1031" width="13.28515625" style="157" customWidth="1"/>
    <col min="1032" max="1032" width="15.42578125" style="157" customWidth="1"/>
    <col min="1033" max="1035" width="13.5703125" style="157" customWidth="1"/>
    <col min="1036" max="1037" width="11.42578125" style="157"/>
    <col min="1038" max="1039" width="9.5703125" style="157" customWidth="1"/>
    <col min="1040" max="1040" width="10.85546875" style="157" customWidth="1"/>
    <col min="1041" max="1049" width="9.5703125" style="157" customWidth="1"/>
    <col min="1050" max="1050" width="10.42578125" style="157" bestFit="1" customWidth="1"/>
    <col min="1051" max="1062" width="8.42578125" style="157" customWidth="1"/>
    <col min="1063" max="1280" width="11.42578125" style="157"/>
    <col min="1281" max="1281" width="27" style="157" customWidth="1"/>
    <col min="1282" max="1282" width="15.7109375" style="157" customWidth="1"/>
    <col min="1283" max="1283" width="14.28515625" style="157" customWidth="1"/>
    <col min="1284" max="1284" width="13.28515625" style="157" customWidth="1"/>
    <col min="1285" max="1285" width="16.5703125" style="157" customWidth="1"/>
    <col min="1286" max="1287" width="13.28515625" style="157" customWidth="1"/>
    <col min="1288" max="1288" width="15.42578125" style="157" customWidth="1"/>
    <col min="1289" max="1291" width="13.5703125" style="157" customWidth="1"/>
    <col min="1292" max="1293" width="11.42578125" style="157"/>
    <col min="1294" max="1295" width="9.5703125" style="157" customWidth="1"/>
    <col min="1296" max="1296" width="10.85546875" style="157" customWidth="1"/>
    <col min="1297" max="1305" width="9.5703125" style="157" customWidth="1"/>
    <col min="1306" max="1306" width="10.42578125" style="157" bestFit="1" customWidth="1"/>
    <col min="1307" max="1318" width="8.42578125" style="157" customWidth="1"/>
    <col min="1319" max="1536" width="11.42578125" style="157"/>
    <col min="1537" max="1537" width="27" style="157" customWidth="1"/>
    <col min="1538" max="1538" width="15.7109375" style="157" customWidth="1"/>
    <col min="1539" max="1539" width="14.28515625" style="157" customWidth="1"/>
    <col min="1540" max="1540" width="13.28515625" style="157" customWidth="1"/>
    <col min="1541" max="1541" width="16.5703125" style="157" customWidth="1"/>
    <col min="1542" max="1543" width="13.28515625" style="157" customWidth="1"/>
    <col min="1544" max="1544" width="15.42578125" style="157" customWidth="1"/>
    <col min="1545" max="1547" width="13.5703125" style="157" customWidth="1"/>
    <col min="1548" max="1549" width="11.42578125" style="157"/>
    <col min="1550" max="1551" width="9.5703125" style="157" customWidth="1"/>
    <col min="1552" max="1552" width="10.85546875" style="157" customWidth="1"/>
    <col min="1553" max="1561" width="9.5703125" style="157" customWidth="1"/>
    <col min="1562" max="1562" width="10.42578125" style="157" bestFit="1" customWidth="1"/>
    <col min="1563" max="1574" width="8.42578125" style="157" customWidth="1"/>
    <col min="1575" max="1792" width="11.42578125" style="157"/>
    <col min="1793" max="1793" width="27" style="157" customWidth="1"/>
    <col min="1794" max="1794" width="15.7109375" style="157" customWidth="1"/>
    <col min="1795" max="1795" width="14.28515625" style="157" customWidth="1"/>
    <col min="1796" max="1796" width="13.28515625" style="157" customWidth="1"/>
    <col min="1797" max="1797" width="16.5703125" style="157" customWidth="1"/>
    <col min="1798" max="1799" width="13.28515625" style="157" customWidth="1"/>
    <col min="1800" max="1800" width="15.42578125" style="157" customWidth="1"/>
    <col min="1801" max="1803" width="13.5703125" style="157" customWidth="1"/>
    <col min="1804" max="1805" width="11.42578125" style="157"/>
    <col min="1806" max="1807" width="9.5703125" style="157" customWidth="1"/>
    <col min="1808" max="1808" width="10.85546875" style="157" customWidth="1"/>
    <col min="1809" max="1817" width="9.5703125" style="157" customWidth="1"/>
    <col min="1818" max="1818" width="10.42578125" style="157" bestFit="1" customWidth="1"/>
    <col min="1819" max="1830" width="8.42578125" style="157" customWidth="1"/>
    <col min="1831" max="2048" width="11.42578125" style="157"/>
    <col min="2049" max="2049" width="27" style="157" customWidth="1"/>
    <col min="2050" max="2050" width="15.7109375" style="157" customWidth="1"/>
    <col min="2051" max="2051" width="14.28515625" style="157" customWidth="1"/>
    <col min="2052" max="2052" width="13.28515625" style="157" customWidth="1"/>
    <col min="2053" max="2053" width="16.5703125" style="157" customWidth="1"/>
    <col min="2054" max="2055" width="13.28515625" style="157" customWidth="1"/>
    <col min="2056" max="2056" width="15.42578125" style="157" customWidth="1"/>
    <col min="2057" max="2059" width="13.5703125" style="157" customWidth="1"/>
    <col min="2060" max="2061" width="11.42578125" style="157"/>
    <col min="2062" max="2063" width="9.5703125" style="157" customWidth="1"/>
    <col min="2064" max="2064" width="10.85546875" style="157" customWidth="1"/>
    <col min="2065" max="2073" width="9.5703125" style="157" customWidth="1"/>
    <col min="2074" max="2074" width="10.42578125" style="157" bestFit="1" customWidth="1"/>
    <col min="2075" max="2086" width="8.42578125" style="157" customWidth="1"/>
    <col min="2087" max="2304" width="11.42578125" style="157"/>
    <col min="2305" max="2305" width="27" style="157" customWidth="1"/>
    <col min="2306" max="2306" width="15.7109375" style="157" customWidth="1"/>
    <col min="2307" max="2307" width="14.28515625" style="157" customWidth="1"/>
    <col min="2308" max="2308" width="13.28515625" style="157" customWidth="1"/>
    <col min="2309" max="2309" width="16.5703125" style="157" customWidth="1"/>
    <col min="2310" max="2311" width="13.28515625" style="157" customWidth="1"/>
    <col min="2312" max="2312" width="15.42578125" style="157" customWidth="1"/>
    <col min="2313" max="2315" width="13.5703125" style="157" customWidth="1"/>
    <col min="2316" max="2317" width="11.42578125" style="157"/>
    <col min="2318" max="2319" width="9.5703125" style="157" customWidth="1"/>
    <col min="2320" max="2320" width="10.85546875" style="157" customWidth="1"/>
    <col min="2321" max="2329" width="9.5703125" style="157" customWidth="1"/>
    <col min="2330" max="2330" width="10.42578125" style="157" bestFit="1" customWidth="1"/>
    <col min="2331" max="2342" width="8.42578125" style="157" customWidth="1"/>
    <col min="2343" max="2560" width="11.42578125" style="157"/>
    <col min="2561" max="2561" width="27" style="157" customWidth="1"/>
    <col min="2562" max="2562" width="15.7109375" style="157" customWidth="1"/>
    <col min="2563" max="2563" width="14.28515625" style="157" customWidth="1"/>
    <col min="2564" max="2564" width="13.28515625" style="157" customWidth="1"/>
    <col min="2565" max="2565" width="16.5703125" style="157" customWidth="1"/>
    <col min="2566" max="2567" width="13.28515625" style="157" customWidth="1"/>
    <col min="2568" max="2568" width="15.42578125" style="157" customWidth="1"/>
    <col min="2569" max="2571" width="13.5703125" style="157" customWidth="1"/>
    <col min="2572" max="2573" width="11.42578125" style="157"/>
    <col min="2574" max="2575" width="9.5703125" style="157" customWidth="1"/>
    <col min="2576" max="2576" width="10.85546875" style="157" customWidth="1"/>
    <col min="2577" max="2585" width="9.5703125" style="157" customWidth="1"/>
    <col min="2586" max="2586" width="10.42578125" style="157" bestFit="1" customWidth="1"/>
    <col min="2587" max="2598" width="8.42578125" style="157" customWidth="1"/>
    <col min="2599" max="2816" width="11.42578125" style="157"/>
    <col min="2817" max="2817" width="27" style="157" customWidth="1"/>
    <col min="2818" max="2818" width="15.7109375" style="157" customWidth="1"/>
    <col min="2819" max="2819" width="14.28515625" style="157" customWidth="1"/>
    <col min="2820" max="2820" width="13.28515625" style="157" customWidth="1"/>
    <col min="2821" max="2821" width="16.5703125" style="157" customWidth="1"/>
    <col min="2822" max="2823" width="13.28515625" style="157" customWidth="1"/>
    <col min="2824" max="2824" width="15.42578125" style="157" customWidth="1"/>
    <col min="2825" max="2827" width="13.5703125" style="157" customWidth="1"/>
    <col min="2828" max="2829" width="11.42578125" style="157"/>
    <col min="2830" max="2831" width="9.5703125" style="157" customWidth="1"/>
    <col min="2832" max="2832" width="10.85546875" style="157" customWidth="1"/>
    <col min="2833" max="2841" width="9.5703125" style="157" customWidth="1"/>
    <col min="2842" max="2842" width="10.42578125" style="157" bestFit="1" customWidth="1"/>
    <col min="2843" max="2854" width="8.42578125" style="157" customWidth="1"/>
    <col min="2855" max="3072" width="11.42578125" style="157"/>
    <col min="3073" max="3073" width="27" style="157" customWidth="1"/>
    <col min="3074" max="3074" width="15.7109375" style="157" customWidth="1"/>
    <col min="3075" max="3075" width="14.28515625" style="157" customWidth="1"/>
    <col min="3076" max="3076" width="13.28515625" style="157" customWidth="1"/>
    <col min="3077" max="3077" width="16.5703125" style="157" customWidth="1"/>
    <col min="3078" max="3079" width="13.28515625" style="157" customWidth="1"/>
    <col min="3080" max="3080" width="15.42578125" style="157" customWidth="1"/>
    <col min="3081" max="3083" width="13.5703125" style="157" customWidth="1"/>
    <col min="3084" max="3085" width="11.42578125" style="157"/>
    <col min="3086" max="3087" width="9.5703125" style="157" customWidth="1"/>
    <col min="3088" max="3088" width="10.85546875" style="157" customWidth="1"/>
    <col min="3089" max="3097" width="9.5703125" style="157" customWidth="1"/>
    <col min="3098" max="3098" width="10.42578125" style="157" bestFit="1" customWidth="1"/>
    <col min="3099" max="3110" width="8.42578125" style="157" customWidth="1"/>
    <col min="3111" max="3328" width="11.42578125" style="157"/>
    <col min="3329" max="3329" width="27" style="157" customWidth="1"/>
    <col min="3330" max="3330" width="15.7109375" style="157" customWidth="1"/>
    <col min="3331" max="3331" width="14.28515625" style="157" customWidth="1"/>
    <col min="3332" max="3332" width="13.28515625" style="157" customWidth="1"/>
    <col min="3333" max="3333" width="16.5703125" style="157" customWidth="1"/>
    <col min="3334" max="3335" width="13.28515625" style="157" customWidth="1"/>
    <col min="3336" max="3336" width="15.42578125" style="157" customWidth="1"/>
    <col min="3337" max="3339" width="13.5703125" style="157" customWidth="1"/>
    <col min="3340" max="3341" width="11.42578125" style="157"/>
    <col min="3342" max="3343" width="9.5703125" style="157" customWidth="1"/>
    <col min="3344" max="3344" width="10.85546875" style="157" customWidth="1"/>
    <col min="3345" max="3353" width="9.5703125" style="157" customWidth="1"/>
    <col min="3354" max="3354" width="10.42578125" style="157" bestFit="1" customWidth="1"/>
    <col min="3355" max="3366" width="8.42578125" style="157" customWidth="1"/>
    <col min="3367" max="3584" width="11.42578125" style="157"/>
    <col min="3585" max="3585" width="27" style="157" customWidth="1"/>
    <col min="3586" max="3586" width="15.7109375" style="157" customWidth="1"/>
    <col min="3587" max="3587" width="14.28515625" style="157" customWidth="1"/>
    <col min="3588" max="3588" width="13.28515625" style="157" customWidth="1"/>
    <col min="3589" max="3589" width="16.5703125" style="157" customWidth="1"/>
    <col min="3590" max="3591" width="13.28515625" style="157" customWidth="1"/>
    <col min="3592" max="3592" width="15.42578125" style="157" customWidth="1"/>
    <col min="3593" max="3595" width="13.5703125" style="157" customWidth="1"/>
    <col min="3596" max="3597" width="11.42578125" style="157"/>
    <col min="3598" max="3599" width="9.5703125" style="157" customWidth="1"/>
    <col min="3600" max="3600" width="10.85546875" style="157" customWidth="1"/>
    <col min="3601" max="3609" width="9.5703125" style="157" customWidth="1"/>
    <col min="3610" max="3610" width="10.42578125" style="157" bestFit="1" customWidth="1"/>
    <col min="3611" max="3622" width="8.42578125" style="157" customWidth="1"/>
    <col min="3623" max="3840" width="11.42578125" style="157"/>
    <col min="3841" max="3841" width="27" style="157" customWidth="1"/>
    <col min="3842" max="3842" width="15.7109375" style="157" customWidth="1"/>
    <col min="3843" max="3843" width="14.28515625" style="157" customWidth="1"/>
    <col min="3844" max="3844" width="13.28515625" style="157" customWidth="1"/>
    <col min="3845" max="3845" width="16.5703125" style="157" customWidth="1"/>
    <col min="3846" max="3847" width="13.28515625" style="157" customWidth="1"/>
    <col min="3848" max="3848" width="15.42578125" style="157" customWidth="1"/>
    <col min="3849" max="3851" width="13.5703125" style="157" customWidth="1"/>
    <col min="3852" max="3853" width="11.42578125" style="157"/>
    <col min="3854" max="3855" width="9.5703125" style="157" customWidth="1"/>
    <col min="3856" max="3856" width="10.85546875" style="157" customWidth="1"/>
    <col min="3857" max="3865" width="9.5703125" style="157" customWidth="1"/>
    <col min="3866" max="3866" width="10.42578125" style="157" bestFit="1" customWidth="1"/>
    <col min="3867" max="3878" width="8.42578125" style="157" customWidth="1"/>
    <col min="3879" max="4096" width="11.42578125" style="157"/>
    <col min="4097" max="4097" width="27" style="157" customWidth="1"/>
    <col min="4098" max="4098" width="15.7109375" style="157" customWidth="1"/>
    <col min="4099" max="4099" width="14.28515625" style="157" customWidth="1"/>
    <col min="4100" max="4100" width="13.28515625" style="157" customWidth="1"/>
    <col min="4101" max="4101" width="16.5703125" style="157" customWidth="1"/>
    <col min="4102" max="4103" width="13.28515625" style="157" customWidth="1"/>
    <col min="4104" max="4104" width="15.42578125" style="157" customWidth="1"/>
    <col min="4105" max="4107" width="13.5703125" style="157" customWidth="1"/>
    <col min="4108" max="4109" width="11.42578125" style="157"/>
    <col min="4110" max="4111" width="9.5703125" style="157" customWidth="1"/>
    <col min="4112" max="4112" width="10.85546875" style="157" customWidth="1"/>
    <col min="4113" max="4121" width="9.5703125" style="157" customWidth="1"/>
    <col min="4122" max="4122" width="10.42578125" style="157" bestFit="1" customWidth="1"/>
    <col min="4123" max="4134" width="8.42578125" style="157" customWidth="1"/>
    <col min="4135" max="4352" width="11.42578125" style="157"/>
    <col min="4353" max="4353" width="27" style="157" customWidth="1"/>
    <col min="4354" max="4354" width="15.7109375" style="157" customWidth="1"/>
    <col min="4355" max="4355" width="14.28515625" style="157" customWidth="1"/>
    <col min="4356" max="4356" width="13.28515625" style="157" customWidth="1"/>
    <col min="4357" max="4357" width="16.5703125" style="157" customWidth="1"/>
    <col min="4358" max="4359" width="13.28515625" style="157" customWidth="1"/>
    <col min="4360" max="4360" width="15.42578125" style="157" customWidth="1"/>
    <col min="4361" max="4363" width="13.5703125" style="157" customWidth="1"/>
    <col min="4364" max="4365" width="11.42578125" style="157"/>
    <col min="4366" max="4367" width="9.5703125" style="157" customWidth="1"/>
    <col min="4368" max="4368" width="10.85546875" style="157" customWidth="1"/>
    <col min="4369" max="4377" width="9.5703125" style="157" customWidth="1"/>
    <col min="4378" max="4378" width="10.42578125" style="157" bestFit="1" customWidth="1"/>
    <col min="4379" max="4390" width="8.42578125" style="157" customWidth="1"/>
    <col min="4391" max="4608" width="11.42578125" style="157"/>
    <col min="4609" max="4609" width="27" style="157" customWidth="1"/>
    <col min="4610" max="4610" width="15.7109375" style="157" customWidth="1"/>
    <col min="4611" max="4611" width="14.28515625" style="157" customWidth="1"/>
    <col min="4612" max="4612" width="13.28515625" style="157" customWidth="1"/>
    <col min="4613" max="4613" width="16.5703125" style="157" customWidth="1"/>
    <col min="4614" max="4615" width="13.28515625" style="157" customWidth="1"/>
    <col min="4616" max="4616" width="15.42578125" style="157" customWidth="1"/>
    <col min="4617" max="4619" width="13.5703125" style="157" customWidth="1"/>
    <col min="4620" max="4621" width="11.42578125" style="157"/>
    <col min="4622" max="4623" width="9.5703125" style="157" customWidth="1"/>
    <col min="4624" max="4624" width="10.85546875" style="157" customWidth="1"/>
    <col min="4625" max="4633" width="9.5703125" style="157" customWidth="1"/>
    <col min="4634" max="4634" width="10.42578125" style="157" bestFit="1" customWidth="1"/>
    <col min="4635" max="4646" width="8.42578125" style="157" customWidth="1"/>
    <col min="4647" max="4864" width="11.42578125" style="157"/>
    <col min="4865" max="4865" width="27" style="157" customWidth="1"/>
    <col min="4866" max="4866" width="15.7109375" style="157" customWidth="1"/>
    <col min="4867" max="4867" width="14.28515625" style="157" customWidth="1"/>
    <col min="4868" max="4868" width="13.28515625" style="157" customWidth="1"/>
    <col min="4869" max="4869" width="16.5703125" style="157" customWidth="1"/>
    <col min="4870" max="4871" width="13.28515625" style="157" customWidth="1"/>
    <col min="4872" max="4872" width="15.42578125" style="157" customWidth="1"/>
    <col min="4873" max="4875" width="13.5703125" style="157" customWidth="1"/>
    <col min="4876" max="4877" width="11.42578125" style="157"/>
    <col min="4878" max="4879" width="9.5703125" style="157" customWidth="1"/>
    <col min="4880" max="4880" width="10.85546875" style="157" customWidth="1"/>
    <col min="4881" max="4889" width="9.5703125" style="157" customWidth="1"/>
    <col min="4890" max="4890" width="10.42578125" style="157" bestFit="1" customWidth="1"/>
    <col min="4891" max="4902" width="8.42578125" style="157" customWidth="1"/>
    <col min="4903" max="5120" width="11.42578125" style="157"/>
    <col min="5121" max="5121" width="27" style="157" customWidth="1"/>
    <col min="5122" max="5122" width="15.7109375" style="157" customWidth="1"/>
    <col min="5123" max="5123" width="14.28515625" style="157" customWidth="1"/>
    <col min="5124" max="5124" width="13.28515625" style="157" customWidth="1"/>
    <col min="5125" max="5125" width="16.5703125" style="157" customWidth="1"/>
    <col min="5126" max="5127" width="13.28515625" style="157" customWidth="1"/>
    <col min="5128" max="5128" width="15.42578125" style="157" customWidth="1"/>
    <col min="5129" max="5131" width="13.5703125" style="157" customWidth="1"/>
    <col min="5132" max="5133" width="11.42578125" style="157"/>
    <col min="5134" max="5135" width="9.5703125" style="157" customWidth="1"/>
    <col min="5136" max="5136" width="10.85546875" style="157" customWidth="1"/>
    <col min="5137" max="5145" width="9.5703125" style="157" customWidth="1"/>
    <col min="5146" max="5146" width="10.42578125" style="157" bestFit="1" customWidth="1"/>
    <col min="5147" max="5158" width="8.42578125" style="157" customWidth="1"/>
    <col min="5159" max="5376" width="11.42578125" style="157"/>
    <col min="5377" max="5377" width="27" style="157" customWidth="1"/>
    <col min="5378" max="5378" width="15.7109375" style="157" customWidth="1"/>
    <col min="5379" max="5379" width="14.28515625" style="157" customWidth="1"/>
    <col min="5380" max="5380" width="13.28515625" style="157" customWidth="1"/>
    <col min="5381" max="5381" width="16.5703125" style="157" customWidth="1"/>
    <col min="5382" max="5383" width="13.28515625" style="157" customWidth="1"/>
    <col min="5384" max="5384" width="15.42578125" style="157" customWidth="1"/>
    <col min="5385" max="5387" width="13.5703125" style="157" customWidth="1"/>
    <col min="5388" max="5389" width="11.42578125" style="157"/>
    <col min="5390" max="5391" width="9.5703125" style="157" customWidth="1"/>
    <col min="5392" max="5392" width="10.85546875" style="157" customWidth="1"/>
    <col min="5393" max="5401" width="9.5703125" style="157" customWidth="1"/>
    <col min="5402" max="5402" width="10.42578125" style="157" bestFit="1" customWidth="1"/>
    <col min="5403" max="5414" width="8.42578125" style="157" customWidth="1"/>
    <col min="5415" max="5632" width="11.42578125" style="157"/>
    <col min="5633" max="5633" width="27" style="157" customWidth="1"/>
    <col min="5634" max="5634" width="15.7109375" style="157" customWidth="1"/>
    <col min="5635" max="5635" width="14.28515625" style="157" customWidth="1"/>
    <col min="5636" max="5636" width="13.28515625" style="157" customWidth="1"/>
    <col min="5637" max="5637" width="16.5703125" style="157" customWidth="1"/>
    <col min="5638" max="5639" width="13.28515625" style="157" customWidth="1"/>
    <col min="5640" max="5640" width="15.42578125" style="157" customWidth="1"/>
    <col min="5641" max="5643" width="13.5703125" style="157" customWidth="1"/>
    <col min="5644" max="5645" width="11.42578125" style="157"/>
    <col min="5646" max="5647" width="9.5703125" style="157" customWidth="1"/>
    <col min="5648" max="5648" width="10.85546875" style="157" customWidth="1"/>
    <col min="5649" max="5657" width="9.5703125" style="157" customWidth="1"/>
    <col min="5658" max="5658" width="10.42578125" style="157" bestFit="1" customWidth="1"/>
    <col min="5659" max="5670" width="8.42578125" style="157" customWidth="1"/>
    <col min="5671" max="5888" width="11.42578125" style="157"/>
    <col min="5889" max="5889" width="27" style="157" customWidth="1"/>
    <col min="5890" max="5890" width="15.7109375" style="157" customWidth="1"/>
    <col min="5891" max="5891" width="14.28515625" style="157" customWidth="1"/>
    <col min="5892" max="5892" width="13.28515625" style="157" customWidth="1"/>
    <col min="5893" max="5893" width="16.5703125" style="157" customWidth="1"/>
    <col min="5894" max="5895" width="13.28515625" style="157" customWidth="1"/>
    <col min="5896" max="5896" width="15.42578125" style="157" customWidth="1"/>
    <col min="5897" max="5899" width="13.5703125" style="157" customWidth="1"/>
    <col min="5900" max="5901" width="11.42578125" style="157"/>
    <col min="5902" max="5903" width="9.5703125" style="157" customWidth="1"/>
    <col min="5904" max="5904" width="10.85546875" style="157" customWidth="1"/>
    <col min="5905" max="5913" width="9.5703125" style="157" customWidth="1"/>
    <col min="5914" max="5914" width="10.42578125" style="157" bestFit="1" customWidth="1"/>
    <col min="5915" max="5926" width="8.42578125" style="157" customWidth="1"/>
    <col min="5927" max="6144" width="11.42578125" style="157"/>
    <col min="6145" max="6145" width="27" style="157" customWidth="1"/>
    <col min="6146" max="6146" width="15.7109375" style="157" customWidth="1"/>
    <col min="6147" max="6147" width="14.28515625" style="157" customWidth="1"/>
    <col min="6148" max="6148" width="13.28515625" style="157" customWidth="1"/>
    <col min="6149" max="6149" width="16.5703125" style="157" customWidth="1"/>
    <col min="6150" max="6151" width="13.28515625" style="157" customWidth="1"/>
    <col min="6152" max="6152" width="15.42578125" style="157" customWidth="1"/>
    <col min="6153" max="6155" width="13.5703125" style="157" customWidth="1"/>
    <col min="6156" max="6157" width="11.42578125" style="157"/>
    <col min="6158" max="6159" width="9.5703125" style="157" customWidth="1"/>
    <col min="6160" max="6160" width="10.85546875" style="157" customWidth="1"/>
    <col min="6161" max="6169" width="9.5703125" style="157" customWidth="1"/>
    <col min="6170" max="6170" width="10.42578125" style="157" bestFit="1" customWidth="1"/>
    <col min="6171" max="6182" width="8.42578125" style="157" customWidth="1"/>
    <col min="6183" max="6400" width="11.42578125" style="157"/>
    <col min="6401" max="6401" width="27" style="157" customWidth="1"/>
    <col min="6402" max="6402" width="15.7109375" style="157" customWidth="1"/>
    <col min="6403" max="6403" width="14.28515625" style="157" customWidth="1"/>
    <col min="6404" max="6404" width="13.28515625" style="157" customWidth="1"/>
    <col min="6405" max="6405" width="16.5703125" style="157" customWidth="1"/>
    <col min="6406" max="6407" width="13.28515625" style="157" customWidth="1"/>
    <col min="6408" max="6408" width="15.42578125" style="157" customWidth="1"/>
    <col min="6409" max="6411" width="13.5703125" style="157" customWidth="1"/>
    <col min="6412" max="6413" width="11.42578125" style="157"/>
    <col min="6414" max="6415" width="9.5703125" style="157" customWidth="1"/>
    <col min="6416" max="6416" width="10.85546875" style="157" customWidth="1"/>
    <col min="6417" max="6425" width="9.5703125" style="157" customWidth="1"/>
    <col min="6426" max="6426" width="10.42578125" style="157" bestFit="1" customWidth="1"/>
    <col min="6427" max="6438" width="8.42578125" style="157" customWidth="1"/>
    <col min="6439" max="6656" width="11.42578125" style="157"/>
    <col min="6657" max="6657" width="27" style="157" customWidth="1"/>
    <col min="6658" max="6658" width="15.7109375" style="157" customWidth="1"/>
    <col min="6659" max="6659" width="14.28515625" style="157" customWidth="1"/>
    <col min="6660" max="6660" width="13.28515625" style="157" customWidth="1"/>
    <col min="6661" max="6661" width="16.5703125" style="157" customWidth="1"/>
    <col min="6662" max="6663" width="13.28515625" style="157" customWidth="1"/>
    <col min="6664" max="6664" width="15.42578125" style="157" customWidth="1"/>
    <col min="6665" max="6667" width="13.5703125" style="157" customWidth="1"/>
    <col min="6668" max="6669" width="11.42578125" style="157"/>
    <col min="6670" max="6671" width="9.5703125" style="157" customWidth="1"/>
    <col min="6672" max="6672" width="10.85546875" style="157" customWidth="1"/>
    <col min="6673" max="6681" width="9.5703125" style="157" customWidth="1"/>
    <col min="6682" max="6682" width="10.42578125" style="157" bestFit="1" customWidth="1"/>
    <col min="6683" max="6694" width="8.42578125" style="157" customWidth="1"/>
    <col min="6695" max="6912" width="11.42578125" style="157"/>
    <col min="6913" max="6913" width="27" style="157" customWidth="1"/>
    <col min="6914" max="6914" width="15.7109375" style="157" customWidth="1"/>
    <col min="6915" max="6915" width="14.28515625" style="157" customWidth="1"/>
    <col min="6916" max="6916" width="13.28515625" style="157" customWidth="1"/>
    <col min="6917" max="6917" width="16.5703125" style="157" customWidth="1"/>
    <col min="6918" max="6919" width="13.28515625" style="157" customWidth="1"/>
    <col min="6920" max="6920" width="15.42578125" style="157" customWidth="1"/>
    <col min="6921" max="6923" width="13.5703125" style="157" customWidth="1"/>
    <col min="6924" max="6925" width="11.42578125" style="157"/>
    <col min="6926" max="6927" width="9.5703125" style="157" customWidth="1"/>
    <col min="6928" max="6928" width="10.85546875" style="157" customWidth="1"/>
    <col min="6929" max="6937" width="9.5703125" style="157" customWidth="1"/>
    <col min="6938" max="6938" width="10.42578125" style="157" bestFit="1" customWidth="1"/>
    <col min="6939" max="6950" width="8.42578125" style="157" customWidth="1"/>
    <col min="6951" max="7168" width="11.42578125" style="157"/>
    <col min="7169" max="7169" width="27" style="157" customWidth="1"/>
    <col min="7170" max="7170" width="15.7109375" style="157" customWidth="1"/>
    <col min="7171" max="7171" width="14.28515625" style="157" customWidth="1"/>
    <col min="7172" max="7172" width="13.28515625" style="157" customWidth="1"/>
    <col min="7173" max="7173" width="16.5703125" style="157" customWidth="1"/>
    <col min="7174" max="7175" width="13.28515625" style="157" customWidth="1"/>
    <col min="7176" max="7176" width="15.42578125" style="157" customWidth="1"/>
    <col min="7177" max="7179" width="13.5703125" style="157" customWidth="1"/>
    <col min="7180" max="7181" width="11.42578125" style="157"/>
    <col min="7182" max="7183" width="9.5703125" style="157" customWidth="1"/>
    <col min="7184" max="7184" width="10.85546875" style="157" customWidth="1"/>
    <col min="7185" max="7193" width="9.5703125" style="157" customWidth="1"/>
    <col min="7194" max="7194" width="10.42578125" style="157" bestFit="1" customWidth="1"/>
    <col min="7195" max="7206" width="8.42578125" style="157" customWidth="1"/>
    <col min="7207" max="7424" width="11.42578125" style="157"/>
    <col min="7425" max="7425" width="27" style="157" customWidth="1"/>
    <col min="7426" max="7426" width="15.7109375" style="157" customWidth="1"/>
    <col min="7427" max="7427" width="14.28515625" style="157" customWidth="1"/>
    <col min="7428" max="7428" width="13.28515625" style="157" customWidth="1"/>
    <col min="7429" max="7429" width="16.5703125" style="157" customWidth="1"/>
    <col min="7430" max="7431" width="13.28515625" style="157" customWidth="1"/>
    <col min="7432" max="7432" width="15.42578125" style="157" customWidth="1"/>
    <col min="7433" max="7435" width="13.5703125" style="157" customWidth="1"/>
    <col min="7436" max="7437" width="11.42578125" style="157"/>
    <col min="7438" max="7439" width="9.5703125" style="157" customWidth="1"/>
    <col min="7440" max="7440" width="10.85546875" style="157" customWidth="1"/>
    <col min="7441" max="7449" width="9.5703125" style="157" customWidth="1"/>
    <col min="7450" max="7450" width="10.42578125" style="157" bestFit="1" customWidth="1"/>
    <col min="7451" max="7462" width="8.42578125" style="157" customWidth="1"/>
    <col min="7463" max="7680" width="11.42578125" style="157"/>
    <col min="7681" max="7681" width="27" style="157" customWidth="1"/>
    <col min="7682" max="7682" width="15.7109375" style="157" customWidth="1"/>
    <col min="7683" max="7683" width="14.28515625" style="157" customWidth="1"/>
    <col min="7684" max="7684" width="13.28515625" style="157" customWidth="1"/>
    <col min="7685" max="7685" width="16.5703125" style="157" customWidth="1"/>
    <col min="7686" max="7687" width="13.28515625" style="157" customWidth="1"/>
    <col min="7688" max="7688" width="15.42578125" style="157" customWidth="1"/>
    <col min="7689" max="7691" width="13.5703125" style="157" customWidth="1"/>
    <col min="7692" max="7693" width="11.42578125" style="157"/>
    <col min="7694" max="7695" width="9.5703125" style="157" customWidth="1"/>
    <col min="7696" max="7696" width="10.85546875" style="157" customWidth="1"/>
    <col min="7697" max="7705" width="9.5703125" style="157" customWidth="1"/>
    <col min="7706" max="7706" width="10.42578125" style="157" bestFit="1" customWidth="1"/>
    <col min="7707" max="7718" width="8.42578125" style="157" customWidth="1"/>
    <col min="7719" max="7936" width="11.42578125" style="157"/>
    <col min="7937" max="7937" width="27" style="157" customWidth="1"/>
    <col min="7938" max="7938" width="15.7109375" style="157" customWidth="1"/>
    <col min="7939" max="7939" width="14.28515625" style="157" customWidth="1"/>
    <col min="7940" max="7940" width="13.28515625" style="157" customWidth="1"/>
    <col min="7941" max="7941" width="16.5703125" style="157" customWidth="1"/>
    <col min="7942" max="7943" width="13.28515625" style="157" customWidth="1"/>
    <col min="7944" max="7944" width="15.42578125" style="157" customWidth="1"/>
    <col min="7945" max="7947" width="13.5703125" style="157" customWidth="1"/>
    <col min="7948" max="7949" width="11.42578125" style="157"/>
    <col min="7950" max="7951" width="9.5703125" style="157" customWidth="1"/>
    <col min="7952" max="7952" width="10.85546875" style="157" customWidth="1"/>
    <col min="7953" max="7961" width="9.5703125" style="157" customWidth="1"/>
    <col min="7962" max="7962" width="10.42578125" style="157" bestFit="1" customWidth="1"/>
    <col min="7963" max="7974" width="8.42578125" style="157" customWidth="1"/>
    <col min="7975" max="8192" width="11.42578125" style="157"/>
    <col min="8193" max="8193" width="27" style="157" customWidth="1"/>
    <col min="8194" max="8194" width="15.7109375" style="157" customWidth="1"/>
    <col min="8195" max="8195" width="14.28515625" style="157" customWidth="1"/>
    <col min="8196" max="8196" width="13.28515625" style="157" customWidth="1"/>
    <col min="8197" max="8197" width="16.5703125" style="157" customWidth="1"/>
    <col min="8198" max="8199" width="13.28515625" style="157" customWidth="1"/>
    <col min="8200" max="8200" width="15.42578125" style="157" customWidth="1"/>
    <col min="8201" max="8203" width="13.5703125" style="157" customWidth="1"/>
    <col min="8204" max="8205" width="11.42578125" style="157"/>
    <col min="8206" max="8207" width="9.5703125" style="157" customWidth="1"/>
    <col min="8208" max="8208" width="10.85546875" style="157" customWidth="1"/>
    <col min="8209" max="8217" width="9.5703125" style="157" customWidth="1"/>
    <col min="8218" max="8218" width="10.42578125" style="157" bestFit="1" customWidth="1"/>
    <col min="8219" max="8230" width="8.42578125" style="157" customWidth="1"/>
    <col min="8231" max="8448" width="11.42578125" style="157"/>
    <col min="8449" max="8449" width="27" style="157" customWidth="1"/>
    <col min="8450" max="8450" width="15.7109375" style="157" customWidth="1"/>
    <col min="8451" max="8451" width="14.28515625" style="157" customWidth="1"/>
    <col min="8452" max="8452" width="13.28515625" style="157" customWidth="1"/>
    <col min="8453" max="8453" width="16.5703125" style="157" customWidth="1"/>
    <col min="8454" max="8455" width="13.28515625" style="157" customWidth="1"/>
    <col min="8456" max="8456" width="15.42578125" style="157" customWidth="1"/>
    <col min="8457" max="8459" width="13.5703125" style="157" customWidth="1"/>
    <col min="8460" max="8461" width="11.42578125" style="157"/>
    <col min="8462" max="8463" width="9.5703125" style="157" customWidth="1"/>
    <col min="8464" max="8464" width="10.85546875" style="157" customWidth="1"/>
    <col min="8465" max="8473" width="9.5703125" style="157" customWidth="1"/>
    <col min="8474" max="8474" width="10.42578125" style="157" bestFit="1" customWidth="1"/>
    <col min="8475" max="8486" width="8.42578125" style="157" customWidth="1"/>
    <col min="8487" max="8704" width="11.42578125" style="157"/>
    <col min="8705" max="8705" width="27" style="157" customWidth="1"/>
    <col min="8706" max="8706" width="15.7109375" style="157" customWidth="1"/>
    <col min="8707" max="8707" width="14.28515625" style="157" customWidth="1"/>
    <col min="8708" max="8708" width="13.28515625" style="157" customWidth="1"/>
    <col min="8709" max="8709" width="16.5703125" style="157" customWidth="1"/>
    <col min="8710" max="8711" width="13.28515625" style="157" customWidth="1"/>
    <col min="8712" max="8712" width="15.42578125" style="157" customWidth="1"/>
    <col min="8713" max="8715" width="13.5703125" style="157" customWidth="1"/>
    <col min="8716" max="8717" width="11.42578125" style="157"/>
    <col min="8718" max="8719" width="9.5703125" style="157" customWidth="1"/>
    <col min="8720" max="8720" width="10.85546875" style="157" customWidth="1"/>
    <col min="8721" max="8729" width="9.5703125" style="157" customWidth="1"/>
    <col min="8730" max="8730" width="10.42578125" style="157" bestFit="1" customWidth="1"/>
    <col min="8731" max="8742" width="8.42578125" style="157" customWidth="1"/>
    <col min="8743" max="8960" width="11.42578125" style="157"/>
    <col min="8961" max="8961" width="27" style="157" customWidth="1"/>
    <col min="8962" max="8962" width="15.7109375" style="157" customWidth="1"/>
    <col min="8963" max="8963" width="14.28515625" style="157" customWidth="1"/>
    <col min="8964" max="8964" width="13.28515625" style="157" customWidth="1"/>
    <col min="8965" max="8965" width="16.5703125" style="157" customWidth="1"/>
    <col min="8966" max="8967" width="13.28515625" style="157" customWidth="1"/>
    <col min="8968" max="8968" width="15.42578125" style="157" customWidth="1"/>
    <col min="8969" max="8971" width="13.5703125" style="157" customWidth="1"/>
    <col min="8972" max="8973" width="11.42578125" style="157"/>
    <col min="8974" max="8975" width="9.5703125" style="157" customWidth="1"/>
    <col min="8976" max="8976" width="10.85546875" style="157" customWidth="1"/>
    <col min="8977" max="8985" width="9.5703125" style="157" customWidth="1"/>
    <col min="8986" max="8986" width="10.42578125" style="157" bestFit="1" customWidth="1"/>
    <col min="8987" max="8998" width="8.42578125" style="157" customWidth="1"/>
    <col min="8999" max="9216" width="11.42578125" style="157"/>
    <col min="9217" max="9217" width="27" style="157" customWidth="1"/>
    <col min="9218" max="9218" width="15.7109375" style="157" customWidth="1"/>
    <col min="9219" max="9219" width="14.28515625" style="157" customWidth="1"/>
    <col min="9220" max="9220" width="13.28515625" style="157" customWidth="1"/>
    <col min="9221" max="9221" width="16.5703125" style="157" customWidth="1"/>
    <col min="9222" max="9223" width="13.28515625" style="157" customWidth="1"/>
    <col min="9224" max="9224" width="15.42578125" style="157" customWidth="1"/>
    <col min="9225" max="9227" width="13.5703125" style="157" customWidth="1"/>
    <col min="9228" max="9229" width="11.42578125" style="157"/>
    <col min="9230" max="9231" width="9.5703125" style="157" customWidth="1"/>
    <col min="9232" max="9232" width="10.85546875" style="157" customWidth="1"/>
    <col min="9233" max="9241" width="9.5703125" style="157" customWidth="1"/>
    <col min="9242" max="9242" width="10.42578125" style="157" bestFit="1" customWidth="1"/>
    <col min="9243" max="9254" width="8.42578125" style="157" customWidth="1"/>
    <col min="9255" max="9472" width="11.42578125" style="157"/>
    <col min="9473" max="9473" width="27" style="157" customWidth="1"/>
    <col min="9474" max="9474" width="15.7109375" style="157" customWidth="1"/>
    <col min="9475" max="9475" width="14.28515625" style="157" customWidth="1"/>
    <col min="9476" max="9476" width="13.28515625" style="157" customWidth="1"/>
    <col min="9477" max="9477" width="16.5703125" style="157" customWidth="1"/>
    <col min="9478" max="9479" width="13.28515625" style="157" customWidth="1"/>
    <col min="9480" max="9480" width="15.42578125" style="157" customWidth="1"/>
    <col min="9481" max="9483" width="13.5703125" style="157" customWidth="1"/>
    <col min="9484" max="9485" width="11.42578125" style="157"/>
    <col min="9486" max="9487" width="9.5703125" style="157" customWidth="1"/>
    <col min="9488" max="9488" width="10.85546875" style="157" customWidth="1"/>
    <col min="9489" max="9497" width="9.5703125" style="157" customWidth="1"/>
    <col min="9498" max="9498" width="10.42578125" style="157" bestFit="1" customWidth="1"/>
    <col min="9499" max="9510" width="8.42578125" style="157" customWidth="1"/>
    <col min="9511" max="9728" width="11.42578125" style="157"/>
    <col min="9729" max="9729" width="27" style="157" customWidth="1"/>
    <col min="9730" max="9730" width="15.7109375" style="157" customWidth="1"/>
    <col min="9731" max="9731" width="14.28515625" style="157" customWidth="1"/>
    <col min="9732" max="9732" width="13.28515625" style="157" customWidth="1"/>
    <col min="9733" max="9733" width="16.5703125" style="157" customWidth="1"/>
    <col min="9734" max="9735" width="13.28515625" style="157" customWidth="1"/>
    <col min="9736" max="9736" width="15.42578125" style="157" customWidth="1"/>
    <col min="9737" max="9739" width="13.5703125" style="157" customWidth="1"/>
    <col min="9740" max="9741" width="11.42578125" style="157"/>
    <col min="9742" max="9743" width="9.5703125" style="157" customWidth="1"/>
    <col min="9744" max="9744" width="10.85546875" style="157" customWidth="1"/>
    <col min="9745" max="9753" width="9.5703125" style="157" customWidth="1"/>
    <col min="9754" max="9754" width="10.42578125" style="157" bestFit="1" customWidth="1"/>
    <col min="9755" max="9766" width="8.42578125" style="157" customWidth="1"/>
    <col min="9767" max="9984" width="11.42578125" style="157"/>
    <col min="9985" max="9985" width="27" style="157" customWidth="1"/>
    <col min="9986" max="9986" width="15.7109375" style="157" customWidth="1"/>
    <col min="9987" max="9987" width="14.28515625" style="157" customWidth="1"/>
    <col min="9988" max="9988" width="13.28515625" style="157" customWidth="1"/>
    <col min="9989" max="9989" width="16.5703125" style="157" customWidth="1"/>
    <col min="9990" max="9991" width="13.28515625" style="157" customWidth="1"/>
    <col min="9992" max="9992" width="15.42578125" style="157" customWidth="1"/>
    <col min="9993" max="9995" width="13.5703125" style="157" customWidth="1"/>
    <col min="9996" max="9997" width="11.42578125" style="157"/>
    <col min="9998" max="9999" width="9.5703125" style="157" customWidth="1"/>
    <col min="10000" max="10000" width="10.85546875" style="157" customWidth="1"/>
    <col min="10001" max="10009" width="9.5703125" style="157" customWidth="1"/>
    <col min="10010" max="10010" width="10.42578125" style="157" bestFit="1" customWidth="1"/>
    <col min="10011" max="10022" width="8.42578125" style="157" customWidth="1"/>
    <col min="10023" max="10240" width="11.42578125" style="157"/>
    <col min="10241" max="10241" width="27" style="157" customWidth="1"/>
    <col min="10242" max="10242" width="15.7109375" style="157" customWidth="1"/>
    <col min="10243" max="10243" width="14.28515625" style="157" customWidth="1"/>
    <col min="10244" max="10244" width="13.28515625" style="157" customWidth="1"/>
    <col min="10245" max="10245" width="16.5703125" style="157" customWidth="1"/>
    <col min="10246" max="10247" width="13.28515625" style="157" customWidth="1"/>
    <col min="10248" max="10248" width="15.42578125" style="157" customWidth="1"/>
    <col min="10249" max="10251" width="13.5703125" style="157" customWidth="1"/>
    <col min="10252" max="10253" width="11.42578125" style="157"/>
    <col min="10254" max="10255" width="9.5703125" style="157" customWidth="1"/>
    <col min="10256" max="10256" width="10.85546875" style="157" customWidth="1"/>
    <col min="10257" max="10265" width="9.5703125" style="157" customWidth="1"/>
    <col min="10266" max="10266" width="10.42578125" style="157" bestFit="1" customWidth="1"/>
    <col min="10267" max="10278" width="8.42578125" style="157" customWidth="1"/>
    <col min="10279" max="10496" width="11.42578125" style="157"/>
    <col min="10497" max="10497" width="27" style="157" customWidth="1"/>
    <col min="10498" max="10498" width="15.7109375" style="157" customWidth="1"/>
    <col min="10499" max="10499" width="14.28515625" style="157" customWidth="1"/>
    <col min="10500" max="10500" width="13.28515625" style="157" customWidth="1"/>
    <col min="10501" max="10501" width="16.5703125" style="157" customWidth="1"/>
    <col min="10502" max="10503" width="13.28515625" style="157" customWidth="1"/>
    <col min="10504" max="10504" width="15.42578125" style="157" customWidth="1"/>
    <col min="10505" max="10507" width="13.5703125" style="157" customWidth="1"/>
    <col min="10508" max="10509" width="11.42578125" style="157"/>
    <col min="10510" max="10511" width="9.5703125" style="157" customWidth="1"/>
    <col min="10512" max="10512" width="10.85546875" style="157" customWidth="1"/>
    <col min="10513" max="10521" width="9.5703125" style="157" customWidth="1"/>
    <col min="10522" max="10522" width="10.42578125" style="157" bestFit="1" customWidth="1"/>
    <col min="10523" max="10534" width="8.42578125" style="157" customWidth="1"/>
    <col min="10535" max="10752" width="11.42578125" style="157"/>
    <col min="10753" max="10753" width="27" style="157" customWidth="1"/>
    <col min="10754" max="10754" width="15.7109375" style="157" customWidth="1"/>
    <col min="10755" max="10755" width="14.28515625" style="157" customWidth="1"/>
    <col min="10756" max="10756" width="13.28515625" style="157" customWidth="1"/>
    <col min="10757" max="10757" width="16.5703125" style="157" customWidth="1"/>
    <col min="10758" max="10759" width="13.28515625" style="157" customWidth="1"/>
    <col min="10760" max="10760" width="15.42578125" style="157" customWidth="1"/>
    <col min="10761" max="10763" width="13.5703125" style="157" customWidth="1"/>
    <col min="10764" max="10765" width="11.42578125" style="157"/>
    <col min="10766" max="10767" width="9.5703125" style="157" customWidth="1"/>
    <col min="10768" max="10768" width="10.85546875" style="157" customWidth="1"/>
    <col min="10769" max="10777" width="9.5703125" style="157" customWidth="1"/>
    <col min="10778" max="10778" width="10.42578125" style="157" bestFit="1" customWidth="1"/>
    <col min="10779" max="10790" width="8.42578125" style="157" customWidth="1"/>
    <col min="10791" max="11008" width="11.42578125" style="157"/>
    <col min="11009" max="11009" width="27" style="157" customWidth="1"/>
    <col min="11010" max="11010" width="15.7109375" style="157" customWidth="1"/>
    <col min="11011" max="11011" width="14.28515625" style="157" customWidth="1"/>
    <col min="11012" max="11012" width="13.28515625" style="157" customWidth="1"/>
    <col min="11013" max="11013" width="16.5703125" style="157" customWidth="1"/>
    <col min="11014" max="11015" width="13.28515625" style="157" customWidth="1"/>
    <col min="11016" max="11016" width="15.42578125" style="157" customWidth="1"/>
    <col min="11017" max="11019" width="13.5703125" style="157" customWidth="1"/>
    <col min="11020" max="11021" width="11.42578125" style="157"/>
    <col min="11022" max="11023" width="9.5703125" style="157" customWidth="1"/>
    <col min="11024" max="11024" width="10.85546875" style="157" customWidth="1"/>
    <col min="11025" max="11033" width="9.5703125" style="157" customWidth="1"/>
    <col min="11034" max="11034" width="10.42578125" style="157" bestFit="1" customWidth="1"/>
    <col min="11035" max="11046" width="8.42578125" style="157" customWidth="1"/>
    <col min="11047" max="11264" width="11.42578125" style="157"/>
    <col min="11265" max="11265" width="27" style="157" customWidth="1"/>
    <col min="11266" max="11266" width="15.7109375" style="157" customWidth="1"/>
    <col min="11267" max="11267" width="14.28515625" style="157" customWidth="1"/>
    <col min="11268" max="11268" width="13.28515625" style="157" customWidth="1"/>
    <col min="11269" max="11269" width="16.5703125" style="157" customWidth="1"/>
    <col min="11270" max="11271" width="13.28515625" style="157" customWidth="1"/>
    <col min="11272" max="11272" width="15.42578125" style="157" customWidth="1"/>
    <col min="11273" max="11275" width="13.5703125" style="157" customWidth="1"/>
    <col min="11276" max="11277" width="11.42578125" style="157"/>
    <col min="11278" max="11279" width="9.5703125" style="157" customWidth="1"/>
    <col min="11280" max="11280" width="10.85546875" style="157" customWidth="1"/>
    <col min="11281" max="11289" width="9.5703125" style="157" customWidth="1"/>
    <col min="11290" max="11290" width="10.42578125" style="157" bestFit="1" customWidth="1"/>
    <col min="11291" max="11302" width="8.42578125" style="157" customWidth="1"/>
    <col min="11303" max="11520" width="11.42578125" style="157"/>
    <col min="11521" max="11521" width="27" style="157" customWidth="1"/>
    <col min="11522" max="11522" width="15.7109375" style="157" customWidth="1"/>
    <col min="11523" max="11523" width="14.28515625" style="157" customWidth="1"/>
    <col min="11524" max="11524" width="13.28515625" style="157" customWidth="1"/>
    <col min="11525" max="11525" width="16.5703125" style="157" customWidth="1"/>
    <col min="11526" max="11527" width="13.28515625" style="157" customWidth="1"/>
    <col min="11528" max="11528" width="15.42578125" style="157" customWidth="1"/>
    <col min="11529" max="11531" width="13.5703125" style="157" customWidth="1"/>
    <col min="11532" max="11533" width="11.42578125" style="157"/>
    <col min="11534" max="11535" width="9.5703125" style="157" customWidth="1"/>
    <col min="11536" max="11536" width="10.85546875" style="157" customWidth="1"/>
    <col min="11537" max="11545" width="9.5703125" style="157" customWidth="1"/>
    <col min="11546" max="11546" width="10.42578125" style="157" bestFit="1" customWidth="1"/>
    <col min="11547" max="11558" width="8.42578125" style="157" customWidth="1"/>
    <col min="11559" max="11776" width="11.42578125" style="157"/>
    <col min="11777" max="11777" width="27" style="157" customWidth="1"/>
    <col min="11778" max="11778" width="15.7109375" style="157" customWidth="1"/>
    <col min="11779" max="11779" width="14.28515625" style="157" customWidth="1"/>
    <col min="11780" max="11780" width="13.28515625" style="157" customWidth="1"/>
    <col min="11781" max="11781" width="16.5703125" style="157" customWidth="1"/>
    <col min="11782" max="11783" width="13.28515625" style="157" customWidth="1"/>
    <col min="11784" max="11784" width="15.42578125" style="157" customWidth="1"/>
    <col min="11785" max="11787" width="13.5703125" style="157" customWidth="1"/>
    <col min="11788" max="11789" width="11.42578125" style="157"/>
    <col min="11790" max="11791" width="9.5703125" style="157" customWidth="1"/>
    <col min="11792" max="11792" width="10.85546875" style="157" customWidth="1"/>
    <col min="11793" max="11801" width="9.5703125" style="157" customWidth="1"/>
    <col min="11802" max="11802" width="10.42578125" style="157" bestFit="1" customWidth="1"/>
    <col min="11803" max="11814" width="8.42578125" style="157" customWidth="1"/>
    <col min="11815" max="12032" width="11.42578125" style="157"/>
    <col min="12033" max="12033" width="27" style="157" customWidth="1"/>
    <col min="12034" max="12034" width="15.7109375" style="157" customWidth="1"/>
    <col min="12035" max="12035" width="14.28515625" style="157" customWidth="1"/>
    <col min="12036" max="12036" width="13.28515625" style="157" customWidth="1"/>
    <col min="12037" max="12037" width="16.5703125" style="157" customWidth="1"/>
    <col min="12038" max="12039" width="13.28515625" style="157" customWidth="1"/>
    <col min="12040" max="12040" width="15.42578125" style="157" customWidth="1"/>
    <col min="12041" max="12043" width="13.5703125" style="157" customWidth="1"/>
    <col min="12044" max="12045" width="11.42578125" style="157"/>
    <col min="12046" max="12047" width="9.5703125" style="157" customWidth="1"/>
    <col min="12048" max="12048" width="10.85546875" style="157" customWidth="1"/>
    <col min="12049" max="12057" width="9.5703125" style="157" customWidth="1"/>
    <col min="12058" max="12058" width="10.42578125" style="157" bestFit="1" customWidth="1"/>
    <col min="12059" max="12070" width="8.42578125" style="157" customWidth="1"/>
    <col min="12071" max="12288" width="11.42578125" style="157"/>
    <col min="12289" max="12289" width="27" style="157" customWidth="1"/>
    <col min="12290" max="12290" width="15.7109375" style="157" customWidth="1"/>
    <col min="12291" max="12291" width="14.28515625" style="157" customWidth="1"/>
    <col min="12292" max="12292" width="13.28515625" style="157" customWidth="1"/>
    <col min="12293" max="12293" width="16.5703125" style="157" customWidth="1"/>
    <col min="12294" max="12295" width="13.28515625" style="157" customWidth="1"/>
    <col min="12296" max="12296" width="15.42578125" style="157" customWidth="1"/>
    <col min="12297" max="12299" width="13.5703125" style="157" customWidth="1"/>
    <col min="12300" max="12301" width="11.42578125" style="157"/>
    <col min="12302" max="12303" width="9.5703125" style="157" customWidth="1"/>
    <col min="12304" max="12304" width="10.85546875" style="157" customWidth="1"/>
    <col min="12305" max="12313" width="9.5703125" style="157" customWidth="1"/>
    <col min="12314" max="12314" width="10.42578125" style="157" bestFit="1" customWidth="1"/>
    <col min="12315" max="12326" width="8.42578125" style="157" customWidth="1"/>
    <col min="12327" max="12544" width="11.42578125" style="157"/>
    <col min="12545" max="12545" width="27" style="157" customWidth="1"/>
    <col min="12546" max="12546" width="15.7109375" style="157" customWidth="1"/>
    <col min="12547" max="12547" width="14.28515625" style="157" customWidth="1"/>
    <col min="12548" max="12548" width="13.28515625" style="157" customWidth="1"/>
    <col min="12549" max="12549" width="16.5703125" style="157" customWidth="1"/>
    <col min="12550" max="12551" width="13.28515625" style="157" customWidth="1"/>
    <col min="12552" max="12552" width="15.42578125" style="157" customWidth="1"/>
    <col min="12553" max="12555" width="13.5703125" style="157" customWidth="1"/>
    <col min="12556" max="12557" width="11.42578125" style="157"/>
    <col min="12558" max="12559" width="9.5703125" style="157" customWidth="1"/>
    <col min="12560" max="12560" width="10.85546875" style="157" customWidth="1"/>
    <col min="12561" max="12569" width="9.5703125" style="157" customWidth="1"/>
    <col min="12570" max="12570" width="10.42578125" style="157" bestFit="1" customWidth="1"/>
    <col min="12571" max="12582" width="8.42578125" style="157" customWidth="1"/>
    <col min="12583" max="12800" width="11.42578125" style="157"/>
    <col min="12801" max="12801" width="27" style="157" customWidth="1"/>
    <col min="12802" max="12802" width="15.7109375" style="157" customWidth="1"/>
    <col min="12803" max="12803" width="14.28515625" style="157" customWidth="1"/>
    <col min="12804" max="12804" width="13.28515625" style="157" customWidth="1"/>
    <col min="12805" max="12805" width="16.5703125" style="157" customWidth="1"/>
    <col min="12806" max="12807" width="13.28515625" style="157" customWidth="1"/>
    <col min="12808" max="12808" width="15.42578125" style="157" customWidth="1"/>
    <col min="12809" max="12811" width="13.5703125" style="157" customWidth="1"/>
    <col min="12812" max="12813" width="11.42578125" style="157"/>
    <col min="12814" max="12815" width="9.5703125" style="157" customWidth="1"/>
    <col min="12816" max="12816" width="10.85546875" style="157" customWidth="1"/>
    <col min="12817" max="12825" width="9.5703125" style="157" customWidth="1"/>
    <col min="12826" max="12826" width="10.42578125" style="157" bestFit="1" customWidth="1"/>
    <col min="12827" max="12838" width="8.42578125" style="157" customWidth="1"/>
    <col min="12839" max="13056" width="11.42578125" style="157"/>
    <col min="13057" max="13057" width="27" style="157" customWidth="1"/>
    <col min="13058" max="13058" width="15.7109375" style="157" customWidth="1"/>
    <col min="13059" max="13059" width="14.28515625" style="157" customWidth="1"/>
    <col min="13060" max="13060" width="13.28515625" style="157" customWidth="1"/>
    <col min="13061" max="13061" width="16.5703125" style="157" customWidth="1"/>
    <col min="13062" max="13063" width="13.28515625" style="157" customWidth="1"/>
    <col min="13064" max="13064" width="15.42578125" style="157" customWidth="1"/>
    <col min="13065" max="13067" width="13.5703125" style="157" customWidth="1"/>
    <col min="13068" max="13069" width="11.42578125" style="157"/>
    <col min="13070" max="13071" width="9.5703125" style="157" customWidth="1"/>
    <col min="13072" max="13072" width="10.85546875" style="157" customWidth="1"/>
    <col min="13073" max="13081" width="9.5703125" style="157" customWidth="1"/>
    <col min="13082" max="13082" width="10.42578125" style="157" bestFit="1" customWidth="1"/>
    <col min="13083" max="13094" width="8.42578125" style="157" customWidth="1"/>
    <col min="13095" max="13312" width="11.42578125" style="157"/>
    <col min="13313" max="13313" width="27" style="157" customWidth="1"/>
    <col min="13314" max="13314" width="15.7109375" style="157" customWidth="1"/>
    <col min="13315" max="13315" width="14.28515625" style="157" customWidth="1"/>
    <col min="13316" max="13316" width="13.28515625" style="157" customWidth="1"/>
    <col min="13317" max="13317" width="16.5703125" style="157" customWidth="1"/>
    <col min="13318" max="13319" width="13.28515625" style="157" customWidth="1"/>
    <col min="13320" max="13320" width="15.42578125" style="157" customWidth="1"/>
    <col min="13321" max="13323" width="13.5703125" style="157" customWidth="1"/>
    <col min="13324" max="13325" width="11.42578125" style="157"/>
    <col min="13326" max="13327" width="9.5703125" style="157" customWidth="1"/>
    <col min="13328" max="13328" width="10.85546875" style="157" customWidth="1"/>
    <col min="13329" max="13337" width="9.5703125" style="157" customWidth="1"/>
    <col min="13338" max="13338" width="10.42578125" style="157" bestFit="1" customWidth="1"/>
    <col min="13339" max="13350" width="8.42578125" style="157" customWidth="1"/>
    <col min="13351" max="13568" width="11.42578125" style="157"/>
    <col min="13569" max="13569" width="27" style="157" customWidth="1"/>
    <col min="13570" max="13570" width="15.7109375" style="157" customWidth="1"/>
    <col min="13571" max="13571" width="14.28515625" style="157" customWidth="1"/>
    <col min="13572" max="13572" width="13.28515625" style="157" customWidth="1"/>
    <col min="13573" max="13573" width="16.5703125" style="157" customWidth="1"/>
    <col min="13574" max="13575" width="13.28515625" style="157" customWidth="1"/>
    <col min="13576" max="13576" width="15.42578125" style="157" customWidth="1"/>
    <col min="13577" max="13579" width="13.5703125" style="157" customWidth="1"/>
    <col min="13580" max="13581" width="11.42578125" style="157"/>
    <col min="13582" max="13583" width="9.5703125" style="157" customWidth="1"/>
    <col min="13584" max="13584" width="10.85546875" style="157" customWidth="1"/>
    <col min="13585" max="13593" width="9.5703125" style="157" customWidth="1"/>
    <col min="13594" max="13594" width="10.42578125" style="157" bestFit="1" customWidth="1"/>
    <col min="13595" max="13606" width="8.42578125" style="157" customWidth="1"/>
    <col min="13607" max="13824" width="11.42578125" style="157"/>
    <col min="13825" max="13825" width="27" style="157" customWidth="1"/>
    <col min="13826" max="13826" width="15.7109375" style="157" customWidth="1"/>
    <col min="13827" max="13827" width="14.28515625" style="157" customWidth="1"/>
    <col min="13828" max="13828" width="13.28515625" style="157" customWidth="1"/>
    <col min="13829" max="13829" width="16.5703125" style="157" customWidth="1"/>
    <col min="13830" max="13831" width="13.28515625" style="157" customWidth="1"/>
    <col min="13832" max="13832" width="15.42578125" style="157" customWidth="1"/>
    <col min="13833" max="13835" width="13.5703125" style="157" customWidth="1"/>
    <col min="13836" max="13837" width="11.42578125" style="157"/>
    <col min="13838" max="13839" width="9.5703125" style="157" customWidth="1"/>
    <col min="13840" max="13840" width="10.85546875" style="157" customWidth="1"/>
    <col min="13841" max="13849" width="9.5703125" style="157" customWidth="1"/>
    <col min="13850" max="13850" width="10.42578125" style="157" bestFit="1" customWidth="1"/>
    <col min="13851" max="13862" width="8.42578125" style="157" customWidth="1"/>
    <col min="13863" max="14080" width="11.42578125" style="157"/>
    <col min="14081" max="14081" width="27" style="157" customWidth="1"/>
    <col min="14082" max="14082" width="15.7109375" style="157" customWidth="1"/>
    <col min="14083" max="14083" width="14.28515625" style="157" customWidth="1"/>
    <col min="14084" max="14084" width="13.28515625" style="157" customWidth="1"/>
    <col min="14085" max="14085" width="16.5703125" style="157" customWidth="1"/>
    <col min="14086" max="14087" width="13.28515625" style="157" customWidth="1"/>
    <col min="14088" max="14088" width="15.42578125" style="157" customWidth="1"/>
    <col min="14089" max="14091" width="13.5703125" style="157" customWidth="1"/>
    <col min="14092" max="14093" width="11.42578125" style="157"/>
    <col min="14094" max="14095" width="9.5703125" style="157" customWidth="1"/>
    <col min="14096" max="14096" width="10.85546875" style="157" customWidth="1"/>
    <col min="14097" max="14105" width="9.5703125" style="157" customWidth="1"/>
    <col min="14106" max="14106" width="10.42578125" style="157" bestFit="1" customWidth="1"/>
    <col min="14107" max="14118" width="8.42578125" style="157" customWidth="1"/>
    <col min="14119" max="14336" width="11.42578125" style="157"/>
    <col min="14337" max="14337" width="27" style="157" customWidth="1"/>
    <col min="14338" max="14338" width="15.7109375" style="157" customWidth="1"/>
    <col min="14339" max="14339" width="14.28515625" style="157" customWidth="1"/>
    <col min="14340" max="14340" width="13.28515625" style="157" customWidth="1"/>
    <col min="14341" max="14341" width="16.5703125" style="157" customWidth="1"/>
    <col min="14342" max="14343" width="13.28515625" style="157" customWidth="1"/>
    <col min="14344" max="14344" width="15.42578125" style="157" customWidth="1"/>
    <col min="14345" max="14347" width="13.5703125" style="157" customWidth="1"/>
    <col min="14348" max="14349" width="11.42578125" style="157"/>
    <col min="14350" max="14351" width="9.5703125" style="157" customWidth="1"/>
    <col min="14352" max="14352" width="10.85546875" style="157" customWidth="1"/>
    <col min="14353" max="14361" width="9.5703125" style="157" customWidth="1"/>
    <col min="14362" max="14362" width="10.42578125" style="157" bestFit="1" customWidth="1"/>
    <col min="14363" max="14374" width="8.42578125" style="157" customWidth="1"/>
    <col min="14375" max="14592" width="11.42578125" style="157"/>
    <col min="14593" max="14593" width="27" style="157" customWidth="1"/>
    <col min="14594" max="14594" width="15.7109375" style="157" customWidth="1"/>
    <col min="14595" max="14595" width="14.28515625" style="157" customWidth="1"/>
    <col min="14596" max="14596" width="13.28515625" style="157" customWidth="1"/>
    <col min="14597" max="14597" width="16.5703125" style="157" customWidth="1"/>
    <col min="14598" max="14599" width="13.28515625" style="157" customWidth="1"/>
    <col min="14600" max="14600" width="15.42578125" style="157" customWidth="1"/>
    <col min="14601" max="14603" width="13.5703125" style="157" customWidth="1"/>
    <col min="14604" max="14605" width="11.42578125" style="157"/>
    <col min="14606" max="14607" width="9.5703125" style="157" customWidth="1"/>
    <col min="14608" max="14608" width="10.85546875" style="157" customWidth="1"/>
    <col min="14609" max="14617" width="9.5703125" style="157" customWidth="1"/>
    <col min="14618" max="14618" width="10.42578125" style="157" bestFit="1" customWidth="1"/>
    <col min="14619" max="14630" width="8.42578125" style="157" customWidth="1"/>
    <col min="14631" max="14848" width="11.42578125" style="157"/>
    <col min="14849" max="14849" width="27" style="157" customWidth="1"/>
    <col min="14850" max="14850" width="15.7109375" style="157" customWidth="1"/>
    <col min="14851" max="14851" width="14.28515625" style="157" customWidth="1"/>
    <col min="14852" max="14852" width="13.28515625" style="157" customWidth="1"/>
    <col min="14853" max="14853" width="16.5703125" style="157" customWidth="1"/>
    <col min="14854" max="14855" width="13.28515625" style="157" customWidth="1"/>
    <col min="14856" max="14856" width="15.42578125" style="157" customWidth="1"/>
    <col min="14857" max="14859" width="13.5703125" style="157" customWidth="1"/>
    <col min="14860" max="14861" width="11.42578125" style="157"/>
    <col min="14862" max="14863" width="9.5703125" style="157" customWidth="1"/>
    <col min="14864" max="14864" width="10.85546875" style="157" customWidth="1"/>
    <col min="14865" max="14873" width="9.5703125" style="157" customWidth="1"/>
    <col min="14874" max="14874" width="10.42578125" style="157" bestFit="1" customWidth="1"/>
    <col min="14875" max="14886" width="8.42578125" style="157" customWidth="1"/>
    <col min="14887" max="15104" width="11.42578125" style="157"/>
    <col min="15105" max="15105" width="27" style="157" customWidth="1"/>
    <col min="15106" max="15106" width="15.7109375" style="157" customWidth="1"/>
    <col min="15107" max="15107" width="14.28515625" style="157" customWidth="1"/>
    <col min="15108" max="15108" width="13.28515625" style="157" customWidth="1"/>
    <col min="15109" max="15109" width="16.5703125" style="157" customWidth="1"/>
    <col min="15110" max="15111" width="13.28515625" style="157" customWidth="1"/>
    <col min="15112" max="15112" width="15.42578125" style="157" customWidth="1"/>
    <col min="15113" max="15115" width="13.5703125" style="157" customWidth="1"/>
    <col min="15116" max="15117" width="11.42578125" style="157"/>
    <col min="15118" max="15119" width="9.5703125" style="157" customWidth="1"/>
    <col min="15120" max="15120" width="10.85546875" style="157" customWidth="1"/>
    <col min="15121" max="15129" width="9.5703125" style="157" customWidth="1"/>
    <col min="15130" max="15130" width="10.42578125" style="157" bestFit="1" customWidth="1"/>
    <col min="15131" max="15142" width="8.42578125" style="157" customWidth="1"/>
    <col min="15143" max="15360" width="11.42578125" style="157"/>
    <col min="15361" max="15361" width="27" style="157" customWidth="1"/>
    <col min="15362" max="15362" width="15.7109375" style="157" customWidth="1"/>
    <col min="15363" max="15363" width="14.28515625" style="157" customWidth="1"/>
    <col min="15364" max="15364" width="13.28515625" style="157" customWidth="1"/>
    <col min="15365" max="15365" width="16.5703125" style="157" customWidth="1"/>
    <col min="15366" max="15367" width="13.28515625" style="157" customWidth="1"/>
    <col min="15368" max="15368" width="15.42578125" style="157" customWidth="1"/>
    <col min="15369" max="15371" width="13.5703125" style="157" customWidth="1"/>
    <col min="15372" max="15373" width="11.42578125" style="157"/>
    <col min="15374" max="15375" width="9.5703125" style="157" customWidth="1"/>
    <col min="15376" max="15376" width="10.85546875" style="157" customWidth="1"/>
    <col min="15377" max="15385" width="9.5703125" style="157" customWidth="1"/>
    <col min="15386" max="15386" width="10.42578125" style="157" bestFit="1" customWidth="1"/>
    <col min="15387" max="15398" width="8.42578125" style="157" customWidth="1"/>
    <col min="15399" max="15616" width="11.42578125" style="157"/>
    <col min="15617" max="15617" width="27" style="157" customWidth="1"/>
    <col min="15618" max="15618" width="15.7109375" style="157" customWidth="1"/>
    <col min="15619" max="15619" width="14.28515625" style="157" customWidth="1"/>
    <col min="15620" max="15620" width="13.28515625" style="157" customWidth="1"/>
    <col min="15621" max="15621" width="16.5703125" style="157" customWidth="1"/>
    <col min="15622" max="15623" width="13.28515625" style="157" customWidth="1"/>
    <col min="15624" max="15624" width="15.42578125" style="157" customWidth="1"/>
    <col min="15625" max="15627" width="13.5703125" style="157" customWidth="1"/>
    <col min="15628" max="15629" width="11.42578125" style="157"/>
    <col min="15630" max="15631" width="9.5703125" style="157" customWidth="1"/>
    <col min="15632" max="15632" width="10.85546875" style="157" customWidth="1"/>
    <col min="15633" max="15641" width="9.5703125" style="157" customWidth="1"/>
    <col min="15642" max="15642" width="10.42578125" style="157" bestFit="1" customWidth="1"/>
    <col min="15643" max="15654" width="8.42578125" style="157" customWidth="1"/>
    <col min="15655" max="15872" width="11.42578125" style="157"/>
    <col min="15873" max="15873" width="27" style="157" customWidth="1"/>
    <col min="15874" max="15874" width="15.7109375" style="157" customWidth="1"/>
    <col min="15875" max="15875" width="14.28515625" style="157" customWidth="1"/>
    <col min="15876" max="15876" width="13.28515625" style="157" customWidth="1"/>
    <col min="15877" max="15877" width="16.5703125" style="157" customWidth="1"/>
    <col min="15878" max="15879" width="13.28515625" style="157" customWidth="1"/>
    <col min="15880" max="15880" width="15.42578125" style="157" customWidth="1"/>
    <col min="15881" max="15883" width="13.5703125" style="157" customWidth="1"/>
    <col min="15884" max="15885" width="11.42578125" style="157"/>
    <col min="15886" max="15887" width="9.5703125" style="157" customWidth="1"/>
    <col min="15888" max="15888" width="10.85546875" style="157" customWidth="1"/>
    <col min="15889" max="15897" width="9.5703125" style="157" customWidth="1"/>
    <col min="15898" max="15898" width="10.42578125" style="157" bestFit="1" customWidth="1"/>
    <col min="15899" max="15910" width="8.42578125" style="157" customWidth="1"/>
    <col min="15911" max="16128" width="11.42578125" style="157"/>
    <col min="16129" max="16129" width="27" style="157" customWidth="1"/>
    <col min="16130" max="16130" width="15.7109375" style="157" customWidth="1"/>
    <col min="16131" max="16131" width="14.28515625" style="157" customWidth="1"/>
    <col min="16132" max="16132" width="13.28515625" style="157" customWidth="1"/>
    <col min="16133" max="16133" width="16.5703125" style="157" customWidth="1"/>
    <col min="16134" max="16135" width="13.28515625" style="157" customWidth="1"/>
    <col min="16136" max="16136" width="15.42578125" style="157" customWidth="1"/>
    <col min="16137" max="16139" width="13.5703125" style="157" customWidth="1"/>
    <col min="16140" max="16141" width="11.42578125" style="157"/>
    <col min="16142" max="16143" width="9.5703125" style="157" customWidth="1"/>
    <col min="16144" max="16144" width="10.85546875" style="157" customWidth="1"/>
    <col min="16145" max="16153" width="9.5703125" style="157" customWidth="1"/>
    <col min="16154" max="16154" width="10.42578125" style="157" bestFit="1" customWidth="1"/>
    <col min="16155" max="16166" width="8.42578125" style="157" customWidth="1"/>
    <col min="16167" max="16384" width="11.42578125" style="157"/>
  </cols>
  <sheetData>
    <row r="2" spans="1:46" ht="15" x14ac:dyDescent="0.25"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6" ht="15.75" x14ac:dyDescent="0.25">
      <c r="A3" s="350" t="s">
        <v>283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46" ht="15" x14ac:dyDescent="0.25">
      <c r="A4" s="349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46" ht="15.75" thickBot="1" x14ac:dyDescent="0.3"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46" ht="15" x14ac:dyDescent="0.25">
      <c r="A6" s="1045" t="s">
        <v>132</v>
      </c>
      <c r="B6" s="1046" t="s">
        <v>199</v>
      </c>
      <c r="C6" s="1406" t="s">
        <v>266</v>
      </c>
      <c r="D6" s="1375"/>
      <c r="E6" s="1375"/>
      <c r="F6" s="1375"/>
      <c r="G6" s="1375"/>
      <c r="H6" s="1407" t="s">
        <v>267</v>
      </c>
      <c r="I6" s="1377"/>
      <c r="J6" s="1377"/>
      <c r="K6" s="1377"/>
      <c r="L6" s="1378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</row>
    <row r="7" spans="1:46" ht="15.75" thickBot="1" x14ac:dyDescent="0.3">
      <c r="A7" s="354"/>
      <c r="B7" s="829"/>
      <c r="C7" s="864" t="s">
        <v>203</v>
      </c>
      <c r="D7" s="959" t="s">
        <v>268</v>
      </c>
      <c r="E7" s="863" t="s">
        <v>269</v>
      </c>
      <c r="F7" s="485" t="s">
        <v>270</v>
      </c>
      <c r="G7" s="863" t="s">
        <v>271</v>
      </c>
      <c r="H7" s="864" t="s">
        <v>203</v>
      </c>
      <c r="I7" s="485" t="s">
        <v>268</v>
      </c>
      <c r="J7" s="863" t="s">
        <v>269</v>
      </c>
      <c r="K7" s="485" t="s">
        <v>270</v>
      </c>
      <c r="L7" s="865" t="s">
        <v>271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</row>
    <row r="8" spans="1:46" ht="15" x14ac:dyDescent="0.25">
      <c r="A8" s="424"/>
      <c r="B8" s="1047"/>
      <c r="C8" s="359"/>
      <c r="D8" s="866"/>
      <c r="E8" s="525"/>
      <c r="F8" s="362"/>
      <c r="G8" s="525"/>
      <c r="H8" s="359"/>
      <c r="I8" s="362"/>
      <c r="J8" s="525"/>
      <c r="K8" s="362"/>
      <c r="L8" s="365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</row>
    <row r="9" spans="1:46" ht="15" x14ac:dyDescent="0.25">
      <c r="A9" s="1766">
        <v>1995</v>
      </c>
      <c r="B9" s="1767">
        <f t="shared" ref="B9:B24" si="0">+H9+C9</f>
        <v>776779.19139398972</v>
      </c>
      <c r="C9" s="650">
        <f t="shared" ref="C9:C24" si="1">SUM(D9:G9)</f>
        <v>124184.48634359846</v>
      </c>
      <c r="D9" s="1768">
        <v>25907.553817482101</v>
      </c>
      <c r="E9" s="1769">
        <v>30717.330841467534</v>
      </c>
      <c r="F9" s="1770">
        <v>67167.245346640717</v>
      </c>
      <c r="G9" s="1769">
        <v>392.35633800810604</v>
      </c>
      <c r="H9" s="650">
        <f t="shared" ref="H9:H25" si="2">SUM(I9:L9)</f>
        <v>652594.70505039126</v>
      </c>
      <c r="I9" s="1770"/>
      <c r="J9" s="1769">
        <v>763.80306444000985</v>
      </c>
      <c r="K9" s="1770">
        <v>94553.75013217071</v>
      </c>
      <c r="L9" s="1771">
        <v>557277.1518537805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46" ht="15" x14ac:dyDescent="0.25">
      <c r="A10" s="1049">
        <v>1996</v>
      </c>
      <c r="B10" s="1050">
        <f t="shared" si="0"/>
        <v>822460.27859264216</v>
      </c>
      <c r="C10" s="368">
        <f t="shared" si="1"/>
        <v>118518.19419908689</v>
      </c>
      <c r="D10" s="323">
        <v>15449.530851258085</v>
      </c>
      <c r="E10" s="1051">
        <v>30833.104255366034</v>
      </c>
      <c r="F10" s="324">
        <v>71734.351036236141</v>
      </c>
      <c r="G10" s="1051">
        <v>501.20805622663522</v>
      </c>
      <c r="H10" s="368">
        <f t="shared" si="2"/>
        <v>703942.0843935553</v>
      </c>
      <c r="I10" s="324"/>
      <c r="J10" s="1051">
        <v>993.68555486760806</v>
      </c>
      <c r="K10" s="324">
        <v>105462.8523469872</v>
      </c>
      <c r="L10" s="1052">
        <v>597485.54649170046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</row>
    <row r="11" spans="1:46" ht="15" x14ac:dyDescent="0.25">
      <c r="A11" s="1766">
        <v>1997</v>
      </c>
      <c r="B11" s="1767">
        <f t="shared" si="0"/>
        <v>859351.67959043023</v>
      </c>
      <c r="C11" s="650">
        <f t="shared" si="1"/>
        <v>119469.61099105242</v>
      </c>
      <c r="D11" s="1768">
        <v>16203.72755347064</v>
      </c>
      <c r="E11" s="1769">
        <v>28692.072312231969</v>
      </c>
      <c r="F11" s="1770">
        <v>74181.286990561202</v>
      </c>
      <c r="G11" s="1769">
        <v>392.52413478861899</v>
      </c>
      <c r="H11" s="650">
        <f t="shared" si="2"/>
        <v>739882.06859937776</v>
      </c>
      <c r="I11" s="1770"/>
      <c r="J11" s="1769">
        <v>1196.3929321827632</v>
      </c>
      <c r="K11" s="1770">
        <v>116462.02043283332</v>
      </c>
      <c r="L11" s="1771">
        <v>622223.65523436165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</row>
    <row r="12" spans="1:46" ht="15" x14ac:dyDescent="0.25">
      <c r="A12" s="1049">
        <v>1998</v>
      </c>
      <c r="B12" s="1050">
        <f t="shared" si="0"/>
        <v>786060.99965563859</v>
      </c>
      <c r="C12" s="368">
        <f t="shared" si="1"/>
        <v>107173.85069988419</v>
      </c>
      <c r="D12" s="323">
        <v>16061.939270334933</v>
      </c>
      <c r="E12" s="1051">
        <v>27911.326174946436</v>
      </c>
      <c r="F12" s="324">
        <v>63200.207993220713</v>
      </c>
      <c r="G12" s="1051">
        <v>0.37726138210288968</v>
      </c>
      <c r="H12" s="368">
        <f t="shared" si="2"/>
        <v>678887.14895575435</v>
      </c>
      <c r="I12" s="324"/>
      <c r="J12" s="1051">
        <v>567.10199926505288</v>
      </c>
      <c r="K12" s="324">
        <v>106855.98447912202</v>
      </c>
      <c r="L12" s="1052">
        <v>571464.06247736723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</row>
    <row r="13" spans="1:46" ht="15" x14ac:dyDescent="0.25">
      <c r="A13" s="1766">
        <v>1999</v>
      </c>
      <c r="B13" s="1767">
        <f t="shared" si="0"/>
        <v>778389.13985393988</v>
      </c>
      <c r="C13" s="650">
        <f t="shared" si="1"/>
        <v>107879.16120478789</v>
      </c>
      <c r="D13" s="1768">
        <v>15419.05743904313</v>
      </c>
      <c r="E13" s="1769">
        <v>26357.711952965714</v>
      </c>
      <c r="F13" s="1770">
        <v>66101.286155163092</v>
      </c>
      <c r="G13" s="1769">
        <v>1.10565761594531</v>
      </c>
      <c r="H13" s="650">
        <f t="shared" si="2"/>
        <v>670509.97864915198</v>
      </c>
      <c r="I13" s="1770"/>
      <c r="J13" s="1769">
        <v>304.81641685889394</v>
      </c>
      <c r="K13" s="1770">
        <v>113037.41192269779</v>
      </c>
      <c r="L13" s="1771">
        <v>557167.75030959526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46" ht="15" x14ac:dyDescent="0.25">
      <c r="A14" s="1049">
        <v>2000</v>
      </c>
      <c r="B14" s="1050">
        <f t="shared" si="0"/>
        <v>866072.13672822504</v>
      </c>
      <c r="C14" s="368">
        <f t="shared" si="1"/>
        <v>125742.6973683028</v>
      </c>
      <c r="D14" s="323">
        <v>17480.373733486416</v>
      </c>
      <c r="E14" s="1051">
        <v>31943.38682911342</v>
      </c>
      <c r="F14" s="324">
        <v>76318.587485158496</v>
      </c>
      <c r="G14" s="1051">
        <v>0.34932054447149935</v>
      </c>
      <c r="H14" s="368">
        <f t="shared" si="2"/>
        <v>740329.43935992219</v>
      </c>
      <c r="I14" s="324"/>
      <c r="J14" s="1051">
        <v>356.35851458858718</v>
      </c>
      <c r="K14" s="324">
        <v>133233.19992662172</v>
      </c>
      <c r="L14" s="1052">
        <v>606739.88091871189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46" ht="15" x14ac:dyDescent="0.25">
      <c r="A15" s="1766">
        <v>2001</v>
      </c>
      <c r="B15" s="1767">
        <f t="shared" si="0"/>
        <v>862632.28368588316</v>
      </c>
      <c r="C15" s="650">
        <f t="shared" si="1"/>
        <v>101440.22575696744</v>
      </c>
      <c r="D15" s="1772">
        <v>2970.6099071370977</v>
      </c>
      <c r="E15" s="1773">
        <v>24206.749945621727</v>
      </c>
      <c r="F15" s="1774">
        <v>74262.865904208622</v>
      </c>
      <c r="G15" s="1773"/>
      <c r="H15" s="650">
        <f>SUM(I15:L15)</f>
        <v>761192.05792891572</v>
      </c>
      <c r="I15" s="1774"/>
      <c r="J15" s="1773">
        <v>370.99497996224608</v>
      </c>
      <c r="K15" s="1774">
        <v>142500.84567090322</v>
      </c>
      <c r="L15" s="1775">
        <v>618320.21727805026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46" ht="15" x14ac:dyDescent="0.25">
      <c r="A16" s="1049">
        <v>2002</v>
      </c>
      <c r="B16" s="1050">
        <f t="shared" si="0"/>
        <v>862228.11757443007</v>
      </c>
      <c r="C16" s="368">
        <f t="shared" si="1"/>
        <v>97685.027246002166</v>
      </c>
      <c r="D16" s="1058">
        <v>2899.5622299594179</v>
      </c>
      <c r="E16" s="1059">
        <v>20776.196119793658</v>
      </c>
      <c r="F16" s="1060">
        <v>74009.268896249094</v>
      </c>
      <c r="G16" s="1059"/>
      <c r="H16" s="368">
        <f>SUM(I16:L16)</f>
        <v>764543.09032842796</v>
      </c>
      <c r="I16" s="1060"/>
      <c r="J16" s="1059">
        <v>340.76138043594131</v>
      </c>
      <c r="K16" s="1060">
        <v>151870.41586342058</v>
      </c>
      <c r="L16" s="1061">
        <v>612331.91308457148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6" ht="15" x14ac:dyDescent="0.25">
      <c r="A17" s="1766">
        <v>2003</v>
      </c>
      <c r="B17" s="1767">
        <f>+H17+C17</f>
        <v>901096.17241545301</v>
      </c>
      <c r="C17" s="650">
        <f>SUM(D17:G17)</f>
        <v>89989.026017499913</v>
      </c>
      <c r="D17" s="1772">
        <v>3287.7235874724447</v>
      </c>
      <c r="E17" s="1773">
        <v>17961.788411639674</v>
      </c>
      <c r="F17" s="1774">
        <v>68739.514018387796</v>
      </c>
      <c r="G17" s="1773"/>
      <c r="H17" s="650">
        <f>SUM(I17:L17)</f>
        <v>811107.14639795315</v>
      </c>
      <c r="I17" s="1774"/>
      <c r="J17" s="1773">
        <v>311.67072032725486</v>
      </c>
      <c r="K17" s="1774">
        <v>163826.11960203198</v>
      </c>
      <c r="L17" s="1775">
        <v>646969.35607559397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6" ht="15" x14ac:dyDescent="0.25">
      <c r="A18" s="1049">
        <v>2004</v>
      </c>
      <c r="B18" s="1050">
        <f t="shared" si="0"/>
        <v>986870.11767828721</v>
      </c>
      <c r="C18" s="368">
        <f t="shared" si="1"/>
        <v>88872.410827747721</v>
      </c>
      <c r="D18" s="1058">
        <v>3683.5095223372091</v>
      </c>
      <c r="E18" s="1059">
        <v>13977.946197316949</v>
      </c>
      <c r="F18" s="1060">
        <v>71210.955108093563</v>
      </c>
      <c r="G18" s="1059"/>
      <c r="H18" s="368">
        <f t="shared" si="2"/>
        <v>897997.70685053943</v>
      </c>
      <c r="I18" s="1060"/>
      <c r="J18" s="1059">
        <v>1242.8690940243323</v>
      </c>
      <c r="K18" s="1060">
        <v>183802.05887898686</v>
      </c>
      <c r="L18" s="1061">
        <v>712952.77887752827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6" ht="15" x14ac:dyDescent="0.25">
      <c r="A19" s="1766">
        <v>2005</v>
      </c>
      <c r="B19" s="1767">
        <f t="shared" si="0"/>
        <v>1147775.8928376874</v>
      </c>
      <c r="C19" s="650">
        <f t="shared" si="1"/>
        <v>99638.871343217426</v>
      </c>
      <c r="D19" s="1772">
        <v>4636.3948278779644</v>
      </c>
      <c r="E19" s="1773">
        <v>15658.488919374646</v>
      </c>
      <c r="F19" s="1774">
        <v>79343.98759596482</v>
      </c>
      <c r="G19" s="1773"/>
      <c r="H19" s="650">
        <f t="shared" si="2"/>
        <v>1048137.0214944701</v>
      </c>
      <c r="I19" s="1774"/>
      <c r="J19" s="1773">
        <v>2905.8640836885861</v>
      </c>
      <c r="K19" s="1774">
        <v>226268.1076778982</v>
      </c>
      <c r="L19" s="1775">
        <v>818963.04973288323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6" ht="15" x14ac:dyDescent="0.25">
      <c r="A20" s="1049">
        <v>2006</v>
      </c>
      <c r="B20" s="1050">
        <f t="shared" si="0"/>
        <v>1222413.6377595204</v>
      </c>
      <c r="C20" s="368">
        <f t="shared" si="1"/>
        <v>101892.57380962497</v>
      </c>
      <c r="D20" s="1058">
        <v>5338.8389999683695</v>
      </c>
      <c r="E20" s="1059">
        <v>15238.968382169845</v>
      </c>
      <c r="F20" s="1060">
        <v>81314.766427486757</v>
      </c>
      <c r="G20" s="1059"/>
      <c r="H20" s="368">
        <f t="shared" si="2"/>
        <v>1120521.0639498956</v>
      </c>
      <c r="I20" s="1060"/>
      <c r="J20" s="1059">
        <v>3140.3209144372004</v>
      </c>
      <c r="K20" s="1060">
        <v>243797.53528287311</v>
      </c>
      <c r="L20" s="1061">
        <v>873583.20775258518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6" ht="15" x14ac:dyDescent="0.25">
      <c r="A21" s="1766">
        <v>2007</v>
      </c>
      <c r="B21" s="1767">
        <f t="shared" si="0"/>
        <v>1305447.8754961956</v>
      </c>
      <c r="C21" s="650">
        <f t="shared" si="1"/>
        <v>91758.397642161377</v>
      </c>
      <c r="D21" s="1772">
        <v>5813.5422557263873</v>
      </c>
      <c r="E21" s="1773">
        <v>7543.7139393363186</v>
      </c>
      <c r="F21" s="1774">
        <v>78401.141447098678</v>
      </c>
      <c r="G21" s="1773"/>
      <c r="H21" s="650">
        <f t="shared" si="2"/>
        <v>1213689.4778540342</v>
      </c>
      <c r="I21" s="1774"/>
      <c r="J21" s="1773">
        <v>4057.9086916543019</v>
      </c>
      <c r="K21" s="1774">
        <v>271794.00017439784</v>
      </c>
      <c r="L21" s="1775">
        <v>937837.568987982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6" ht="15" x14ac:dyDescent="0.25">
      <c r="A22" s="1049">
        <v>2008</v>
      </c>
      <c r="B22" s="1050">
        <f t="shared" si="0"/>
        <v>1501002.7378177985</v>
      </c>
      <c r="C22" s="368">
        <f t="shared" si="1"/>
        <v>107608.88207387061</v>
      </c>
      <c r="D22" s="1058">
        <v>5762.8709924165178</v>
      </c>
      <c r="E22" s="1059">
        <v>8648.3074696217445</v>
      </c>
      <c r="F22" s="1060">
        <v>93197.703611832345</v>
      </c>
      <c r="G22" s="1059"/>
      <c r="H22" s="368">
        <f t="shared" si="2"/>
        <v>1393393.8557439279</v>
      </c>
      <c r="I22" s="1060"/>
      <c r="J22" s="1059">
        <v>4026.4673853664908</v>
      </c>
      <c r="K22" s="1060">
        <v>318585.12070903782</v>
      </c>
      <c r="L22" s="1061">
        <v>1070782.2676495234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6" ht="15" x14ac:dyDescent="0.25">
      <c r="A23" s="1766">
        <v>2009</v>
      </c>
      <c r="B23" s="1767">
        <f t="shared" si="0"/>
        <v>1675664.7528214001</v>
      </c>
      <c r="C23" s="650">
        <f t="shared" si="1"/>
        <v>118749.05177280001</v>
      </c>
      <c r="D23" s="1772">
        <v>6087.1697834999995</v>
      </c>
      <c r="E23" s="1773">
        <v>13150.987824299998</v>
      </c>
      <c r="F23" s="1774">
        <v>99510.894165000005</v>
      </c>
      <c r="G23" s="1773"/>
      <c r="H23" s="650">
        <f t="shared" si="2"/>
        <v>1556915.7010486</v>
      </c>
      <c r="I23" s="1774"/>
      <c r="J23" s="1773">
        <v>3630.1733886000002</v>
      </c>
      <c r="K23" s="1774">
        <v>371047.12976000004</v>
      </c>
      <c r="L23" s="1775">
        <v>1182238.3979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6" ht="15" x14ac:dyDescent="0.25">
      <c r="A24" s="1062">
        <v>2010</v>
      </c>
      <c r="B24" s="1063">
        <f t="shared" si="0"/>
        <v>1841104.1163105767</v>
      </c>
      <c r="C24" s="385">
        <f t="shared" si="1"/>
        <v>122514.81330417127</v>
      </c>
      <c r="D24" s="1064">
        <v>695.18175194493529</v>
      </c>
      <c r="E24" s="1065">
        <v>14232.305048435535</v>
      </c>
      <c r="F24" s="1066">
        <v>107587.3265037908</v>
      </c>
      <c r="G24" s="1065"/>
      <c r="H24" s="385">
        <f t="shared" si="2"/>
        <v>1718589.3030064055</v>
      </c>
      <c r="I24" s="1066"/>
      <c r="J24" s="1065">
        <v>4064.4831102501812</v>
      </c>
      <c r="K24" s="1066">
        <v>424841.78563871951</v>
      </c>
      <c r="L24" s="1067">
        <v>1289683.0342574357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</row>
    <row r="25" spans="1:46" ht="15" x14ac:dyDescent="0.25">
      <c r="A25" s="1766">
        <v>2011</v>
      </c>
      <c r="B25" s="1767">
        <f>+H25+C25</f>
        <v>2130475.7425380684</v>
      </c>
      <c r="C25" s="650">
        <f>SUM(D25:G25)</f>
        <v>146073.32673288663</v>
      </c>
      <c r="D25" s="1772">
        <v>1617.295989696222</v>
      </c>
      <c r="E25" s="1773">
        <v>19895.69047478147</v>
      </c>
      <c r="F25" s="1774">
        <v>124560.34026840894</v>
      </c>
      <c r="G25" s="1773"/>
      <c r="H25" s="650">
        <f t="shared" si="2"/>
        <v>1984402.415805182</v>
      </c>
      <c r="I25" s="1774">
        <v>19.739717035154086</v>
      </c>
      <c r="J25" s="1773">
        <v>4565.9481917602752</v>
      </c>
      <c r="K25" s="1774">
        <v>514699.09877337317</v>
      </c>
      <c r="L25" s="1775">
        <v>1465117.6291230135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</row>
    <row r="26" spans="1:46" ht="15" x14ac:dyDescent="0.25">
      <c r="A26" s="1062">
        <v>2012</v>
      </c>
      <c r="B26" s="1063">
        <f>+H26+C26</f>
        <v>2474533.5608113483</v>
      </c>
      <c r="C26" s="385">
        <f>SUM(D26:G26)</f>
        <v>160857.30697259019</v>
      </c>
      <c r="D26" s="1064">
        <v>1728.861951200854</v>
      </c>
      <c r="E26" s="1065">
        <v>29340.567985530346</v>
      </c>
      <c r="F26" s="1066">
        <v>129787.87703585898</v>
      </c>
      <c r="G26" s="1065"/>
      <c r="H26" s="385">
        <f>SUM(I26:L26)</f>
        <v>2313676.253838758</v>
      </c>
      <c r="I26" s="1066">
        <v>142.07235007053396</v>
      </c>
      <c r="J26" s="1065">
        <v>5458.6424975267764</v>
      </c>
      <c r="K26" s="1066">
        <v>615710.61016465211</v>
      </c>
      <c r="L26" s="1067">
        <v>1692364.9288265083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</row>
    <row r="27" spans="1:46" ht="15" x14ac:dyDescent="0.25">
      <c r="A27" s="1766">
        <v>2013</v>
      </c>
      <c r="B27" s="1767">
        <f>+H27+C27</f>
        <v>2617787.5623977226</v>
      </c>
      <c r="C27" s="650">
        <f>SUM(D27:G27)</f>
        <v>185397.12191505037</v>
      </c>
      <c r="D27" s="1772">
        <v>3120.485735538472</v>
      </c>
      <c r="E27" s="1773">
        <v>34322.319666156247</v>
      </c>
      <c r="F27" s="1774">
        <v>147954.31651335565</v>
      </c>
      <c r="G27" s="1773"/>
      <c r="H27" s="650">
        <f>SUM(I27:L27)</f>
        <v>2432390.4404826723</v>
      </c>
      <c r="I27" s="1774">
        <v>170.66162683205602</v>
      </c>
      <c r="J27" s="1773">
        <v>3777.0219700719504</v>
      </c>
      <c r="K27" s="1774">
        <v>656049.28906136623</v>
      </c>
      <c r="L27" s="1775">
        <v>1772393.4678244018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</row>
    <row r="28" spans="1:46" ht="15" x14ac:dyDescent="0.25">
      <c r="A28" s="1062">
        <v>2014</v>
      </c>
      <c r="B28" s="1063">
        <f>+H28+C28</f>
        <v>2974214.4336703988</v>
      </c>
      <c r="C28" s="385">
        <f>SUM(D28:G28)</f>
        <v>185561.5864329187</v>
      </c>
      <c r="D28" s="1064">
        <v>4943.9865755482651</v>
      </c>
      <c r="E28" s="1065">
        <v>37652.332031992424</v>
      </c>
      <c r="F28" s="1066">
        <v>142965.26782537802</v>
      </c>
      <c r="G28" s="1065"/>
      <c r="H28" s="385">
        <f>SUM(I28:L28)</f>
        <v>2788652.8472374799</v>
      </c>
      <c r="I28" s="1066">
        <v>156.82957099999999</v>
      </c>
      <c r="J28" s="1065">
        <v>4098.5171049087321</v>
      </c>
      <c r="K28" s="1066">
        <v>763453.95834198094</v>
      </c>
      <c r="L28" s="1067">
        <v>2020943.5422195899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</row>
    <row r="29" spans="1:46" ht="15" x14ac:dyDescent="0.25">
      <c r="A29" s="1766" t="s">
        <v>136</v>
      </c>
      <c r="B29" s="1776">
        <v>3137958.6764348825</v>
      </c>
      <c r="C29" s="1777">
        <v>191469.97497541874</v>
      </c>
      <c r="D29" s="1774">
        <v>3515.6923288953149</v>
      </c>
      <c r="E29" s="1773">
        <v>41591.3878804142</v>
      </c>
      <c r="F29" s="1774">
        <v>146362.84594037838</v>
      </c>
      <c r="G29" s="1775"/>
      <c r="H29" s="1777">
        <v>2946488.7014594637</v>
      </c>
      <c r="I29" s="1774">
        <v>164.25551254566668</v>
      </c>
      <c r="J29" s="1773">
        <v>2810.3477158328419</v>
      </c>
      <c r="K29" s="1774">
        <v>855027.89583051007</v>
      </c>
      <c r="L29" s="1775">
        <v>2088486.2102605966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ht="14.25" customHeight="1" thickBot="1" x14ac:dyDescent="0.3">
      <c r="A30" s="1073"/>
      <c r="B30" s="1074"/>
      <c r="C30" s="437"/>
      <c r="D30" s="1075"/>
      <c r="E30" s="1076"/>
      <c r="F30" s="1077"/>
      <c r="G30" s="1076"/>
      <c r="H30" s="437"/>
      <c r="I30" s="1077"/>
      <c r="J30" s="1076"/>
      <c r="K30" s="1077"/>
      <c r="L30" s="1078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ht="18.75" customHeight="1" x14ac:dyDescent="0.25">
      <c r="A31" s="1080" t="s">
        <v>137</v>
      </c>
      <c r="B31" s="1081">
        <f>(B29/B28)-1</f>
        <v>5.5054619099003999E-2</v>
      </c>
      <c r="C31" s="1082">
        <f t="shared" ref="C31:L31" si="3">(C29/C28)-1</f>
        <v>3.1840580025629173E-2</v>
      </c>
      <c r="D31" s="1083">
        <f t="shared" si="3"/>
        <v>-0.28889525180285491</v>
      </c>
      <c r="E31" s="1082">
        <f t="shared" si="3"/>
        <v>0.10461651737998179</v>
      </c>
      <c r="F31" s="1083">
        <f t="shared" si="3"/>
        <v>2.3765059630778795E-2</v>
      </c>
      <c r="G31" s="1084"/>
      <c r="H31" s="1082">
        <f t="shared" si="3"/>
        <v>5.6599319767729694E-2</v>
      </c>
      <c r="I31" s="1083"/>
      <c r="J31" s="1082">
        <f t="shared" si="3"/>
        <v>-0.31430133292186802</v>
      </c>
      <c r="K31" s="1083">
        <f t="shared" si="3"/>
        <v>0.11994690247910089</v>
      </c>
      <c r="L31" s="1082">
        <f t="shared" si="3"/>
        <v>3.3421353258995534E-2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</row>
    <row r="32" spans="1:46" ht="18.75" customHeight="1" x14ac:dyDescent="0.25">
      <c r="A32" s="1778" t="s">
        <v>138</v>
      </c>
      <c r="B32" s="1779">
        <f>((B29/B24)^(1/5))-1</f>
        <v>0.11253523461372206</v>
      </c>
      <c r="C32" s="746">
        <f t="shared" ref="C32:L32" si="4">((C29/C24)^(1/5))-1</f>
        <v>9.3408424173906601E-2</v>
      </c>
      <c r="D32" s="1780">
        <f t="shared" si="4"/>
        <v>0.38287364399302493</v>
      </c>
      <c r="E32" s="746">
        <f t="shared" si="4"/>
        <v>0.23921206714325383</v>
      </c>
      <c r="F32" s="1780">
        <f t="shared" si="4"/>
        <v>6.3491311048804677E-2</v>
      </c>
      <c r="G32" s="1781"/>
      <c r="H32" s="746">
        <f t="shared" si="4"/>
        <v>0.11384955366980898</v>
      </c>
      <c r="I32" s="1780"/>
      <c r="J32" s="746">
        <f t="shared" si="4"/>
        <v>-7.1138533287421368E-2</v>
      </c>
      <c r="K32" s="1780">
        <f t="shared" si="4"/>
        <v>0.1501397456114244</v>
      </c>
      <c r="L32" s="746">
        <f t="shared" si="4"/>
        <v>0.10120893131826714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</row>
    <row r="33" spans="1:46" ht="18.75" customHeight="1" x14ac:dyDescent="0.25">
      <c r="A33" s="1085" t="s">
        <v>144</v>
      </c>
      <c r="B33" s="1086">
        <f>(B29/B19)-1</f>
        <v>1.7339471895308716</v>
      </c>
      <c r="C33" s="510">
        <f t="shared" ref="C33:L33" si="5">(C29/C19)-1</f>
        <v>0.92163934009126436</v>
      </c>
      <c r="D33" s="1087">
        <f t="shared" si="5"/>
        <v>-0.24171852065834198</v>
      </c>
      <c r="E33" s="510">
        <f t="shared" si="5"/>
        <v>1.6561559097156637</v>
      </c>
      <c r="F33" s="1087">
        <f t="shared" si="5"/>
        <v>0.84466208940350662</v>
      </c>
      <c r="G33" s="1088"/>
      <c r="H33" s="510">
        <f t="shared" si="5"/>
        <v>1.8111674724152556</v>
      </c>
      <c r="I33" s="1087"/>
      <c r="J33" s="510">
        <f t="shared" si="5"/>
        <v>-3.2870211787228376E-2</v>
      </c>
      <c r="K33" s="1087">
        <f t="shared" si="5"/>
        <v>2.7788263870031424</v>
      </c>
      <c r="L33" s="510">
        <f t="shared" si="5"/>
        <v>1.5501592665771513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46" ht="17.25" customHeight="1" thickBot="1" x14ac:dyDescent="0.3">
      <c r="A34" s="1782" t="s">
        <v>140</v>
      </c>
      <c r="B34" s="1783">
        <f>((B29/B19)^(1/10))-1</f>
        <v>0.1058061784211084</v>
      </c>
      <c r="C34" s="751">
        <f t="shared" ref="C34:L34" si="6">((C29/C19)^(1/10))-1</f>
        <v>6.7498290239779379E-2</v>
      </c>
      <c r="D34" s="1784">
        <f t="shared" si="6"/>
        <v>-2.7290752149479847E-2</v>
      </c>
      <c r="E34" s="751">
        <f t="shared" si="6"/>
        <v>0.10261870677150142</v>
      </c>
      <c r="F34" s="1784">
        <f t="shared" si="6"/>
        <v>6.3142995633449939E-2</v>
      </c>
      <c r="G34" s="1785"/>
      <c r="H34" s="751">
        <f t="shared" si="6"/>
        <v>0.10889052314841718</v>
      </c>
      <c r="I34" s="1784"/>
      <c r="J34" s="751">
        <f t="shared" si="6"/>
        <v>-3.336678389573744E-3</v>
      </c>
      <c r="K34" s="1784">
        <f t="shared" si="6"/>
        <v>0.14218300525355465</v>
      </c>
      <c r="L34" s="751">
        <f t="shared" si="6"/>
        <v>9.8137520355525476E-2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</row>
    <row r="35" spans="1:46" ht="15" x14ac:dyDescent="0.25">
      <c r="A35" s="319" t="s">
        <v>141</v>
      </c>
      <c r="B35" s="215"/>
      <c r="C35" s="215"/>
      <c r="D35" s="215"/>
      <c r="E35" s="215"/>
      <c r="F35" s="215"/>
      <c r="G35" s="162"/>
      <c r="H35" s="215"/>
      <c r="I35" s="162"/>
      <c r="J35" s="215"/>
      <c r="K35" s="215"/>
      <c r="L35" s="21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46" ht="15" x14ac:dyDescent="0.25">
      <c r="A36" s="349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46" ht="15" x14ac:dyDescent="0.25"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46" ht="15.75" x14ac:dyDescent="0.25">
      <c r="A38" s="350" t="s">
        <v>286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46" ht="15.75" thickBot="1" x14ac:dyDescent="0.3"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</row>
    <row r="40" spans="1:46" ht="15" x14ac:dyDescent="0.25">
      <c r="A40" s="1045" t="s">
        <v>132</v>
      </c>
      <c r="B40" s="482" t="s">
        <v>199</v>
      </c>
      <c r="C40" s="1406" t="s">
        <v>266</v>
      </c>
      <c r="D40" s="1375"/>
      <c r="E40" s="1375"/>
      <c r="F40" s="1379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</row>
    <row r="41" spans="1:46" ht="15.75" thickBot="1" x14ac:dyDescent="0.3">
      <c r="A41" s="354"/>
      <c r="B41" s="484"/>
      <c r="C41" s="864" t="s">
        <v>268</v>
      </c>
      <c r="D41" s="863" t="s">
        <v>269</v>
      </c>
      <c r="E41" s="485" t="s">
        <v>270</v>
      </c>
      <c r="F41" s="865" t="s">
        <v>271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</row>
    <row r="42" spans="1:46" ht="15" x14ac:dyDescent="0.25">
      <c r="A42" s="1089"/>
      <c r="B42" s="489"/>
      <c r="C42" s="648"/>
      <c r="D42" s="363"/>
      <c r="E42" s="360"/>
      <c r="F42" s="649"/>
      <c r="G42" s="16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</row>
    <row r="43" spans="1:46" ht="15" x14ac:dyDescent="0.25">
      <c r="A43" s="1766">
        <v>1995</v>
      </c>
      <c r="B43" s="1776">
        <f t="shared" ref="B43:B59" si="7">SUM(C43:F43)</f>
        <v>49896.810295752563</v>
      </c>
      <c r="C43" s="1786">
        <v>10206.950517839286</v>
      </c>
      <c r="D43" s="588">
        <v>6478.0243058822589</v>
      </c>
      <c r="E43" s="302">
        <v>32742.70999491524</v>
      </c>
      <c r="F43" s="757">
        <v>469.12547711577855</v>
      </c>
      <c r="G43" s="162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1:46" ht="15" x14ac:dyDescent="0.25">
      <c r="A44" s="1049">
        <v>1996</v>
      </c>
      <c r="B44" s="1090">
        <f t="shared" si="7"/>
        <v>70910.116548175167</v>
      </c>
      <c r="C44" s="470">
        <v>30680.104655908639</v>
      </c>
      <c r="D44" s="286">
        <v>10771.794070039641</v>
      </c>
      <c r="E44" s="290">
        <v>28763.339183339045</v>
      </c>
      <c r="F44" s="494">
        <v>694.87863888783386</v>
      </c>
      <c r="G44" s="162"/>
      <c r="H44" s="202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</row>
    <row r="45" spans="1:46" ht="15" x14ac:dyDescent="0.25">
      <c r="A45" s="1766">
        <v>1997</v>
      </c>
      <c r="B45" s="1776">
        <f t="shared" si="7"/>
        <v>160185.85702650671</v>
      </c>
      <c r="C45" s="1786">
        <v>96382.239901073452</v>
      </c>
      <c r="D45" s="588">
        <v>24594.755824591579</v>
      </c>
      <c r="E45" s="302">
        <v>38571.498811829646</v>
      </c>
      <c r="F45" s="757">
        <v>637.36248901204374</v>
      </c>
      <c r="G45" s="162"/>
      <c r="H45" s="202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</row>
    <row r="46" spans="1:46" ht="15" x14ac:dyDescent="0.25">
      <c r="A46" s="1049">
        <v>1998</v>
      </c>
      <c r="B46" s="1090">
        <f t="shared" si="7"/>
        <v>202083.97088961289</v>
      </c>
      <c r="C46" s="470">
        <v>99252.955809907915</v>
      </c>
      <c r="D46" s="286">
        <v>45211.538682197286</v>
      </c>
      <c r="E46" s="290">
        <v>57391.371824413967</v>
      </c>
      <c r="F46" s="494">
        <v>228.10457309369593</v>
      </c>
      <c r="G46" s="162"/>
      <c r="H46" s="202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</row>
    <row r="47" spans="1:46" ht="15" x14ac:dyDescent="0.25">
      <c r="A47" s="1766">
        <v>1999</v>
      </c>
      <c r="B47" s="1776">
        <f t="shared" si="7"/>
        <v>213570.22841279037</v>
      </c>
      <c r="C47" s="1786">
        <v>119194.54267203857</v>
      </c>
      <c r="D47" s="588">
        <v>48895.062977990012</v>
      </c>
      <c r="E47" s="302">
        <v>45480.62276276177</v>
      </c>
      <c r="F47" s="757"/>
      <c r="G47" s="162"/>
      <c r="H47" s="202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</row>
    <row r="48" spans="1:46" ht="15" x14ac:dyDescent="0.25">
      <c r="A48" s="1049">
        <v>2000</v>
      </c>
      <c r="B48" s="1090">
        <f t="shared" si="7"/>
        <v>246997.36354015436</v>
      </c>
      <c r="C48" s="470">
        <v>132207.31188690881</v>
      </c>
      <c r="D48" s="286">
        <v>55496.150192042784</v>
      </c>
      <c r="E48" s="290">
        <v>59293.901461202775</v>
      </c>
      <c r="F48" s="494"/>
      <c r="G48" s="162"/>
      <c r="H48" s="202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</row>
    <row r="49" spans="1:46" ht="15" x14ac:dyDescent="0.25">
      <c r="A49" s="1766">
        <v>2001</v>
      </c>
      <c r="B49" s="1776">
        <f t="shared" si="7"/>
        <v>276726.23015266506</v>
      </c>
      <c r="C49" s="1787">
        <v>158436.99355516551</v>
      </c>
      <c r="D49" s="656">
        <v>61930.509964147124</v>
      </c>
      <c r="E49" s="653">
        <v>56358.726633352431</v>
      </c>
      <c r="F49" s="654"/>
      <c r="G49" s="162"/>
      <c r="H49" s="202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</row>
    <row r="50" spans="1:46" ht="15" x14ac:dyDescent="0.25">
      <c r="A50" s="1049">
        <v>2002</v>
      </c>
      <c r="B50" s="1090">
        <f t="shared" si="7"/>
        <v>294839.04269330332</v>
      </c>
      <c r="C50" s="1093">
        <v>197213.13237481116</v>
      </c>
      <c r="D50" s="381">
        <v>50406.7309702645</v>
      </c>
      <c r="E50" s="382">
        <v>47219.179348227641</v>
      </c>
      <c r="F50" s="372"/>
      <c r="G50" s="162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</row>
    <row r="51" spans="1:46" ht="15" x14ac:dyDescent="0.25">
      <c r="A51" s="1766">
        <v>2003</v>
      </c>
      <c r="B51" s="1776">
        <f t="shared" si="7"/>
        <v>316113.97125522856</v>
      </c>
      <c r="C51" s="1787">
        <v>210982.06786323318</v>
      </c>
      <c r="D51" s="656">
        <v>49267.438299733047</v>
      </c>
      <c r="E51" s="653">
        <v>55864.465092262326</v>
      </c>
      <c r="F51" s="654"/>
      <c r="G51" s="162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</row>
    <row r="52" spans="1:46" ht="15" x14ac:dyDescent="0.25">
      <c r="A52" s="1049">
        <v>2004</v>
      </c>
      <c r="B52" s="1090">
        <f t="shared" si="7"/>
        <v>395429.89413182059</v>
      </c>
      <c r="C52" s="1093">
        <v>261255.98470504212</v>
      </c>
      <c r="D52" s="381">
        <v>61011.540167489453</v>
      </c>
      <c r="E52" s="382">
        <v>73162.369259288986</v>
      </c>
      <c r="F52" s="372"/>
      <c r="G52" s="16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</row>
    <row r="53" spans="1:46" ht="15" x14ac:dyDescent="0.25">
      <c r="A53" s="1766">
        <v>2005</v>
      </c>
      <c r="B53" s="1776">
        <f t="shared" si="7"/>
        <v>431433.37825869262</v>
      </c>
      <c r="C53" s="1787">
        <v>280004.19455672603</v>
      </c>
      <c r="D53" s="656">
        <v>63093.203619105887</v>
      </c>
      <c r="E53" s="653">
        <v>88335.980082860755</v>
      </c>
      <c r="F53" s="654"/>
      <c r="G53" s="162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</row>
    <row r="54" spans="1:46" ht="15" x14ac:dyDescent="0.25">
      <c r="A54" s="1049">
        <v>2006</v>
      </c>
      <c r="B54" s="1090">
        <f t="shared" si="7"/>
        <v>460755.2665463867</v>
      </c>
      <c r="C54" s="1093">
        <v>304813.86623914941</v>
      </c>
      <c r="D54" s="381">
        <v>74210.640254003127</v>
      </c>
      <c r="E54" s="382">
        <v>81730.76005323416</v>
      </c>
      <c r="F54" s="372"/>
      <c r="G54" s="162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ht="15" x14ac:dyDescent="0.25">
      <c r="A55" s="1766">
        <v>2007</v>
      </c>
      <c r="B55" s="1776">
        <f t="shared" si="7"/>
        <v>525183.78793804673</v>
      </c>
      <c r="C55" s="1787">
        <v>364077.87930127024</v>
      </c>
      <c r="D55" s="656">
        <v>78810.904199725235</v>
      </c>
      <c r="E55" s="653">
        <v>82295.004437051291</v>
      </c>
      <c r="F55" s="654"/>
      <c r="G55" s="162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ht="15" x14ac:dyDescent="0.25">
      <c r="A56" s="1049">
        <v>2008</v>
      </c>
      <c r="B56" s="1090">
        <f t="shared" si="7"/>
        <v>715097.23536556808</v>
      </c>
      <c r="C56" s="1093">
        <v>482734.09556550649</v>
      </c>
      <c r="D56" s="381">
        <v>109806.18431818418</v>
      </c>
      <c r="E56" s="382">
        <v>122556.95548187746</v>
      </c>
      <c r="F56" s="372"/>
      <c r="G56" s="162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</row>
    <row r="57" spans="1:46" ht="15" x14ac:dyDescent="0.25">
      <c r="A57" s="1766">
        <v>2009</v>
      </c>
      <c r="B57" s="1776">
        <f t="shared" si="7"/>
        <v>560393.40099600004</v>
      </c>
      <c r="C57" s="1787">
        <v>391283.16797000001</v>
      </c>
      <c r="D57" s="656">
        <v>74718.842819999991</v>
      </c>
      <c r="E57" s="653">
        <v>94391.390206000011</v>
      </c>
      <c r="F57" s="654"/>
      <c r="G57" s="162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</row>
    <row r="58" spans="1:46" ht="15" x14ac:dyDescent="0.25">
      <c r="A58" s="1062">
        <v>2010</v>
      </c>
      <c r="B58" s="1094">
        <f t="shared" si="7"/>
        <v>607430.91189238196</v>
      </c>
      <c r="C58" s="1095">
        <v>432611.91890698479</v>
      </c>
      <c r="D58" s="389">
        <v>68142.216057264406</v>
      </c>
      <c r="E58" s="388">
        <v>106676.77692813272</v>
      </c>
      <c r="F58" s="391"/>
      <c r="G58" s="162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</row>
    <row r="59" spans="1:46" ht="23.25" x14ac:dyDescent="0.35">
      <c r="A59" s="1766">
        <v>2011</v>
      </c>
      <c r="B59" s="1788"/>
      <c r="C59" s="1787">
        <v>498129.39336155937</v>
      </c>
      <c r="D59" s="656">
        <v>95249.582749750451</v>
      </c>
      <c r="E59" s="653">
        <v>136536.83670941822</v>
      </c>
      <c r="F59" s="654"/>
      <c r="G59" s="162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</row>
    <row r="60" spans="1:46" ht="15" x14ac:dyDescent="0.25">
      <c r="A60" s="1062">
        <v>2012</v>
      </c>
      <c r="B60" s="1094">
        <f>SUM(C60:F60)</f>
        <v>824591.93851566571</v>
      </c>
      <c r="C60" s="1095">
        <v>576207.46184354858</v>
      </c>
      <c r="D60" s="389">
        <v>105280.54245758483</v>
      </c>
      <c r="E60" s="388">
        <v>143103.9342145322</v>
      </c>
      <c r="F60" s="391"/>
      <c r="G60" s="162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</row>
    <row r="61" spans="1:46" ht="15" x14ac:dyDescent="0.25">
      <c r="A61" s="1766">
        <v>2013</v>
      </c>
      <c r="B61" s="1776">
        <f>SUM(C61:F61)</f>
        <v>918560.29170848709</v>
      </c>
      <c r="C61" s="1787">
        <v>641136.23393060267</v>
      </c>
      <c r="D61" s="656">
        <v>152045.20672318857</v>
      </c>
      <c r="E61" s="653">
        <v>125378.85105469593</v>
      </c>
      <c r="F61" s="654"/>
      <c r="G61" s="162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2" spans="1:46" ht="15" x14ac:dyDescent="0.25">
      <c r="A62" s="1062">
        <v>2014</v>
      </c>
      <c r="B62" s="1094">
        <f>SUM(C62:F62)</f>
        <v>1051131.6818032635</v>
      </c>
      <c r="C62" s="1095">
        <v>755021.81265822053</v>
      </c>
      <c r="D62" s="389">
        <v>171604.57618886617</v>
      </c>
      <c r="E62" s="388">
        <v>124505.29295617683</v>
      </c>
      <c r="F62" s="391"/>
      <c r="G62" s="1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</row>
    <row r="63" spans="1:46" ht="15" x14ac:dyDescent="0.25">
      <c r="A63" s="1766" t="s">
        <v>136</v>
      </c>
      <c r="B63" s="1776">
        <v>1128104.3490953064</v>
      </c>
      <c r="C63" s="1789">
        <v>857616.79135431314</v>
      </c>
      <c r="D63" s="653">
        <v>134400.18301018589</v>
      </c>
      <c r="E63" s="1790">
        <v>136087.37473080723</v>
      </c>
      <c r="F63" s="654"/>
      <c r="G63" s="162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</row>
    <row r="64" spans="1:46" ht="13.5" customHeight="1" thickBot="1" x14ac:dyDescent="0.3">
      <c r="A64" s="1073"/>
      <c r="B64" s="1096"/>
      <c r="C64" s="1097"/>
      <c r="D64" s="1076"/>
      <c r="E64" s="1077"/>
      <c r="F64" s="1078"/>
      <c r="G64" s="162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</row>
    <row r="65" spans="1:46" ht="18.75" customHeight="1" x14ac:dyDescent="0.25">
      <c r="A65" s="1695" t="s">
        <v>137</v>
      </c>
      <c r="B65" s="1791">
        <f>(B63/B62)-1</f>
        <v>7.3228377209592521E-2</v>
      </c>
      <c r="C65" s="1792">
        <f>(C63/C62)-1</f>
        <v>0.13588346320073108</v>
      </c>
      <c r="D65" s="1793">
        <f>(D63/D62)-1</f>
        <v>-0.2168030364046557</v>
      </c>
      <c r="E65" s="1793">
        <f>(E63/E62)-1</f>
        <v>9.302481444469235E-2</v>
      </c>
      <c r="F65" s="1098"/>
      <c r="G65" s="162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</row>
    <row r="66" spans="1:46" ht="18.75" customHeight="1" x14ac:dyDescent="0.25">
      <c r="A66" s="889" t="s">
        <v>138</v>
      </c>
      <c r="B66" s="1099">
        <f>((B63/B58)^(1/5))-1</f>
        <v>0.1318020516708871</v>
      </c>
      <c r="C66" s="1100">
        <f>((C63/C58)^(1/5))-1</f>
        <v>0.14667134302925566</v>
      </c>
      <c r="D66" s="1101">
        <f>((D63/D58)^(1/5))-1</f>
        <v>0.14550429366047024</v>
      </c>
      <c r="E66" s="1101">
        <f>((E63/E58)^(1/5))-1</f>
        <v>4.9903999428034584E-2</v>
      </c>
      <c r="F66" s="1102"/>
      <c r="G66" s="162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</row>
    <row r="67" spans="1:46" ht="18.75" customHeight="1" x14ac:dyDescent="0.25">
      <c r="A67" s="1697" t="s">
        <v>144</v>
      </c>
      <c r="B67" s="1794">
        <f>(B63/B53)-1</f>
        <v>1.6147822721747818</v>
      </c>
      <c r="C67" s="1795">
        <f>(C63/C53)-1</f>
        <v>2.0628712284542887</v>
      </c>
      <c r="D67" s="1796">
        <f>(D63/D53)-1</f>
        <v>1.1301847948879051</v>
      </c>
      <c r="E67" s="1796">
        <f>(E63/E53)-1</f>
        <v>0.54056562912592132</v>
      </c>
      <c r="F67" s="1102"/>
      <c r="G67" s="162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</row>
    <row r="68" spans="1:46" ht="16.5" customHeight="1" thickBot="1" x14ac:dyDescent="0.3">
      <c r="A68" s="896" t="s">
        <v>140</v>
      </c>
      <c r="B68" s="1103">
        <f>((B63/B53)^(1/10))-1</f>
        <v>0.10088905292386863</v>
      </c>
      <c r="C68" s="1104">
        <f>((C63/C53)^(1/10))-1</f>
        <v>0.11844047126704105</v>
      </c>
      <c r="D68" s="1105">
        <f>((D63/D53)^(1/10))-1</f>
        <v>7.8553588291721432E-2</v>
      </c>
      <c r="E68" s="1105">
        <f>((E63/E53)^(1/10))-1</f>
        <v>4.4162328103758419E-2</v>
      </c>
      <c r="F68" s="337"/>
      <c r="G68" s="162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</row>
    <row r="69" spans="1:46" ht="15" customHeight="1" x14ac:dyDescent="0.25">
      <c r="A69" s="319" t="s">
        <v>141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</row>
    <row r="70" spans="1:46" ht="15" x14ac:dyDescent="0.25">
      <c r="A70" s="319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</row>
    <row r="71" spans="1:46" ht="15" x14ac:dyDescent="0.25"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</row>
    <row r="72" spans="1:46" ht="15" x14ac:dyDescent="0.25"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</row>
    <row r="73" spans="1:46" ht="15" x14ac:dyDescent="0.25"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</row>
    <row r="74" spans="1:46" ht="15" x14ac:dyDescent="0.25">
      <c r="J74" s="1079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</row>
    <row r="75" spans="1:46" ht="15" x14ac:dyDescent="0.25">
      <c r="J75" s="1079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</row>
    <row r="76" spans="1:46" ht="15" x14ac:dyDescent="0.25">
      <c r="J76" s="1079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</row>
    <row r="77" spans="1:46" ht="15" x14ac:dyDescent="0.25">
      <c r="J77" s="1079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</row>
    <row r="78" spans="1:46" x14ac:dyDescent="0.2">
      <c r="J78" s="1079"/>
    </row>
  </sheetData>
  <autoFilter ref="A2:A78"/>
  <mergeCells count="3">
    <mergeCell ref="C6:G6"/>
    <mergeCell ref="H6:L6"/>
    <mergeCell ref="C40:F40"/>
  </mergeCells>
  <printOptions horizontalCentered="1"/>
  <pageMargins left="0.39370078740157483" right="0.11811023622047245" top="0.62992125984251968" bottom="0.39370078740157483" header="0" footer="0"/>
  <pageSetup paperSize="9" scale="5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3"/>
  <sheetViews>
    <sheetView view="pageBreakPreview" zoomScaleNormal="75" zoomScaleSheetLayoutView="100" workbookViewId="0">
      <selection activeCell="C35" sqref="C35"/>
    </sheetView>
  </sheetViews>
  <sheetFormatPr baseColWidth="10" defaultRowHeight="12.75" x14ac:dyDescent="0.2"/>
  <cols>
    <col min="1" max="1" width="4.42578125" style="573" customWidth="1"/>
    <col min="2" max="2" width="22.140625" style="157" customWidth="1"/>
    <col min="3" max="3" width="15" style="157" customWidth="1"/>
    <col min="4" max="4" width="13.28515625" style="157" customWidth="1"/>
    <col min="5" max="5" width="14.42578125" style="157" customWidth="1"/>
    <col min="6" max="6" width="14" style="157" customWidth="1"/>
    <col min="7" max="7" width="11" style="157" customWidth="1"/>
    <col min="8" max="8" width="12.42578125" style="157" customWidth="1"/>
    <col min="9" max="9" width="11.7109375" style="157" customWidth="1"/>
    <col min="10" max="10" width="11" style="157" customWidth="1"/>
    <col min="11" max="11" width="12.28515625" style="157" customWidth="1"/>
    <col min="12" max="18" width="11.42578125" style="157"/>
    <col min="19" max="19" width="14" style="157" customWidth="1"/>
    <col min="20" max="22" width="12.85546875" style="157" bestFit="1" customWidth="1"/>
    <col min="23" max="256" width="11.42578125" style="157"/>
    <col min="257" max="257" width="4.42578125" style="157" customWidth="1"/>
    <col min="258" max="258" width="22.140625" style="157" customWidth="1"/>
    <col min="259" max="259" width="15" style="157" customWidth="1"/>
    <col min="260" max="260" width="13.28515625" style="157" customWidth="1"/>
    <col min="261" max="261" width="14.42578125" style="157" customWidth="1"/>
    <col min="262" max="262" width="14" style="157" customWidth="1"/>
    <col min="263" max="263" width="11" style="157" customWidth="1"/>
    <col min="264" max="264" width="12.42578125" style="157" customWidth="1"/>
    <col min="265" max="265" width="11.7109375" style="157" customWidth="1"/>
    <col min="266" max="266" width="11" style="157" customWidth="1"/>
    <col min="267" max="267" width="12.28515625" style="157" customWidth="1"/>
    <col min="268" max="274" width="11.42578125" style="157"/>
    <col min="275" max="275" width="14" style="157" customWidth="1"/>
    <col min="276" max="278" width="12.85546875" style="157" bestFit="1" customWidth="1"/>
    <col min="279" max="512" width="11.42578125" style="157"/>
    <col min="513" max="513" width="4.42578125" style="157" customWidth="1"/>
    <col min="514" max="514" width="22.140625" style="157" customWidth="1"/>
    <col min="515" max="515" width="15" style="157" customWidth="1"/>
    <col min="516" max="516" width="13.28515625" style="157" customWidth="1"/>
    <col min="517" max="517" width="14.42578125" style="157" customWidth="1"/>
    <col min="518" max="518" width="14" style="157" customWidth="1"/>
    <col min="519" max="519" width="11" style="157" customWidth="1"/>
    <col min="520" max="520" width="12.42578125" style="157" customWidth="1"/>
    <col min="521" max="521" width="11.7109375" style="157" customWidth="1"/>
    <col min="522" max="522" width="11" style="157" customWidth="1"/>
    <col min="523" max="523" width="12.28515625" style="157" customWidth="1"/>
    <col min="524" max="530" width="11.42578125" style="157"/>
    <col min="531" max="531" width="14" style="157" customWidth="1"/>
    <col min="532" max="534" width="12.85546875" style="157" bestFit="1" customWidth="1"/>
    <col min="535" max="768" width="11.42578125" style="157"/>
    <col min="769" max="769" width="4.42578125" style="157" customWidth="1"/>
    <col min="770" max="770" width="22.140625" style="157" customWidth="1"/>
    <col min="771" max="771" width="15" style="157" customWidth="1"/>
    <col min="772" max="772" width="13.28515625" style="157" customWidth="1"/>
    <col min="773" max="773" width="14.42578125" style="157" customWidth="1"/>
    <col min="774" max="774" width="14" style="157" customWidth="1"/>
    <col min="775" max="775" width="11" style="157" customWidth="1"/>
    <col min="776" max="776" width="12.42578125" style="157" customWidth="1"/>
    <col min="777" max="777" width="11.7109375" style="157" customWidth="1"/>
    <col min="778" max="778" width="11" style="157" customWidth="1"/>
    <col min="779" max="779" width="12.28515625" style="157" customWidth="1"/>
    <col min="780" max="786" width="11.42578125" style="157"/>
    <col min="787" max="787" width="14" style="157" customWidth="1"/>
    <col min="788" max="790" width="12.85546875" style="157" bestFit="1" customWidth="1"/>
    <col min="791" max="1024" width="11.42578125" style="157"/>
    <col min="1025" max="1025" width="4.42578125" style="157" customWidth="1"/>
    <col min="1026" max="1026" width="22.140625" style="157" customWidth="1"/>
    <col min="1027" max="1027" width="15" style="157" customWidth="1"/>
    <col min="1028" max="1028" width="13.28515625" style="157" customWidth="1"/>
    <col min="1029" max="1029" width="14.42578125" style="157" customWidth="1"/>
    <col min="1030" max="1030" width="14" style="157" customWidth="1"/>
    <col min="1031" max="1031" width="11" style="157" customWidth="1"/>
    <col min="1032" max="1032" width="12.42578125" style="157" customWidth="1"/>
    <col min="1033" max="1033" width="11.7109375" style="157" customWidth="1"/>
    <col min="1034" max="1034" width="11" style="157" customWidth="1"/>
    <col min="1035" max="1035" width="12.28515625" style="157" customWidth="1"/>
    <col min="1036" max="1042" width="11.42578125" style="157"/>
    <col min="1043" max="1043" width="14" style="157" customWidth="1"/>
    <col min="1044" max="1046" width="12.85546875" style="157" bestFit="1" customWidth="1"/>
    <col min="1047" max="1280" width="11.42578125" style="157"/>
    <col min="1281" max="1281" width="4.42578125" style="157" customWidth="1"/>
    <col min="1282" max="1282" width="22.140625" style="157" customWidth="1"/>
    <col min="1283" max="1283" width="15" style="157" customWidth="1"/>
    <col min="1284" max="1284" width="13.28515625" style="157" customWidth="1"/>
    <col min="1285" max="1285" width="14.42578125" style="157" customWidth="1"/>
    <col min="1286" max="1286" width="14" style="157" customWidth="1"/>
    <col min="1287" max="1287" width="11" style="157" customWidth="1"/>
    <col min="1288" max="1288" width="12.42578125" style="157" customWidth="1"/>
    <col min="1289" max="1289" width="11.7109375" style="157" customWidth="1"/>
    <col min="1290" max="1290" width="11" style="157" customWidth="1"/>
    <col min="1291" max="1291" width="12.28515625" style="157" customWidth="1"/>
    <col min="1292" max="1298" width="11.42578125" style="157"/>
    <col min="1299" max="1299" width="14" style="157" customWidth="1"/>
    <col min="1300" max="1302" width="12.85546875" style="157" bestFit="1" customWidth="1"/>
    <col min="1303" max="1536" width="11.42578125" style="157"/>
    <col min="1537" max="1537" width="4.42578125" style="157" customWidth="1"/>
    <col min="1538" max="1538" width="22.140625" style="157" customWidth="1"/>
    <col min="1539" max="1539" width="15" style="157" customWidth="1"/>
    <col min="1540" max="1540" width="13.28515625" style="157" customWidth="1"/>
    <col min="1541" max="1541" width="14.42578125" style="157" customWidth="1"/>
    <col min="1542" max="1542" width="14" style="157" customWidth="1"/>
    <col min="1543" max="1543" width="11" style="157" customWidth="1"/>
    <col min="1544" max="1544" width="12.42578125" style="157" customWidth="1"/>
    <col min="1545" max="1545" width="11.7109375" style="157" customWidth="1"/>
    <col min="1546" max="1546" width="11" style="157" customWidth="1"/>
    <col min="1547" max="1547" width="12.28515625" style="157" customWidth="1"/>
    <col min="1548" max="1554" width="11.42578125" style="157"/>
    <col min="1555" max="1555" width="14" style="157" customWidth="1"/>
    <col min="1556" max="1558" width="12.85546875" style="157" bestFit="1" customWidth="1"/>
    <col min="1559" max="1792" width="11.42578125" style="157"/>
    <col min="1793" max="1793" width="4.42578125" style="157" customWidth="1"/>
    <col min="1794" max="1794" width="22.140625" style="157" customWidth="1"/>
    <col min="1795" max="1795" width="15" style="157" customWidth="1"/>
    <col min="1796" max="1796" width="13.28515625" style="157" customWidth="1"/>
    <col min="1797" max="1797" width="14.42578125" style="157" customWidth="1"/>
    <col min="1798" max="1798" width="14" style="157" customWidth="1"/>
    <col min="1799" max="1799" width="11" style="157" customWidth="1"/>
    <col min="1800" max="1800" width="12.42578125" style="157" customWidth="1"/>
    <col min="1801" max="1801" width="11.7109375" style="157" customWidth="1"/>
    <col min="1802" max="1802" width="11" style="157" customWidth="1"/>
    <col min="1803" max="1803" width="12.28515625" style="157" customWidth="1"/>
    <col min="1804" max="1810" width="11.42578125" style="157"/>
    <col min="1811" max="1811" width="14" style="157" customWidth="1"/>
    <col min="1812" max="1814" width="12.85546875" style="157" bestFit="1" customWidth="1"/>
    <col min="1815" max="2048" width="11.42578125" style="157"/>
    <col min="2049" max="2049" width="4.42578125" style="157" customWidth="1"/>
    <col min="2050" max="2050" width="22.140625" style="157" customWidth="1"/>
    <col min="2051" max="2051" width="15" style="157" customWidth="1"/>
    <col min="2052" max="2052" width="13.28515625" style="157" customWidth="1"/>
    <col min="2053" max="2053" width="14.42578125" style="157" customWidth="1"/>
    <col min="2054" max="2054" width="14" style="157" customWidth="1"/>
    <col min="2055" max="2055" width="11" style="157" customWidth="1"/>
    <col min="2056" max="2056" width="12.42578125" style="157" customWidth="1"/>
    <col min="2057" max="2057" width="11.7109375" style="157" customWidth="1"/>
    <col min="2058" max="2058" width="11" style="157" customWidth="1"/>
    <col min="2059" max="2059" width="12.28515625" style="157" customWidth="1"/>
    <col min="2060" max="2066" width="11.42578125" style="157"/>
    <col min="2067" max="2067" width="14" style="157" customWidth="1"/>
    <col min="2068" max="2070" width="12.85546875" style="157" bestFit="1" customWidth="1"/>
    <col min="2071" max="2304" width="11.42578125" style="157"/>
    <col min="2305" max="2305" width="4.42578125" style="157" customWidth="1"/>
    <col min="2306" max="2306" width="22.140625" style="157" customWidth="1"/>
    <col min="2307" max="2307" width="15" style="157" customWidth="1"/>
    <col min="2308" max="2308" width="13.28515625" style="157" customWidth="1"/>
    <col min="2309" max="2309" width="14.42578125" style="157" customWidth="1"/>
    <col min="2310" max="2310" width="14" style="157" customWidth="1"/>
    <col min="2311" max="2311" width="11" style="157" customWidth="1"/>
    <col min="2312" max="2312" width="12.42578125" style="157" customWidth="1"/>
    <col min="2313" max="2313" width="11.7109375" style="157" customWidth="1"/>
    <col min="2314" max="2314" width="11" style="157" customWidth="1"/>
    <col min="2315" max="2315" width="12.28515625" style="157" customWidth="1"/>
    <col min="2316" max="2322" width="11.42578125" style="157"/>
    <col min="2323" max="2323" width="14" style="157" customWidth="1"/>
    <col min="2324" max="2326" width="12.85546875" style="157" bestFit="1" customWidth="1"/>
    <col min="2327" max="2560" width="11.42578125" style="157"/>
    <col min="2561" max="2561" width="4.42578125" style="157" customWidth="1"/>
    <col min="2562" max="2562" width="22.140625" style="157" customWidth="1"/>
    <col min="2563" max="2563" width="15" style="157" customWidth="1"/>
    <col min="2564" max="2564" width="13.28515625" style="157" customWidth="1"/>
    <col min="2565" max="2565" width="14.42578125" style="157" customWidth="1"/>
    <col min="2566" max="2566" width="14" style="157" customWidth="1"/>
    <col min="2567" max="2567" width="11" style="157" customWidth="1"/>
    <col min="2568" max="2568" width="12.42578125" style="157" customWidth="1"/>
    <col min="2569" max="2569" width="11.7109375" style="157" customWidth="1"/>
    <col min="2570" max="2570" width="11" style="157" customWidth="1"/>
    <col min="2571" max="2571" width="12.28515625" style="157" customWidth="1"/>
    <col min="2572" max="2578" width="11.42578125" style="157"/>
    <col min="2579" max="2579" width="14" style="157" customWidth="1"/>
    <col min="2580" max="2582" width="12.85546875" style="157" bestFit="1" customWidth="1"/>
    <col min="2583" max="2816" width="11.42578125" style="157"/>
    <col min="2817" max="2817" width="4.42578125" style="157" customWidth="1"/>
    <col min="2818" max="2818" width="22.140625" style="157" customWidth="1"/>
    <col min="2819" max="2819" width="15" style="157" customWidth="1"/>
    <col min="2820" max="2820" width="13.28515625" style="157" customWidth="1"/>
    <col min="2821" max="2821" width="14.42578125" style="157" customWidth="1"/>
    <col min="2822" max="2822" width="14" style="157" customWidth="1"/>
    <col min="2823" max="2823" width="11" style="157" customWidth="1"/>
    <col min="2824" max="2824" width="12.42578125" style="157" customWidth="1"/>
    <col min="2825" max="2825" width="11.7109375" style="157" customWidth="1"/>
    <col min="2826" max="2826" width="11" style="157" customWidth="1"/>
    <col min="2827" max="2827" width="12.28515625" style="157" customWidth="1"/>
    <col min="2828" max="2834" width="11.42578125" style="157"/>
    <col min="2835" max="2835" width="14" style="157" customWidth="1"/>
    <col min="2836" max="2838" width="12.85546875" style="157" bestFit="1" customWidth="1"/>
    <col min="2839" max="3072" width="11.42578125" style="157"/>
    <col min="3073" max="3073" width="4.42578125" style="157" customWidth="1"/>
    <col min="3074" max="3074" width="22.140625" style="157" customWidth="1"/>
    <col min="3075" max="3075" width="15" style="157" customWidth="1"/>
    <col min="3076" max="3076" width="13.28515625" style="157" customWidth="1"/>
    <col min="3077" max="3077" width="14.42578125" style="157" customWidth="1"/>
    <col min="3078" max="3078" width="14" style="157" customWidth="1"/>
    <col min="3079" max="3079" width="11" style="157" customWidth="1"/>
    <col min="3080" max="3080" width="12.42578125" style="157" customWidth="1"/>
    <col min="3081" max="3081" width="11.7109375" style="157" customWidth="1"/>
    <col min="3082" max="3082" width="11" style="157" customWidth="1"/>
    <col min="3083" max="3083" width="12.28515625" style="157" customWidth="1"/>
    <col min="3084" max="3090" width="11.42578125" style="157"/>
    <col min="3091" max="3091" width="14" style="157" customWidth="1"/>
    <col min="3092" max="3094" width="12.85546875" style="157" bestFit="1" customWidth="1"/>
    <col min="3095" max="3328" width="11.42578125" style="157"/>
    <col min="3329" max="3329" width="4.42578125" style="157" customWidth="1"/>
    <col min="3330" max="3330" width="22.140625" style="157" customWidth="1"/>
    <col min="3331" max="3331" width="15" style="157" customWidth="1"/>
    <col min="3332" max="3332" width="13.28515625" style="157" customWidth="1"/>
    <col min="3333" max="3333" width="14.42578125" style="157" customWidth="1"/>
    <col min="3334" max="3334" width="14" style="157" customWidth="1"/>
    <col min="3335" max="3335" width="11" style="157" customWidth="1"/>
    <col min="3336" max="3336" width="12.42578125" style="157" customWidth="1"/>
    <col min="3337" max="3337" width="11.7109375" style="157" customWidth="1"/>
    <col min="3338" max="3338" width="11" style="157" customWidth="1"/>
    <col min="3339" max="3339" width="12.28515625" style="157" customWidth="1"/>
    <col min="3340" max="3346" width="11.42578125" style="157"/>
    <col min="3347" max="3347" width="14" style="157" customWidth="1"/>
    <col min="3348" max="3350" width="12.85546875" style="157" bestFit="1" customWidth="1"/>
    <col min="3351" max="3584" width="11.42578125" style="157"/>
    <col min="3585" max="3585" width="4.42578125" style="157" customWidth="1"/>
    <col min="3586" max="3586" width="22.140625" style="157" customWidth="1"/>
    <col min="3587" max="3587" width="15" style="157" customWidth="1"/>
    <col min="3588" max="3588" width="13.28515625" style="157" customWidth="1"/>
    <col min="3589" max="3589" width="14.42578125" style="157" customWidth="1"/>
    <col min="3590" max="3590" width="14" style="157" customWidth="1"/>
    <col min="3591" max="3591" width="11" style="157" customWidth="1"/>
    <col min="3592" max="3592" width="12.42578125" style="157" customWidth="1"/>
    <col min="3593" max="3593" width="11.7109375" style="157" customWidth="1"/>
    <col min="3594" max="3594" width="11" style="157" customWidth="1"/>
    <col min="3595" max="3595" width="12.28515625" style="157" customWidth="1"/>
    <col min="3596" max="3602" width="11.42578125" style="157"/>
    <col min="3603" max="3603" width="14" style="157" customWidth="1"/>
    <col min="3604" max="3606" width="12.85546875" style="157" bestFit="1" customWidth="1"/>
    <col min="3607" max="3840" width="11.42578125" style="157"/>
    <col min="3841" max="3841" width="4.42578125" style="157" customWidth="1"/>
    <col min="3842" max="3842" width="22.140625" style="157" customWidth="1"/>
    <col min="3843" max="3843" width="15" style="157" customWidth="1"/>
    <col min="3844" max="3844" width="13.28515625" style="157" customWidth="1"/>
    <col min="3845" max="3845" width="14.42578125" style="157" customWidth="1"/>
    <col min="3846" max="3846" width="14" style="157" customWidth="1"/>
    <col min="3847" max="3847" width="11" style="157" customWidth="1"/>
    <col min="3848" max="3848" width="12.42578125" style="157" customWidth="1"/>
    <col min="3849" max="3849" width="11.7109375" style="157" customWidth="1"/>
    <col min="3850" max="3850" width="11" style="157" customWidth="1"/>
    <col min="3851" max="3851" width="12.28515625" style="157" customWidth="1"/>
    <col min="3852" max="3858" width="11.42578125" style="157"/>
    <col min="3859" max="3859" width="14" style="157" customWidth="1"/>
    <col min="3860" max="3862" width="12.85546875" style="157" bestFit="1" customWidth="1"/>
    <col min="3863" max="4096" width="11.42578125" style="157"/>
    <col min="4097" max="4097" width="4.42578125" style="157" customWidth="1"/>
    <col min="4098" max="4098" width="22.140625" style="157" customWidth="1"/>
    <col min="4099" max="4099" width="15" style="157" customWidth="1"/>
    <col min="4100" max="4100" width="13.28515625" style="157" customWidth="1"/>
    <col min="4101" max="4101" width="14.42578125" style="157" customWidth="1"/>
    <col min="4102" max="4102" width="14" style="157" customWidth="1"/>
    <col min="4103" max="4103" width="11" style="157" customWidth="1"/>
    <col min="4104" max="4104" width="12.42578125" style="157" customWidth="1"/>
    <col min="4105" max="4105" width="11.7109375" style="157" customWidth="1"/>
    <col min="4106" max="4106" width="11" style="157" customWidth="1"/>
    <col min="4107" max="4107" width="12.28515625" style="157" customWidth="1"/>
    <col min="4108" max="4114" width="11.42578125" style="157"/>
    <col min="4115" max="4115" width="14" style="157" customWidth="1"/>
    <col min="4116" max="4118" width="12.85546875" style="157" bestFit="1" customWidth="1"/>
    <col min="4119" max="4352" width="11.42578125" style="157"/>
    <col min="4353" max="4353" width="4.42578125" style="157" customWidth="1"/>
    <col min="4354" max="4354" width="22.140625" style="157" customWidth="1"/>
    <col min="4355" max="4355" width="15" style="157" customWidth="1"/>
    <col min="4356" max="4356" width="13.28515625" style="157" customWidth="1"/>
    <col min="4357" max="4357" width="14.42578125" style="157" customWidth="1"/>
    <col min="4358" max="4358" width="14" style="157" customWidth="1"/>
    <col min="4359" max="4359" width="11" style="157" customWidth="1"/>
    <col min="4360" max="4360" width="12.42578125" style="157" customWidth="1"/>
    <col min="4361" max="4361" width="11.7109375" style="157" customWidth="1"/>
    <col min="4362" max="4362" width="11" style="157" customWidth="1"/>
    <col min="4363" max="4363" width="12.28515625" style="157" customWidth="1"/>
    <col min="4364" max="4370" width="11.42578125" style="157"/>
    <col min="4371" max="4371" width="14" style="157" customWidth="1"/>
    <col min="4372" max="4374" width="12.85546875" style="157" bestFit="1" customWidth="1"/>
    <col min="4375" max="4608" width="11.42578125" style="157"/>
    <col min="4609" max="4609" width="4.42578125" style="157" customWidth="1"/>
    <col min="4610" max="4610" width="22.140625" style="157" customWidth="1"/>
    <col min="4611" max="4611" width="15" style="157" customWidth="1"/>
    <col min="4612" max="4612" width="13.28515625" style="157" customWidth="1"/>
    <col min="4613" max="4613" width="14.42578125" style="157" customWidth="1"/>
    <col min="4614" max="4614" width="14" style="157" customWidth="1"/>
    <col min="4615" max="4615" width="11" style="157" customWidth="1"/>
    <col min="4616" max="4616" width="12.42578125" style="157" customWidth="1"/>
    <col min="4617" max="4617" width="11.7109375" style="157" customWidth="1"/>
    <col min="4618" max="4618" width="11" style="157" customWidth="1"/>
    <col min="4619" max="4619" width="12.28515625" style="157" customWidth="1"/>
    <col min="4620" max="4626" width="11.42578125" style="157"/>
    <col min="4627" max="4627" width="14" style="157" customWidth="1"/>
    <col min="4628" max="4630" width="12.85546875" style="157" bestFit="1" customWidth="1"/>
    <col min="4631" max="4864" width="11.42578125" style="157"/>
    <col min="4865" max="4865" width="4.42578125" style="157" customWidth="1"/>
    <col min="4866" max="4866" width="22.140625" style="157" customWidth="1"/>
    <col min="4867" max="4867" width="15" style="157" customWidth="1"/>
    <col min="4868" max="4868" width="13.28515625" style="157" customWidth="1"/>
    <col min="4869" max="4869" width="14.42578125" style="157" customWidth="1"/>
    <col min="4870" max="4870" width="14" style="157" customWidth="1"/>
    <col min="4871" max="4871" width="11" style="157" customWidth="1"/>
    <col min="4872" max="4872" width="12.42578125" style="157" customWidth="1"/>
    <col min="4873" max="4873" width="11.7109375" style="157" customWidth="1"/>
    <col min="4874" max="4874" width="11" style="157" customWidth="1"/>
    <col min="4875" max="4875" width="12.28515625" style="157" customWidth="1"/>
    <col min="4876" max="4882" width="11.42578125" style="157"/>
    <col min="4883" max="4883" width="14" style="157" customWidth="1"/>
    <col min="4884" max="4886" width="12.85546875" style="157" bestFit="1" customWidth="1"/>
    <col min="4887" max="5120" width="11.42578125" style="157"/>
    <col min="5121" max="5121" width="4.42578125" style="157" customWidth="1"/>
    <col min="5122" max="5122" width="22.140625" style="157" customWidth="1"/>
    <col min="5123" max="5123" width="15" style="157" customWidth="1"/>
    <col min="5124" max="5124" width="13.28515625" style="157" customWidth="1"/>
    <col min="5125" max="5125" width="14.42578125" style="157" customWidth="1"/>
    <col min="5126" max="5126" width="14" style="157" customWidth="1"/>
    <col min="5127" max="5127" width="11" style="157" customWidth="1"/>
    <col min="5128" max="5128" width="12.42578125" style="157" customWidth="1"/>
    <col min="5129" max="5129" width="11.7109375" style="157" customWidth="1"/>
    <col min="5130" max="5130" width="11" style="157" customWidth="1"/>
    <col min="5131" max="5131" width="12.28515625" style="157" customWidth="1"/>
    <col min="5132" max="5138" width="11.42578125" style="157"/>
    <col min="5139" max="5139" width="14" style="157" customWidth="1"/>
    <col min="5140" max="5142" width="12.85546875" style="157" bestFit="1" customWidth="1"/>
    <col min="5143" max="5376" width="11.42578125" style="157"/>
    <col min="5377" max="5377" width="4.42578125" style="157" customWidth="1"/>
    <col min="5378" max="5378" width="22.140625" style="157" customWidth="1"/>
    <col min="5379" max="5379" width="15" style="157" customWidth="1"/>
    <col min="5380" max="5380" width="13.28515625" style="157" customWidth="1"/>
    <col min="5381" max="5381" width="14.42578125" style="157" customWidth="1"/>
    <col min="5382" max="5382" width="14" style="157" customWidth="1"/>
    <col min="5383" max="5383" width="11" style="157" customWidth="1"/>
    <col min="5384" max="5384" width="12.42578125" style="157" customWidth="1"/>
    <col min="5385" max="5385" width="11.7109375" style="157" customWidth="1"/>
    <col min="5386" max="5386" width="11" style="157" customWidth="1"/>
    <col min="5387" max="5387" width="12.28515625" style="157" customWidth="1"/>
    <col min="5388" max="5394" width="11.42578125" style="157"/>
    <col min="5395" max="5395" width="14" style="157" customWidth="1"/>
    <col min="5396" max="5398" width="12.85546875" style="157" bestFit="1" customWidth="1"/>
    <col min="5399" max="5632" width="11.42578125" style="157"/>
    <col min="5633" max="5633" width="4.42578125" style="157" customWidth="1"/>
    <col min="5634" max="5634" width="22.140625" style="157" customWidth="1"/>
    <col min="5635" max="5635" width="15" style="157" customWidth="1"/>
    <col min="5636" max="5636" width="13.28515625" style="157" customWidth="1"/>
    <col min="5637" max="5637" width="14.42578125" style="157" customWidth="1"/>
    <col min="5638" max="5638" width="14" style="157" customWidth="1"/>
    <col min="5639" max="5639" width="11" style="157" customWidth="1"/>
    <col min="5640" max="5640" width="12.42578125" style="157" customWidth="1"/>
    <col min="5641" max="5641" width="11.7109375" style="157" customWidth="1"/>
    <col min="5642" max="5642" width="11" style="157" customWidth="1"/>
    <col min="5643" max="5643" width="12.28515625" style="157" customWidth="1"/>
    <col min="5644" max="5650" width="11.42578125" style="157"/>
    <col min="5651" max="5651" width="14" style="157" customWidth="1"/>
    <col min="5652" max="5654" width="12.85546875" style="157" bestFit="1" customWidth="1"/>
    <col min="5655" max="5888" width="11.42578125" style="157"/>
    <col min="5889" max="5889" width="4.42578125" style="157" customWidth="1"/>
    <col min="5890" max="5890" width="22.140625" style="157" customWidth="1"/>
    <col min="5891" max="5891" width="15" style="157" customWidth="1"/>
    <col min="5892" max="5892" width="13.28515625" style="157" customWidth="1"/>
    <col min="5893" max="5893" width="14.42578125" style="157" customWidth="1"/>
    <col min="5894" max="5894" width="14" style="157" customWidth="1"/>
    <col min="5895" max="5895" width="11" style="157" customWidth="1"/>
    <col min="5896" max="5896" width="12.42578125" style="157" customWidth="1"/>
    <col min="5897" max="5897" width="11.7109375" style="157" customWidth="1"/>
    <col min="5898" max="5898" width="11" style="157" customWidth="1"/>
    <col min="5899" max="5899" width="12.28515625" style="157" customWidth="1"/>
    <col min="5900" max="5906" width="11.42578125" style="157"/>
    <col min="5907" max="5907" width="14" style="157" customWidth="1"/>
    <col min="5908" max="5910" width="12.85546875" style="157" bestFit="1" customWidth="1"/>
    <col min="5911" max="6144" width="11.42578125" style="157"/>
    <col min="6145" max="6145" width="4.42578125" style="157" customWidth="1"/>
    <col min="6146" max="6146" width="22.140625" style="157" customWidth="1"/>
    <col min="6147" max="6147" width="15" style="157" customWidth="1"/>
    <col min="6148" max="6148" width="13.28515625" style="157" customWidth="1"/>
    <col min="6149" max="6149" width="14.42578125" style="157" customWidth="1"/>
    <col min="6150" max="6150" width="14" style="157" customWidth="1"/>
    <col min="6151" max="6151" width="11" style="157" customWidth="1"/>
    <col min="6152" max="6152" width="12.42578125" style="157" customWidth="1"/>
    <col min="6153" max="6153" width="11.7109375" style="157" customWidth="1"/>
    <col min="6154" max="6154" width="11" style="157" customWidth="1"/>
    <col min="6155" max="6155" width="12.28515625" style="157" customWidth="1"/>
    <col min="6156" max="6162" width="11.42578125" style="157"/>
    <col min="6163" max="6163" width="14" style="157" customWidth="1"/>
    <col min="6164" max="6166" width="12.85546875" style="157" bestFit="1" customWidth="1"/>
    <col min="6167" max="6400" width="11.42578125" style="157"/>
    <col min="6401" max="6401" width="4.42578125" style="157" customWidth="1"/>
    <col min="6402" max="6402" width="22.140625" style="157" customWidth="1"/>
    <col min="6403" max="6403" width="15" style="157" customWidth="1"/>
    <col min="6404" max="6404" width="13.28515625" style="157" customWidth="1"/>
    <col min="6405" max="6405" width="14.42578125" style="157" customWidth="1"/>
    <col min="6406" max="6406" width="14" style="157" customWidth="1"/>
    <col min="6407" max="6407" width="11" style="157" customWidth="1"/>
    <col min="6408" max="6408" width="12.42578125" style="157" customWidth="1"/>
    <col min="6409" max="6409" width="11.7109375" style="157" customWidth="1"/>
    <col min="6410" max="6410" width="11" style="157" customWidth="1"/>
    <col min="6411" max="6411" width="12.28515625" style="157" customWidth="1"/>
    <col min="6412" max="6418" width="11.42578125" style="157"/>
    <col min="6419" max="6419" width="14" style="157" customWidth="1"/>
    <col min="6420" max="6422" width="12.85546875" style="157" bestFit="1" customWidth="1"/>
    <col min="6423" max="6656" width="11.42578125" style="157"/>
    <col min="6657" max="6657" width="4.42578125" style="157" customWidth="1"/>
    <col min="6658" max="6658" width="22.140625" style="157" customWidth="1"/>
    <col min="6659" max="6659" width="15" style="157" customWidth="1"/>
    <col min="6660" max="6660" width="13.28515625" style="157" customWidth="1"/>
    <col min="6661" max="6661" width="14.42578125" style="157" customWidth="1"/>
    <col min="6662" max="6662" width="14" style="157" customWidth="1"/>
    <col min="6663" max="6663" width="11" style="157" customWidth="1"/>
    <col min="6664" max="6664" width="12.42578125" style="157" customWidth="1"/>
    <col min="6665" max="6665" width="11.7109375" style="157" customWidth="1"/>
    <col min="6666" max="6666" width="11" style="157" customWidth="1"/>
    <col min="6667" max="6667" width="12.28515625" style="157" customWidth="1"/>
    <col min="6668" max="6674" width="11.42578125" style="157"/>
    <col min="6675" max="6675" width="14" style="157" customWidth="1"/>
    <col min="6676" max="6678" width="12.85546875" style="157" bestFit="1" customWidth="1"/>
    <col min="6679" max="6912" width="11.42578125" style="157"/>
    <col min="6913" max="6913" width="4.42578125" style="157" customWidth="1"/>
    <col min="6914" max="6914" width="22.140625" style="157" customWidth="1"/>
    <col min="6915" max="6915" width="15" style="157" customWidth="1"/>
    <col min="6916" max="6916" width="13.28515625" style="157" customWidth="1"/>
    <col min="6917" max="6917" width="14.42578125" style="157" customWidth="1"/>
    <col min="6918" max="6918" width="14" style="157" customWidth="1"/>
    <col min="6919" max="6919" width="11" style="157" customWidth="1"/>
    <col min="6920" max="6920" width="12.42578125" style="157" customWidth="1"/>
    <col min="6921" max="6921" width="11.7109375" style="157" customWidth="1"/>
    <col min="6922" max="6922" width="11" style="157" customWidth="1"/>
    <col min="6923" max="6923" width="12.28515625" style="157" customWidth="1"/>
    <col min="6924" max="6930" width="11.42578125" style="157"/>
    <col min="6931" max="6931" width="14" style="157" customWidth="1"/>
    <col min="6932" max="6934" width="12.85546875" style="157" bestFit="1" customWidth="1"/>
    <col min="6935" max="7168" width="11.42578125" style="157"/>
    <col min="7169" max="7169" width="4.42578125" style="157" customWidth="1"/>
    <col min="7170" max="7170" width="22.140625" style="157" customWidth="1"/>
    <col min="7171" max="7171" width="15" style="157" customWidth="1"/>
    <col min="7172" max="7172" width="13.28515625" style="157" customWidth="1"/>
    <col min="7173" max="7173" width="14.42578125" style="157" customWidth="1"/>
    <col min="7174" max="7174" width="14" style="157" customWidth="1"/>
    <col min="7175" max="7175" width="11" style="157" customWidth="1"/>
    <col min="7176" max="7176" width="12.42578125" style="157" customWidth="1"/>
    <col min="7177" max="7177" width="11.7109375" style="157" customWidth="1"/>
    <col min="7178" max="7178" width="11" style="157" customWidth="1"/>
    <col min="7179" max="7179" width="12.28515625" style="157" customWidth="1"/>
    <col min="7180" max="7186" width="11.42578125" style="157"/>
    <col min="7187" max="7187" width="14" style="157" customWidth="1"/>
    <col min="7188" max="7190" width="12.85546875" style="157" bestFit="1" customWidth="1"/>
    <col min="7191" max="7424" width="11.42578125" style="157"/>
    <col min="7425" max="7425" width="4.42578125" style="157" customWidth="1"/>
    <col min="7426" max="7426" width="22.140625" style="157" customWidth="1"/>
    <col min="7427" max="7427" width="15" style="157" customWidth="1"/>
    <col min="7428" max="7428" width="13.28515625" style="157" customWidth="1"/>
    <col min="7429" max="7429" width="14.42578125" style="157" customWidth="1"/>
    <col min="7430" max="7430" width="14" style="157" customWidth="1"/>
    <col min="7431" max="7431" width="11" style="157" customWidth="1"/>
    <col min="7432" max="7432" width="12.42578125" style="157" customWidth="1"/>
    <col min="7433" max="7433" width="11.7109375" style="157" customWidth="1"/>
    <col min="7434" max="7434" width="11" style="157" customWidth="1"/>
    <col min="7435" max="7435" width="12.28515625" style="157" customWidth="1"/>
    <col min="7436" max="7442" width="11.42578125" style="157"/>
    <col min="7443" max="7443" width="14" style="157" customWidth="1"/>
    <col min="7444" max="7446" width="12.85546875" style="157" bestFit="1" customWidth="1"/>
    <col min="7447" max="7680" width="11.42578125" style="157"/>
    <col min="7681" max="7681" width="4.42578125" style="157" customWidth="1"/>
    <col min="7682" max="7682" width="22.140625" style="157" customWidth="1"/>
    <col min="7683" max="7683" width="15" style="157" customWidth="1"/>
    <col min="7684" max="7684" width="13.28515625" style="157" customWidth="1"/>
    <col min="7685" max="7685" width="14.42578125" style="157" customWidth="1"/>
    <col min="7686" max="7686" width="14" style="157" customWidth="1"/>
    <col min="7687" max="7687" width="11" style="157" customWidth="1"/>
    <col min="7688" max="7688" width="12.42578125" style="157" customWidth="1"/>
    <col min="7689" max="7689" width="11.7109375" style="157" customWidth="1"/>
    <col min="7690" max="7690" width="11" style="157" customWidth="1"/>
    <col min="7691" max="7691" width="12.28515625" style="157" customWidth="1"/>
    <col min="7692" max="7698" width="11.42578125" style="157"/>
    <col min="7699" max="7699" width="14" style="157" customWidth="1"/>
    <col min="7700" max="7702" width="12.85546875" style="157" bestFit="1" customWidth="1"/>
    <col min="7703" max="7936" width="11.42578125" style="157"/>
    <col min="7937" max="7937" width="4.42578125" style="157" customWidth="1"/>
    <col min="7938" max="7938" width="22.140625" style="157" customWidth="1"/>
    <col min="7939" max="7939" width="15" style="157" customWidth="1"/>
    <col min="7940" max="7940" width="13.28515625" style="157" customWidth="1"/>
    <col min="7941" max="7941" width="14.42578125" style="157" customWidth="1"/>
    <col min="7942" max="7942" width="14" style="157" customWidth="1"/>
    <col min="7943" max="7943" width="11" style="157" customWidth="1"/>
    <col min="7944" max="7944" width="12.42578125" style="157" customWidth="1"/>
    <col min="7945" max="7945" width="11.7109375" style="157" customWidth="1"/>
    <col min="7946" max="7946" width="11" style="157" customWidth="1"/>
    <col min="7947" max="7947" width="12.28515625" style="157" customWidth="1"/>
    <col min="7948" max="7954" width="11.42578125" style="157"/>
    <col min="7955" max="7955" width="14" style="157" customWidth="1"/>
    <col min="7956" max="7958" width="12.85546875" style="157" bestFit="1" customWidth="1"/>
    <col min="7959" max="8192" width="11.42578125" style="157"/>
    <col min="8193" max="8193" width="4.42578125" style="157" customWidth="1"/>
    <col min="8194" max="8194" width="22.140625" style="157" customWidth="1"/>
    <col min="8195" max="8195" width="15" style="157" customWidth="1"/>
    <col min="8196" max="8196" width="13.28515625" style="157" customWidth="1"/>
    <col min="8197" max="8197" width="14.42578125" style="157" customWidth="1"/>
    <col min="8198" max="8198" width="14" style="157" customWidth="1"/>
    <col min="8199" max="8199" width="11" style="157" customWidth="1"/>
    <col min="8200" max="8200" width="12.42578125" style="157" customWidth="1"/>
    <col min="8201" max="8201" width="11.7109375" style="157" customWidth="1"/>
    <col min="8202" max="8202" width="11" style="157" customWidth="1"/>
    <col min="8203" max="8203" width="12.28515625" style="157" customWidth="1"/>
    <col min="8204" max="8210" width="11.42578125" style="157"/>
    <col min="8211" max="8211" width="14" style="157" customWidth="1"/>
    <col min="8212" max="8214" width="12.85546875" style="157" bestFit="1" customWidth="1"/>
    <col min="8215" max="8448" width="11.42578125" style="157"/>
    <col min="8449" max="8449" width="4.42578125" style="157" customWidth="1"/>
    <col min="8450" max="8450" width="22.140625" style="157" customWidth="1"/>
    <col min="8451" max="8451" width="15" style="157" customWidth="1"/>
    <col min="8452" max="8452" width="13.28515625" style="157" customWidth="1"/>
    <col min="8453" max="8453" width="14.42578125" style="157" customWidth="1"/>
    <col min="8454" max="8454" width="14" style="157" customWidth="1"/>
    <col min="8455" max="8455" width="11" style="157" customWidth="1"/>
    <col min="8456" max="8456" width="12.42578125" style="157" customWidth="1"/>
    <col min="8457" max="8457" width="11.7109375" style="157" customWidth="1"/>
    <col min="8458" max="8458" width="11" style="157" customWidth="1"/>
    <col min="8459" max="8459" width="12.28515625" style="157" customWidth="1"/>
    <col min="8460" max="8466" width="11.42578125" style="157"/>
    <col min="8467" max="8467" width="14" style="157" customWidth="1"/>
    <col min="8468" max="8470" width="12.85546875" style="157" bestFit="1" customWidth="1"/>
    <col min="8471" max="8704" width="11.42578125" style="157"/>
    <col min="8705" max="8705" width="4.42578125" style="157" customWidth="1"/>
    <col min="8706" max="8706" width="22.140625" style="157" customWidth="1"/>
    <col min="8707" max="8707" width="15" style="157" customWidth="1"/>
    <col min="8708" max="8708" width="13.28515625" style="157" customWidth="1"/>
    <col min="8709" max="8709" width="14.42578125" style="157" customWidth="1"/>
    <col min="8710" max="8710" width="14" style="157" customWidth="1"/>
    <col min="8711" max="8711" width="11" style="157" customWidth="1"/>
    <col min="8712" max="8712" width="12.42578125" style="157" customWidth="1"/>
    <col min="8713" max="8713" width="11.7109375" style="157" customWidth="1"/>
    <col min="8714" max="8714" width="11" style="157" customWidth="1"/>
    <col min="8715" max="8715" width="12.28515625" style="157" customWidth="1"/>
    <col min="8716" max="8722" width="11.42578125" style="157"/>
    <col min="8723" max="8723" width="14" style="157" customWidth="1"/>
    <col min="8724" max="8726" width="12.85546875" style="157" bestFit="1" customWidth="1"/>
    <col min="8727" max="8960" width="11.42578125" style="157"/>
    <col min="8961" max="8961" width="4.42578125" style="157" customWidth="1"/>
    <col min="8962" max="8962" width="22.140625" style="157" customWidth="1"/>
    <col min="8963" max="8963" width="15" style="157" customWidth="1"/>
    <col min="8964" max="8964" width="13.28515625" style="157" customWidth="1"/>
    <col min="8965" max="8965" width="14.42578125" style="157" customWidth="1"/>
    <col min="8966" max="8966" width="14" style="157" customWidth="1"/>
    <col min="8967" max="8967" width="11" style="157" customWidth="1"/>
    <col min="8968" max="8968" width="12.42578125" style="157" customWidth="1"/>
    <col min="8969" max="8969" width="11.7109375" style="157" customWidth="1"/>
    <col min="8970" max="8970" width="11" style="157" customWidth="1"/>
    <col min="8971" max="8971" width="12.28515625" style="157" customWidth="1"/>
    <col min="8972" max="8978" width="11.42578125" style="157"/>
    <col min="8979" max="8979" width="14" style="157" customWidth="1"/>
    <col min="8980" max="8982" width="12.85546875" style="157" bestFit="1" customWidth="1"/>
    <col min="8983" max="9216" width="11.42578125" style="157"/>
    <col min="9217" max="9217" width="4.42578125" style="157" customWidth="1"/>
    <col min="9218" max="9218" width="22.140625" style="157" customWidth="1"/>
    <col min="9219" max="9219" width="15" style="157" customWidth="1"/>
    <col min="9220" max="9220" width="13.28515625" style="157" customWidth="1"/>
    <col min="9221" max="9221" width="14.42578125" style="157" customWidth="1"/>
    <col min="9222" max="9222" width="14" style="157" customWidth="1"/>
    <col min="9223" max="9223" width="11" style="157" customWidth="1"/>
    <col min="9224" max="9224" width="12.42578125" style="157" customWidth="1"/>
    <col min="9225" max="9225" width="11.7109375" style="157" customWidth="1"/>
    <col min="9226" max="9226" width="11" style="157" customWidth="1"/>
    <col min="9227" max="9227" width="12.28515625" style="157" customWidth="1"/>
    <col min="9228" max="9234" width="11.42578125" style="157"/>
    <col min="9235" max="9235" width="14" style="157" customWidth="1"/>
    <col min="9236" max="9238" width="12.85546875" style="157" bestFit="1" customWidth="1"/>
    <col min="9239" max="9472" width="11.42578125" style="157"/>
    <col min="9473" max="9473" width="4.42578125" style="157" customWidth="1"/>
    <col min="9474" max="9474" width="22.140625" style="157" customWidth="1"/>
    <col min="9475" max="9475" width="15" style="157" customWidth="1"/>
    <col min="9476" max="9476" width="13.28515625" style="157" customWidth="1"/>
    <col min="9477" max="9477" width="14.42578125" style="157" customWidth="1"/>
    <col min="9478" max="9478" width="14" style="157" customWidth="1"/>
    <col min="9479" max="9479" width="11" style="157" customWidth="1"/>
    <col min="9480" max="9480" width="12.42578125" style="157" customWidth="1"/>
    <col min="9481" max="9481" width="11.7109375" style="157" customWidth="1"/>
    <col min="9482" max="9482" width="11" style="157" customWidth="1"/>
    <col min="9483" max="9483" width="12.28515625" style="157" customWidth="1"/>
    <col min="9484" max="9490" width="11.42578125" style="157"/>
    <col min="9491" max="9491" width="14" style="157" customWidth="1"/>
    <col min="9492" max="9494" width="12.85546875" style="157" bestFit="1" customWidth="1"/>
    <col min="9495" max="9728" width="11.42578125" style="157"/>
    <col min="9729" max="9729" width="4.42578125" style="157" customWidth="1"/>
    <col min="9730" max="9730" width="22.140625" style="157" customWidth="1"/>
    <col min="9731" max="9731" width="15" style="157" customWidth="1"/>
    <col min="9732" max="9732" width="13.28515625" style="157" customWidth="1"/>
    <col min="9733" max="9733" width="14.42578125" style="157" customWidth="1"/>
    <col min="9734" max="9734" width="14" style="157" customWidth="1"/>
    <col min="9735" max="9735" width="11" style="157" customWidth="1"/>
    <col min="9736" max="9736" width="12.42578125" style="157" customWidth="1"/>
    <col min="9737" max="9737" width="11.7109375" style="157" customWidth="1"/>
    <col min="9738" max="9738" width="11" style="157" customWidth="1"/>
    <col min="9739" max="9739" width="12.28515625" style="157" customWidth="1"/>
    <col min="9740" max="9746" width="11.42578125" style="157"/>
    <col min="9747" max="9747" width="14" style="157" customWidth="1"/>
    <col min="9748" max="9750" width="12.85546875" style="157" bestFit="1" customWidth="1"/>
    <col min="9751" max="9984" width="11.42578125" style="157"/>
    <col min="9985" max="9985" width="4.42578125" style="157" customWidth="1"/>
    <col min="9986" max="9986" width="22.140625" style="157" customWidth="1"/>
    <col min="9987" max="9987" width="15" style="157" customWidth="1"/>
    <col min="9988" max="9988" width="13.28515625" style="157" customWidth="1"/>
    <col min="9989" max="9989" width="14.42578125" style="157" customWidth="1"/>
    <col min="9990" max="9990" width="14" style="157" customWidth="1"/>
    <col min="9991" max="9991" width="11" style="157" customWidth="1"/>
    <col min="9992" max="9992" width="12.42578125" style="157" customWidth="1"/>
    <col min="9993" max="9993" width="11.7109375" style="157" customWidth="1"/>
    <col min="9994" max="9994" width="11" style="157" customWidth="1"/>
    <col min="9995" max="9995" width="12.28515625" style="157" customWidth="1"/>
    <col min="9996" max="10002" width="11.42578125" style="157"/>
    <col min="10003" max="10003" width="14" style="157" customWidth="1"/>
    <col min="10004" max="10006" width="12.85546875" style="157" bestFit="1" customWidth="1"/>
    <col min="10007" max="10240" width="11.42578125" style="157"/>
    <col min="10241" max="10241" width="4.42578125" style="157" customWidth="1"/>
    <col min="10242" max="10242" width="22.140625" style="157" customWidth="1"/>
    <col min="10243" max="10243" width="15" style="157" customWidth="1"/>
    <col min="10244" max="10244" width="13.28515625" style="157" customWidth="1"/>
    <col min="10245" max="10245" width="14.42578125" style="157" customWidth="1"/>
    <col min="10246" max="10246" width="14" style="157" customWidth="1"/>
    <col min="10247" max="10247" width="11" style="157" customWidth="1"/>
    <col min="10248" max="10248" width="12.42578125" style="157" customWidth="1"/>
    <col min="10249" max="10249" width="11.7109375" style="157" customWidth="1"/>
    <col min="10250" max="10250" width="11" style="157" customWidth="1"/>
    <col min="10251" max="10251" width="12.28515625" style="157" customWidth="1"/>
    <col min="10252" max="10258" width="11.42578125" style="157"/>
    <col min="10259" max="10259" width="14" style="157" customWidth="1"/>
    <col min="10260" max="10262" width="12.85546875" style="157" bestFit="1" customWidth="1"/>
    <col min="10263" max="10496" width="11.42578125" style="157"/>
    <col min="10497" max="10497" width="4.42578125" style="157" customWidth="1"/>
    <col min="10498" max="10498" width="22.140625" style="157" customWidth="1"/>
    <col min="10499" max="10499" width="15" style="157" customWidth="1"/>
    <col min="10500" max="10500" width="13.28515625" style="157" customWidth="1"/>
    <col min="10501" max="10501" width="14.42578125" style="157" customWidth="1"/>
    <col min="10502" max="10502" width="14" style="157" customWidth="1"/>
    <col min="10503" max="10503" width="11" style="157" customWidth="1"/>
    <col min="10504" max="10504" width="12.42578125" style="157" customWidth="1"/>
    <col min="10505" max="10505" width="11.7109375" style="157" customWidth="1"/>
    <col min="10506" max="10506" width="11" style="157" customWidth="1"/>
    <col min="10507" max="10507" width="12.28515625" style="157" customWidth="1"/>
    <col min="10508" max="10514" width="11.42578125" style="157"/>
    <col min="10515" max="10515" width="14" style="157" customWidth="1"/>
    <col min="10516" max="10518" width="12.85546875" style="157" bestFit="1" customWidth="1"/>
    <col min="10519" max="10752" width="11.42578125" style="157"/>
    <col min="10753" max="10753" width="4.42578125" style="157" customWidth="1"/>
    <col min="10754" max="10754" width="22.140625" style="157" customWidth="1"/>
    <col min="10755" max="10755" width="15" style="157" customWidth="1"/>
    <col min="10756" max="10756" width="13.28515625" style="157" customWidth="1"/>
    <col min="10757" max="10757" width="14.42578125" style="157" customWidth="1"/>
    <col min="10758" max="10758" width="14" style="157" customWidth="1"/>
    <col min="10759" max="10759" width="11" style="157" customWidth="1"/>
    <col min="10760" max="10760" width="12.42578125" style="157" customWidth="1"/>
    <col min="10761" max="10761" width="11.7109375" style="157" customWidth="1"/>
    <col min="10762" max="10762" width="11" style="157" customWidth="1"/>
    <col min="10763" max="10763" width="12.28515625" style="157" customWidth="1"/>
    <col min="10764" max="10770" width="11.42578125" style="157"/>
    <col min="10771" max="10771" width="14" style="157" customWidth="1"/>
    <col min="10772" max="10774" width="12.85546875" style="157" bestFit="1" customWidth="1"/>
    <col min="10775" max="11008" width="11.42578125" style="157"/>
    <col min="11009" max="11009" width="4.42578125" style="157" customWidth="1"/>
    <col min="11010" max="11010" width="22.140625" style="157" customWidth="1"/>
    <col min="11011" max="11011" width="15" style="157" customWidth="1"/>
    <col min="11012" max="11012" width="13.28515625" style="157" customWidth="1"/>
    <col min="11013" max="11013" width="14.42578125" style="157" customWidth="1"/>
    <col min="11014" max="11014" width="14" style="157" customWidth="1"/>
    <col min="11015" max="11015" width="11" style="157" customWidth="1"/>
    <col min="11016" max="11016" width="12.42578125" style="157" customWidth="1"/>
    <col min="11017" max="11017" width="11.7109375" style="157" customWidth="1"/>
    <col min="11018" max="11018" width="11" style="157" customWidth="1"/>
    <col min="11019" max="11019" width="12.28515625" style="157" customWidth="1"/>
    <col min="11020" max="11026" width="11.42578125" style="157"/>
    <col min="11027" max="11027" width="14" style="157" customWidth="1"/>
    <col min="11028" max="11030" width="12.85546875" style="157" bestFit="1" customWidth="1"/>
    <col min="11031" max="11264" width="11.42578125" style="157"/>
    <col min="11265" max="11265" width="4.42578125" style="157" customWidth="1"/>
    <col min="11266" max="11266" width="22.140625" style="157" customWidth="1"/>
    <col min="11267" max="11267" width="15" style="157" customWidth="1"/>
    <col min="11268" max="11268" width="13.28515625" style="157" customWidth="1"/>
    <col min="11269" max="11269" width="14.42578125" style="157" customWidth="1"/>
    <col min="11270" max="11270" width="14" style="157" customWidth="1"/>
    <col min="11271" max="11271" width="11" style="157" customWidth="1"/>
    <col min="11272" max="11272" width="12.42578125" style="157" customWidth="1"/>
    <col min="11273" max="11273" width="11.7109375" style="157" customWidth="1"/>
    <col min="11274" max="11274" width="11" style="157" customWidth="1"/>
    <col min="11275" max="11275" width="12.28515625" style="157" customWidth="1"/>
    <col min="11276" max="11282" width="11.42578125" style="157"/>
    <col min="11283" max="11283" width="14" style="157" customWidth="1"/>
    <col min="11284" max="11286" width="12.85546875" style="157" bestFit="1" customWidth="1"/>
    <col min="11287" max="11520" width="11.42578125" style="157"/>
    <col min="11521" max="11521" width="4.42578125" style="157" customWidth="1"/>
    <col min="11522" max="11522" width="22.140625" style="157" customWidth="1"/>
    <col min="11523" max="11523" width="15" style="157" customWidth="1"/>
    <col min="11524" max="11524" width="13.28515625" style="157" customWidth="1"/>
    <col min="11525" max="11525" width="14.42578125" style="157" customWidth="1"/>
    <col min="11526" max="11526" width="14" style="157" customWidth="1"/>
    <col min="11527" max="11527" width="11" style="157" customWidth="1"/>
    <col min="11528" max="11528" width="12.42578125" style="157" customWidth="1"/>
    <col min="11529" max="11529" width="11.7109375" style="157" customWidth="1"/>
    <col min="11530" max="11530" width="11" style="157" customWidth="1"/>
    <col min="11531" max="11531" width="12.28515625" style="157" customWidth="1"/>
    <col min="11532" max="11538" width="11.42578125" style="157"/>
    <col min="11539" max="11539" width="14" style="157" customWidth="1"/>
    <col min="11540" max="11542" width="12.85546875" style="157" bestFit="1" customWidth="1"/>
    <col min="11543" max="11776" width="11.42578125" style="157"/>
    <col min="11777" max="11777" width="4.42578125" style="157" customWidth="1"/>
    <col min="11778" max="11778" width="22.140625" style="157" customWidth="1"/>
    <col min="11779" max="11779" width="15" style="157" customWidth="1"/>
    <col min="11780" max="11780" width="13.28515625" style="157" customWidth="1"/>
    <col min="11781" max="11781" width="14.42578125" style="157" customWidth="1"/>
    <col min="11782" max="11782" width="14" style="157" customWidth="1"/>
    <col min="11783" max="11783" width="11" style="157" customWidth="1"/>
    <col min="11784" max="11784" width="12.42578125" style="157" customWidth="1"/>
    <col min="11785" max="11785" width="11.7109375" style="157" customWidth="1"/>
    <col min="11786" max="11786" width="11" style="157" customWidth="1"/>
    <col min="11787" max="11787" width="12.28515625" style="157" customWidth="1"/>
    <col min="11788" max="11794" width="11.42578125" style="157"/>
    <col min="11795" max="11795" width="14" style="157" customWidth="1"/>
    <col min="11796" max="11798" width="12.85546875" style="157" bestFit="1" customWidth="1"/>
    <col min="11799" max="12032" width="11.42578125" style="157"/>
    <col min="12033" max="12033" width="4.42578125" style="157" customWidth="1"/>
    <col min="12034" max="12034" width="22.140625" style="157" customWidth="1"/>
    <col min="12035" max="12035" width="15" style="157" customWidth="1"/>
    <col min="12036" max="12036" width="13.28515625" style="157" customWidth="1"/>
    <col min="12037" max="12037" width="14.42578125" style="157" customWidth="1"/>
    <col min="12038" max="12038" width="14" style="157" customWidth="1"/>
    <col min="12039" max="12039" width="11" style="157" customWidth="1"/>
    <col min="12040" max="12040" width="12.42578125" style="157" customWidth="1"/>
    <col min="12041" max="12041" width="11.7109375" style="157" customWidth="1"/>
    <col min="12042" max="12042" width="11" style="157" customWidth="1"/>
    <col min="12043" max="12043" width="12.28515625" style="157" customWidth="1"/>
    <col min="12044" max="12050" width="11.42578125" style="157"/>
    <col min="12051" max="12051" width="14" style="157" customWidth="1"/>
    <col min="12052" max="12054" width="12.85546875" style="157" bestFit="1" customWidth="1"/>
    <col min="12055" max="12288" width="11.42578125" style="157"/>
    <col min="12289" max="12289" width="4.42578125" style="157" customWidth="1"/>
    <col min="12290" max="12290" width="22.140625" style="157" customWidth="1"/>
    <col min="12291" max="12291" width="15" style="157" customWidth="1"/>
    <col min="12292" max="12292" width="13.28515625" style="157" customWidth="1"/>
    <col min="12293" max="12293" width="14.42578125" style="157" customWidth="1"/>
    <col min="12294" max="12294" width="14" style="157" customWidth="1"/>
    <col min="12295" max="12295" width="11" style="157" customWidth="1"/>
    <col min="12296" max="12296" width="12.42578125" style="157" customWidth="1"/>
    <col min="12297" max="12297" width="11.7109375" style="157" customWidth="1"/>
    <col min="12298" max="12298" width="11" style="157" customWidth="1"/>
    <col min="12299" max="12299" width="12.28515625" style="157" customWidth="1"/>
    <col min="12300" max="12306" width="11.42578125" style="157"/>
    <col min="12307" max="12307" width="14" style="157" customWidth="1"/>
    <col min="12308" max="12310" width="12.85546875" style="157" bestFit="1" customWidth="1"/>
    <col min="12311" max="12544" width="11.42578125" style="157"/>
    <col min="12545" max="12545" width="4.42578125" style="157" customWidth="1"/>
    <col min="12546" max="12546" width="22.140625" style="157" customWidth="1"/>
    <col min="12547" max="12547" width="15" style="157" customWidth="1"/>
    <col min="12548" max="12548" width="13.28515625" style="157" customWidth="1"/>
    <col min="12549" max="12549" width="14.42578125" style="157" customWidth="1"/>
    <col min="12550" max="12550" width="14" style="157" customWidth="1"/>
    <col min="12551" max="12551" width="11" style="157" customWidth="1"/>
    <col min="12552" max="12552" width="12.42578125" style="157" customWidth="1"/>
    <col min="12553" max="12553" width="11.7109375" style="157" customWidth="1"/>
    <col min="12554" max="12554" width="11" style="157" customWidth="1"/>
    <col min="12555" max="12555" width="12.28515625" style="157" customWidth="1"/>
    <col min="12556" max="12562" width="11.42578125" style="157"/>
    <col min="12563" max="12563" width="14" style="157" customWidth="1"/>
    <col min="12564" max="12566" width="12.85546875" style="157" bestFit="1" customWidth="1"/>
    <col min="12567" max="12800" width="11.42578125" style="157"/>
    <col min="12801" max="12801" width="4.42578125" style="157" customWidth="1"/>
    <col min="12802" max="12802" width="22.140625" style="157" customWidth="1"/>
    <col min="12803" max="12803" width="15" style="157" customWidth="1"/>
    <col min="12804" max="12804" width="13.28515625" style="157" customWidth="1"/>
    <col min="12805" max="12805" width="14.42578125" style="157" customWidth="1"/>
    <col min="12806" max="12806" width="14" style="157" customWidth="1"/>
    <col min="12807" max="12807" width="11" style="157" customWidth="1"/>
    <col min="12808" max="12808" width="12.42578125" style="157" customWidth="1"/>
    <col min="12809" max="12809" width="11.7109375" style="157" customWidth="1"/>
    <col min="12810" max="12810" width="11" style="157" customWidth="1"/>
    <col min="12811" max="12811" width="12.28515625" style="157" customWidth="1"/>
    <col min="12812" max="12818" width="11.42578125" style="157"/>
    <col min="12819" max="12819" width="14" style="157" customWidth="1"/>
    <col min="12820" max="12822" width="12.85546875" style="157" bestFit="1" customWidth="1"/>
    <col min="12823" max="13056" width="11.42578125" style="157"/>
    <col min="13057" max="13057" width="4.42578125" style="157" customWidth="1"/>
    <col min="13058" max="13058" width="22.140625" style="157" customWidth="1"/>
    <col min="13059" max="13059" width="15" style="157" customWidth="1"/>
    <col min="13060" max="13060" width="13.28515625" style="157" customWidth="1"/>
    <col min="13061" max="13061" width="14.42578125" style="157" customWidth="1"/>
    <col min="13062" max="13062" width="14" style="157" customWidth="1"/>
    <col min="13063" max="13063" width="11" style="157" customWidth="1"/>
    <col min="13064" max="13064" width="12.42578125" style="157" customWidth="1"/>
    <col min="13065" max="13065" width="11.7109375" style="157" customWidth="1"/>
    <col min="13066" max="13066" width="11" style="157" customWidth="1"/>
    <col min="13067" max="13067" width="12.28515625" style="157" customWidth="1"/>
    <col min="13068" max="13074" width="11.42578125" style="157"/>
    <col min="13075" max="13075" width="14" style="157" customWidth="1"/>
    <col min="13076" max="13078" width="12.85546875" style="157" bestFit="1" customWidth="1"/>
    <col min="13079" max="13312" width="11.42578125" style="157"/>
    <col min="13313" max="13313" width="4.42578125" style="157" customWidth="1"/>
    <col min="13314" max="13314" width="22.140625" style="157" customWidth="1"/>
    <col min="13315" max="13315" width="15" style="157" customWidth="1"/>
    <col min="13316" max="13316" width="13.28515625" style="157" customWidth="1"/>
    <col min="13317" max="13317" width="14.42578125" style="157" customWidth="1"/>
    <col min="13318" max="13318" width="14" style="157" customWidth="1"/>
    <col min="13319" max="13319" width="11" style="157" customWidth="1"/>
    <col min="13320" max="13320" width="12.42578125" style="157" customWidth="1"/>
    <col min="13321" max="13321" width="11.7109375" style="157" customWidth="1"/>
    <col min="13322" max="13322" width="11" style="157" customWidth="1"/>
    <col min="13323" max="13323" width="12.28515625" style="157" customWidth="1"/>
    <col min="13324" max="13330" width="11.42578125" style="157"/>
    <col min="13331" max="13331" width="14" style="157" customWidth="1"/>
    <col min="13332" max="13334" width="12.85546875" style="157" bestFit="1" customWidth="1"/>
    <col min="13335" max="13568" width="11.42578125" style="157"/>
    <col min="13569" max="13569" width="4.42578125" style="157" customWidth="1"/>
    <col min="13570" max="13570" width="22.140625" style="157" customWidth="1"/>
    <col min="13571" max="13571" width="15" style="157" customWidth="1"/>
    <col min="13572" max="13572" width="13.28515625" style="157" customWidth="1"/>
    <col min="13573" max="13573" width="14.42578125" style="157" customWidth="1"/>
    <col min="13574" max="13574" width="14" style="157" customWidth="1"/>
    <col min="13575" max="13575" width="11" style="157" customWidth="1"/>
    <col min="13576" max="13576" width="12.42578125" style="157" customWidth="1"/>
    <col min="13577" max="13577" width="11.7109375" style="157" customWidth="1"/>
    <col min="13578" max="13578" width="11" style="157" customWidth="1"/>
    <col min="13579" max="13579" width="12.28515625" style="157" customWidth="1"/>
    <col min="13580" max="13586" width="11.42578125" style="157"/>
    <col min="13587" max="13587" width="14" style="157" customWidth="1"/>
    <col min="13588" max="13590" width="12.85546875" style="157" bestFit="1" customWidth="1"/>
    <col min="13591" max="13824" width="11.42578125" style="157"/>
    <col min="13825" max="13825" width="4.42578125" style="157" customWidth="1"/>
    <col min="13826" max="13826" width="22.140625" style="157" customWidth="1"/>
    <col min="13827" max="13827" width="15" style="157" customWidth="1"/>
    <col min="13828" max="13828" width="13.28515625" style="157" customWidth="1"/>
    <col min="13829" max="13829" width="14.42578125" style="157" customWidth="1"/>
    <col min="13830" max="13830" width="14" style="157" customWidth="1"/>
    <col min="13831" max="13831" width="11" style="157" customWidth="1"/>
    <col min="13832" max="13832" width="12.42578125" style="157" customWidth="1"/>
    <col min="13833" max="13833" width="11.7109375" style="157" customWidth="1"/>
    <col min="13834" max="13834" width="11" style="157" customWidth="1"/>
    <col min="13835" max="13835" width="12.28515625" style="157" customWidth="1"/>
    <col min="13836" max="13842" width="11.42578125" style="157"/>
    <col min="13843" max="13843" width="14" style="157" customWidth="1"/>
    <col min="13844" max="13846" width="12.85546875" style="157" bestFit="1" customWidth="1"/>
    <col min="13847" max="14080" width="11.42578125" style="157"/>
    <col min="14081" max="14081" width="4.42578125" style="157" customWidth="1"/>
    <col min="14082" max="14082" width="22.140625" style="157" customWidth="1"/>
    <col min="14083" max="14083" width="15" style="157" customWidth="1"/>
    <col min="14084" max="14084" width="13.28515625" style="157" customWidth="1"/>
    <col min="14085" max="14085" width="14.42578125" style="157" customWidth="1"/>
    <col min="14086" max="14086" width="14" style="157" customWidth="1"/>
    <col min="14087" max="14087" width="11" style="157" customWidth="1"/>
    <col min="14088" max="14088" width="12.42578125" style="157" customWidth="1"/>
    <col min="14089" max="14089" width="11.7109375" style="157" customWidth="1"/>
    <col min="14090" max="14090" width="11" style="157" customWidth="1"/>
    <col min="14091" max="14091" width="12.28515625" style="157" customWidth="1"/>
    <col min="14092" max="14098" width="11.42578125" style="157"/>
    <col min="14099" max="14099" width="14" style="157" customWidth="1"/>
    <col min="14100" max="14102" width="12.85546875" style="157" bestFit="1" customWidth="1"/>
    <col min="14103" max="14336" width="11.42578125" style="157"/>
    <col min="14337" max="14337" width="4.42578125" style="157" customWidth="1"/>
    <col min="14338" max="14338" width="22.140625" style="157" customWidth="1"/>
    <col min="14339" max="14339" width="15" style="157" customWidth="1"/>
    <col min="14340" max="14340" width="13.28515625" style="157" customWidth="1"/>
    <col min="14341" max="14341" width="14.42578125" style="157" customWidth="1"/>
    <col min="14342" max="14342" width="14" style="157" customWidth="1"/>
    <col min="14343" max="14343" width="11" style="157" customWidth="1"/>
    <col min="14344" max="14344" width="12.42578125" style="157" customWidth="1"/>
    <col min="14345" max="14345" width="11.7109375" style="157" customWidth="1"/>
    <col min="14346" max="14346" width="11" style="157" customWidth="1"/>
    <col min="14347" max="14347" width="12.28515625" style="157" customWidth="1"/>
    <col min="14348" max="14354" width="11.42578125" style="157"/>
    <col min="14355" max="14355" width="14" style="157" customWidth="1"/>
    <col min="14356" max="14358" width="12.85546875" style="157" bestFit="1" customWidth="1"/>
    <col min="14359" max="14592" width="11.42578125" style="157"/>
    <col min="14593" max="14593" width="4.42578125" style="157" customWidth="1"/>
    <col min="14594" max="14594" width="22.140625" style="157" customWidth="1"/>
    <col min="14595" max="14595" width="15" style="157" customWidth="1"/>
    <col min="14596" max="14596" width="13.28515625" style="157" customWidth="1"/>
    <col min="14597" max="14597" width="14.42578125" style="157" customWidth="1"/>
    <col min="14598" max="14598" width="14" style="157" customWidth="1"/>
    <col min="14599" max="14599" width="11" style="157" customWidth="1"/>
    <col min="14600" max="14600" width="12.42578125" style="157" customWidth="1"/>
    <col min="14601" max="14601" width="11.7109375" style="157" customWidth="1"/>
    <col min="14602" max="14602" width="11" style="157" customWidth="1"/>
    <col min="14603" max="14603" width="12.28515625" style="157" customWidth="1"/>
    <col min="14604" max="14610" width="11.42578125" style="157"/>
    <col min="14611" max="14611" width="14" style="157" customWidth="1"/>
    <col min="14612" max="14614" width="12.85546875" style="157" bestFit="1" customWidth="1"/>
    <col min="14615" max="14848" width="11.42578125" style="157"/>
    <col min="14849" max="14849" width="4.42578125" style="157" customWidth="1"/>
    <col min="14850" max="14850" width="22.140625" style="157" customWidth="1"/>
    <col min="14851" max="14851" width="15" style="157" customWidth="1"/>
    <col min="14852" max="14852" width="13.28515625" style="157" customWidth="1"/>
    <col min="14853" max="14853" width="14.42578125" style="157" customWidth="1"/>
    <col min="14854" max="14854" width="14" style="157" customWidth="1"/>
    <col min="14855" max="14855" width="11" style="157" customWidth="1"/>
    <col min="14856" max="14856" width="12.42578125" style="157" customWidth="1"/>
    <col min="14857" max="14857" width="11.7109375" style="157" customWidth="1"/>
    <col min="14858" max="14858" width="11" style="157" customWidth="1"/>
    <col min="14859" max="14859" width="12.28515625" style="157" customWidth="1"/>
    <col min="14860" max="14866" width="11.42578125" style="157"/>
    <col min="14867" max="14867" width="14" style="157" customWidth="1"/>
    <col min="14868" max="14870" width="12.85546875" style="157" bestFit="1" customWidth="1"/>
    <col min="14871" max="15104" width="11.42578125" style="157"/>
    <col min="15105" max="15105" width="4.42578125" style="157" customWidth="1"/>
    <col min="15106" max="15106" width="22.140625" style="157" customWidth="1"/>
    <col min="15107" max="15107" width="15" style="157" customWidth="1"/>
    <col min="15108" max="15108" width="13.28515625" style="157" customWidth="1"/>
    <col min="15109" max="15109" width="14.42578125" style="157" customWidth="1"/>
    <col min="15110" max="15110" width="14" style="157" customWidth="1"/>
    <col min="15111" max="15111" width="11" style="157" customWidth="1"/>
    <col min="15112" max="15112" width="12.42578125" style="157" customWidth="1"/>
    <col min="15113" max="15113" width="11.7109375" style="157" customWidth="1"/>
    <col min="15114" max="15114" width="11" style="157" customWidth="1"/>
    <col min="15115" max="15115" width="12.28515625" style="157" customWidth="1"/>
    <col min="15116" max="15122" width="11.42578125" style="157"/>
    <col min="15123" max="15123" width="14" style="157" customWidth="1"/>
    <col min="15124" max="15126" width="12.85546875" style="157" bestFit="1" customWidth="1"/>
    <col min="15127" max="15360" width="11.42578125" style="157"/>
    <col min="15361" max="15361" width="4.42578125" style="157" customWidth="1"/>
    <col min="15362" max="15362" width="22.140625" style="157" customWidth="1"/>
    <col min="15363" max="15363" width="15" style="157" customWidth="1"/>
    <col min="15364" max="15364" width="13.28515625" style="157" customWidth="1"/>
    <col min="15365" max="15365" width="14.42578125" style="157" customWidth="1"/>
    <col min="15366" max="15366" width="14" style="157" customWidth="1"/>
    <col min="15367" max="15367" width="11" style="157" customWidth="1"/>
    <col min="15368" max="15368" width="12.42578125" style="157" customWidth="1"/>
    <col min="15369" max="15369" width="11.7109375" style="157" customWidth="1"/>
    <col min="15370" max="15370" width="11" style="157" customWidth="1"/>
    <col min="15371" max="15371" width="12.28515625" style="157" customWidth="1"/>
    <col min="15372" max="15378" width="11.42578125" style="157"/>
    <col min="15379" max="15379" width="14" style="157" customWidth="1"/>
    <col min="15380" max="15382" width="12.85546875" style="157" bestFit="1" customWidth="1"/>
    <col min="15383" max="15616" width="11.42578125" style="157"/>
    <col min="15617" max="15617" width="4.42578125" style="157" customWidth="1"/>
    <col min="15618" max="15618" width="22.140625" style="157" customWidth="1"/>
    <col min="15619" max="15619" width="15" style="157" customWidth="1"/>
    <col min="15620" max="15620" width="13.28515625" style="157" customWidth="1"/>
    <col min="15621" max="15621" width="14.42578125" style="157" customWidth="1"/>
    <col min="15622" max="15622" width="14" style="157" customWidth="1"/>
    <col min="15623" max="15623" width="11" style="157" customWidth="1"/>
    <col min="15624" max="15624" width="12.42578125" style="157" customWidth="1"/>
    <col min="15625" max="15625" width="11.7109375" style="157" customWidth="1"/>
    <col min="15626" max="15626" width="11" style="157" customWidth="1"/>
    <col min="15627" max="15627" width="12.28515625" style="157" customWidth="1"/>
    <col min="15628" max="15634" width="11.42578125" style="157"/>
    <col min="15635" max="15635" width="14" style="157" customWidth="1"/>
    <col min="15636" max="15638" width="12.85546875" style="157" bestFit="1" customWidth="1"/>
    <col min="15639" max="15872" width="11.42578125" style="157"/>
    <col min="15873" max="15873" width="4.42578125" style="157" customWidth="1"/>
    <col min="15874" max="15874" width="22.140625" style="157" customWidth="1"/>
    <col min="15875" max="15875" width="15" style="157" customWidth="1"/>
    <col min="15876" max="15876" width="13.28515625" style="157" customWidth="1"/>
    <col min="15877" max="15877" width="14.42578125" style="157" customWidth="1"/>
    <col min="15878" max="15878" width="14" style="157" customWidth="1"/>
    <col min="15879" max="15879" width="11" style="157" customWidth="1"/>
    <col min="15880" max="15880" width="12.42578125" style="157" customWidth="1"/>
    <col min="15881" max="15881" width="11.7109375" style="157" customWidth="1"/>
    <col min="15882" max="15882" width="11" style="157" customWidth="1"/>
    <col min="15883" max="15883" width="12.28515625" style="157" customWidth="1"/>
    <col min="15884" max="15890" width="11.42578125" style="157"/>
    <col min="15891" max="15891" width="14" style="157" customWidth="1"/>
    <col min="15892" max="15894" width="12.85546875" style="157" bestFit="1" customWidth="1"/>
    <col min="15895" max="16128" width="11.42578125" style="157"/>
    <col min="16129" max="16129" width="4.42578125" style="157" customWidth="1"/>
    <col min="16130" max="16130" width="22.140625" style="157" customWidth="1"/>
    <col min="16131" max="16131" width="15" style="157" customWidth="1"/>
    <col min="16132" max="16132" width="13.28515625" style="157" customWidth="1"/>
    <col min="16133" max="16133" width="14.42578125" style="157" customWidth="1"/>
    <col min="16134" max="16134" width="14" style="157" customWidth="1"/>
    <col min="16135" max="16135" width="11" style="157" customWidth="1"/>
    <col min="16136" max="16136" width="12.42578125" style="157" customWidth="1"/>
    <col min="16137" max="16137" width="11.7109375" style="157" customWidth="1"/>
    <col min="16138" max="16138" width="11" style="157" customWidth="1"/>
    <col min="16139" max="16139" width="12.28515625" style="157" customWidth="1"/>
    <col min="16140" max="16146" width="11.42578125" style="157"/>
    <col min="16147" max="16147" width="14" style="157" customWidth="1"/>
    <col min="16148" max="16150" width="12.85546875" style="157" bestFit="1" customWidth="1"/>
    <col min="16151" max="16384" width="11.42578125" style="157"/>
  </cols>
  <sheetData>
    <row r="1" spans="1:22" s="573" customFormat="1" ht="18" x14ac:dyDescent="0.25">
      <c r="A1" s="570" t="s">
        <v>288</v>
      </c>
    </row>
    <row r="2" spans="1:22" s="573" customFormat="1" x14ac:dyDescent="0.2"/>
    <row r="3" spans="1:22" s="573" customFormat="1" ht="15" x14ac:dyDescent="0.25">
      <c r="C3" s="571"/>
      <c r="D3" s="571"/>
      <c r="E3" s="571"/>
      <c r="F3" s="571"/>
      <c r="G3" s="571"/>
      <c r="H3" s="572"/>
      <c r="I3" s="572"/>
      <c r="J3" s="572"/>
      <c r="K3" s="572"/>
    </row>
    <row r="4" spans="1:22" s="573" customFormat="1" ht="18" x14ac:dyDescent="0.25">
      <c r="B4" s="570" t="s">
        <v>289</v>
      </c>
      <c r="F4" s="646" t="s">
        <v>285</v>
      </c>
    </row>
    <row r="5" spans="1:22" s="573" customFormat="1" x14ac:dyDescent="0.2"/>
    <row r="6" spans="1:22" x14ac:dyDescent="0.2">
      <c r="B6" s="1395" t="s">
        <v>132</v>
      </c>
      <c r="C6" s="1397" t="s">
        <v>275</v>
      </c>
      <c r="D6" s="1398"/>
      <c r="E6" s="1398"/>
      <c r="F6" s="1397" t="s">
        <v>154</v>
      </c>
      <c r="G6" s="1398"/>
      <c r="H6" s="1398"/>
      <c r="I6" s="1408" t="s">
        <v>152</v>
      </c>
      <c r="J6" s="1398"/>
      <c r="K6" s="1399"/>
    </row>
    <row r="7" spans="1:22" x14ac:dyDescent="0.2">
      <c r="B7" s="1396"/>
      <c r="C7" s="920" t="s">
        <v>151</v>
      </c>
      <c r="D7" s="173" t="s">
        <v>262</v>
      </c>
      <c r="E7" s="172" t="s">
        <v>263</v>
      </c>
      <c r="F7" s="922" t="s">
        <v>264</v>
      </c>
      <c r="G7" s="173" t="s">
        <v>262</v>
      </c>
      <c r="H7" s="172" t="s">
        <v>263</v>
      </c>
      <c r="I7" s="174" t="s">
        <v>151</v>
      </c>
      <c r="J7" s="173" t="s">
        <v>262</v>
      </c>
      <c r="K7" s="921" t="s">
        <v>263</v>
      </c>
    </row>
    <row r="8" spans="1:22" x14ac:dyDescent="0.2">
      <c r="B8" s="923"/>
      <c r="C8" s="924"/>
      <c r="D8" s="185"/>
      <c r="E8" s="184"/>
      <c r="F8" s="926"/>
      <c r="G8" s="185"/>
      <c r="H8" s="184"/>
      <c r="I8" s="187"/>
      <c r="J8" s="185"/>
      <c r="K8" s="925"/>
      <c r="O8" s="157" t="s">
        <v>276</v>
      </c>
      <c r="P8" s="157" t="s">
        <v>277</v>
      </c>
    </row>
    <row r="9" spans="1:22" ht="15" x14ac:dyDescent="0.25">
      <c r="B9" s="979"/>
      <c r="C9" s="1031"/>
      <c r="D9" s="329"/>
      <c r="E9" s="1106"/>
      <c r="F9" s="1107"/>
      <c r="G9" s="329"/>
      <c r="H9" s="1106"/>
      <c r="I9" s="1108"/>
      <c r="J9" s="329"/>
      <c r="K9" s="1109"/>
      <c r="R9"/>
      <c r="S9"/>
      <c r="T9"/>
      <c r="U9"/>
      <c r="V9"/>
    </row>
    <row r="10" spans="1:22" ht="15" x14ac:dyDescent="0.25">
      <c r="B10" s="1221">
        <v>1995</v>
      </c>
      <c r="C10" s="1797">
        <v>8.3932836241269282</v>
      </c>
      <c r="D10" s="1798">
        <v>10.148610371781364</v>
      </c>
      <c r="E10" s="1799">
        <v>5.0917768788358657</v>
      </c>
      <c r="F10" s="1800">
        <v>8.9555606852646115</v>
      </c>
      <c r="G10" s="1798">
        <v>10.148610371781364</v>
      </c>
      <c r="H10" s="1799">
        <v>5.5357375593344766</v>
      </c>
      <c r="I10" s="1801">
        <v>4.2445573090579085</v>
      </c>
      <c r="J10" s="1798"/>
      <c r="K10" s="1618">
        <v>4.2445573090579085</v>
      </c>
      <c r="L10" s="163"/>
      <c r="M10" s="202"/>
      <c r="N10" s="157">
        <v>1995</v>
      </c>
      <c r="O10" s="203">
        <f>+D10</f>
        <v>10.148610371781364</v>
      </c>
      <c r="P10" s="203">
        <f>+E10</f>
        <v>5.0917768788358657</v>
      </c>
      <c r="R10"/>
      <c r="S10"/>
      <c r="T10"/>
      <c r="U10"/>
      <c r="V10"/>
    </row>
    <row r="11" spans="1:22" ht="15" x14ac:dyDescent="0.25">
      <c r="B11" s="791">
        <v>1996</v>
      </c>
      <c r="C11" s="1053">
        <v>8.647606873247458</v>
      </c>
      <c r="D11" s="1057">
        <v>10.37984664865154</v>
      </c>
      <c r="E11" s="1056">
        <v>5.3374765504742943</v>
      </c>
      <c r="F11" s="1110">
        <v>9.3774573213785253</v>
      </c>
      <c r="G11" s="1057">
        <v>10.37984664865154</v>
      </c>
      <c r="H11" s="1056">
        <v>5.9592969871676909</v>
      </c>
      <c r="I11" s="1111">
        <v>4.5448535324028105</v>
      </c>
      <c r="J11" s="1057"/>
      <c r="K11" s="496">
        <v>4.5448535324028105</v>
      </c>
      <c r="L11" s="163"/>
      <c r="M11" s="202"/>
      <c r="N11" s="157">
        <v>1996</v>
      </c>
      <c r="O11" s="203">
        <f t="shared" ref="O11:P28" si="0">+D11</f>
        <v>10.37984664865154</v>
      </c>
      <c r="P11" s="203">
        <f t="shared" si="0"/>
        <v>5.3374765504742943</v>
      </c>
      <c r="R11"/>
      <c r="S11"/>
      <c r="T11"/>
      <c r="U11"/>
      <c r="V11"/>
    </row>
    <row r="12" spans="1:22" ht="15" x14ac:dyDescent="0.25">
      <c r="B12" s="1221">
        <v>1997</v>
      </c>
      <c r="C12" s="1797">
        <v>8.1882474543939985</v>
      </c>
      <c r="D12" s="1798">
        <v>10.146978053246057</v>
      </c>
      <c r="E12" s="1799">
        <v>5.4201200311090698</v>
      </c>
      <c r="F12" s="1800">
        <v>9.1635885122824927</v>
      </c>
      <c r="G12" s="1798">
        <v>10.146978053246057</v>
      </c>
      <c r="H12" s="1799">
        <v>5.7265372648894912</v>
      </c>
      <c r="I12" s="1801">
        <v>5.2121175208150961</v>
      </c>
      <c r="J12" s="1798"/>
      <c r="K12" s="1618">
        <v>5.2121175208150961</v>
      </c>
      <c r="L12" s="163"/>
      <c r="M12" s="202"/>
      <c r="N12" s="157">
        <v>1997</v>
      </c>
      <c r="O12" s="203">
        <f t="shared" si="0"/>
        <v>10.146978053246057</v>
      </c>
      <c r="P12" s="203">
        <f t="shared" si="0"/>
        <v>5.4201200311090698</v>
      </c>
      <c r="R12"/>
      <c r="S12"/>
      <c r="T12"/>
      <c r="U12"/>
      <c r="V12"/>
    </row>
    <row r="13" spans="1:22" ht="15" x14ac:dyDescent="0.25">
      <c r="B13" s="791">
        <v>1998</v>
      </c>
      <c r="C13" s="1053">
        <v>7.0538569551395423</v>
      </c>
      <c r="D13" s="1057">
        <v>8.753240333635766</v>
      </c>
      <c r="E13" s="1056">
        <v>4.9459578496514798</v>
      </c>
      <c r="F13" s="1110">
        <v>7.9571609356886182</v>
      </c>
      <c r="G13" s="1057">
        <v>8.753240333635766</v>
      </c>
      <c r="H13" s="1056">
        <v>5.0486463977806757</v>
      </c>
      <c r="I13" s="1111">
        <v>4.8931747664703975</v>
      </c>
      <c r="J13" s="1057"/>
      <c r="K13" s="496">
        <v>4.8931747664703975</v>
      </c>
      <c r="L13" s="163"/>
      <c r="M13" s="202"/>
      <c r="N13" s="157">
        <v>1998</v>
      </c>
      <c r="O13" s="203">
        <f t="shared" si="0"/>
        <v>8.753240333635766</v>
      </c>
      <c r="P13" s="203">
        <f t="shared" si="0"/>
        <v>4.9459578496514798</v>
      </c>
      <c r="R13"/>
      <c r="S13"/>
      <c r="T13"/>
      <c r="U13"/>
      <c r="V13"/>
    </row>
    <row r="14" spans="1:22" ht="15" x14ac:dyDescent="0.25">
      <c r="B14" s="1221">
        <v>1999</v>
      </c>
      <c r="C14" s="1797">
        <v>6.7979710943220208</v>
      </c>
      <c r="D14" s="1798">
        <v>8.3066426364644457</v>
      </c>
      <c r="E14" s="1799">
        <v>4.9301915818936246</v>
      </c>
      <c r="F14" s="1800">
        <v>7.6320210282889089</v>
      </c>
      <c r="G14" s="1798">
        <v>8.3066426364644457</v>
      </c>
      <c r="H14" s="1799">
        <v>5.0718506766791807</v>
      </c>
      <c r="I14" s="1801">
        <v>4.8616026075361827</v>
      </c>
      <c r="J14" s="1798"/>
      <c r="K14" s="1618">
        <v>4.8616026075361827</v>
      </c>
      <c r="L14" s="163"/>
      <c r="M14" s="202"/>
      <c r="N14" s="157">
        <v>1999</v>
      </c>
      <c r="O14" s="203">
        <f t="shared" si="0"/>
        <v>8.3066426364644457</v>
      </c>
      <c r="P14" s="203">
        <f t="shared" si="0"/>
        <v>4.9301915818936246</v>
      </c>
      <c r="R14"/>
      <c r="S14"/>
      <c r="T14"/>
      <c r="U14"/>
      <c r="V14"/>
    </row>
    <row r="15" spans="1:22" ht="15" x14ac:dyDescent="0.25">
      <c r="B15" s="791">
        <v>2000</v>
      </c>
      <c r="C15" s="1053">
        <v>7.1600313284956645</v>
      </c>
      <c r="D15" s="1057">
        <v>8.8063395358146757</v>
      </c>
      <c r="E15" s="1056">
        <v>5.2213140505014408</v>
      </c>
      <c r="F15" s="1110">
        <v>8.0465527241033001</v>
      </c>
      <c r="G15" s="1057">
        <v>8.8063395358146757</v>
      </c>
      <c r="H15" s="1056">
        <v>5.3360143471179855</v>
      </c>
      <c r="I15" s="1111">
        <v>5.1647954842633439</v>
      </c>
      <c r="J15" s="1112"/>
      <c r="K15" s="496">
        <v>5.1647954842633439</v>
      </c>
      <c r="L15" s="163"/>
      <c r="M15" s="202"/>
      <c r="N15" s="157">
        <v>2000</v>
      </c>
      <c r="O15" s="203">
        <f t="shared" si="0"/>
        <v>8.8063395358146757</v>
      </c>
      <c r="P15" s="203">
        <f t="shared" si="0"/>
        <v>5.2213140505014408</v>
      </c>
      <c r="R15"/>
      <c r="S15"/>
      <c r="T15"/>
      <c r="U15"/>
      <c r="V15"/>
    </row>
    <row r="16" spans="1:22" ht="15" x14ac:dyDescent="0.25">
      <c r="B16" s="1221">
        <v>2001</v>
      </c>
      <c r="C16" s="1797">
        <v>6.8517181867515884</v>
      </c>
      <c r="D16" s="1798">
        <v>8.7949736111824013</v>
      </c>
      <c r="E16" s="1799">
        <v>4.7425532789429576</v>
      </c>
      <c r="F16" s="1800">
        <v>8.1980760639170676</v>
      </c>
      <c r="G16" s="1798">
        <v>8.7949736111824013</v>
      </c>
      <c r="H16" s="1799">
        <v>5.4318103535360782</v>
      </c>
      <c r="I16" s="1801">
        <v>4.5317559390314024</v>
      </c>
      <c r="J16" s="1802"/>
      <c r="K16" s="1618">
        <v>4.5317559390314024</v>
      </c>
      <c r="L16" s="163"/>
      <c r="M16" s="202"/>
      <c r="N16" s="157">
        <v>2001</v>
      </c>
      <c r="O16" s="203">
        <f t="shared" si="0"/>
        <v>8.7949736111824013</v>
      </c>
      <c r="P16" s="203">
        <f t="shared" si="0"/>
        <v>4.7425532789429576</v>
      </c>
      <c r="R16"/>
      <c r="S16"/>
      <c r="T16"/>
      <c r="U16"/>
      <c r="V16"/>
    </row>
    <row r="17" spans="2:22" ht="15" x14ac:dyDescent="0.25">
      <c r="B17" s="791">
        <v>2002</v>
      </c>
      <c r="C17" s="1053">
        <v>6.5722564065548337</v>
      </c>
      <c r="D17" s="1057">
        <v>8.2905260118522683</v>
      </c>
      <c r="E17" s="1056">
        <v>4.6821377072021297</v>
      </c>
      <c r="F17" s="1110">
        <v>7.758352080828165</v>
      </c>
      <c r="G17" s="1057">
        <v>8.2905260118522683</v>
      </c>
      <c r="H17" s="1056">
        <v>5.1639888849993891</v>
      </c>
      <c r="I17" s="1111">
        <v>4.5417296862557039</v>
      </c>
      <c r="J17" s="1112"/>
      <c r="K17" s="496">
        <v>4.5417296862557039</v>
      </c>
      <c r="L17" s="163"/>
      <c r="M17" s="202"/>
      <c r="N17" s="157">
        <v>2002</v>
      </c>
      <c r="O17" s="203">
        <f t="shared" si="0"/>
        <v>8.2905260118522683</v>
      </c>
      <c r="P17" s="203">
        <f t="shared" si="0"/>
        <v>4.6821377072021297</v>
      </c>
      <c r="R17"/>
      <c r="S17"/>
      <c r="T17"/>
      <c r="U17"/>
      <c r="V17"/>
    </row>
    <row r="18" spans="2:22" ht="15" x14ac:dyDescent="0.25">
      <c r="B18" s="1221">
        <v>2003</v>
      </c>
      <c r="C18" s="1797">
        <v>6.6241519760682381</v>
      </c>
      <c r="D18" s="1798">
        <v>8.4395468219330851</v>
      </c>
      <c r="E18" s="1799">
        <v>4.6334748884993324</v>
      </c>
      <c r="F18" s="1800">
        <v>7.971753161907678</v>
      </c>
      <c r="G18" s="1798">
        <v>8.4395468219330851</v>
      </c>
      <c r="H18" s="1799">
        <v>5.315913767730283</v>
      </c>
      <c r="I18" s="1801">
        <v>4.4701131993241967</v>
      </c>
      <c r="J18" s="1802"/>
      <c r="K18" s="1618">
        <v>4.4701131993241967</v>
      </c>
      <c r="L18" s="163"/>
      <c r="M18" s="202"/>
      <c r="N18" s="157">
        <v>2003</v>
      </c>
      <c r="O18" s="203">
        <f t="shared" si="0"/>
        <v>8.4395468219330851</v>
      </c>
      <c r="P18" s="203">
        <f t="shared" si="0"/>
        <v>4.6334748884993324</v>
      </c>
      <c r="R18"/>
      <c r="S18"/>
      <c r="T18"/>
      <c r="U18"/>
      <c r="V18"/>
    </row>
    <row r="19" spans="2:22" ht="15" x14ac:dyDescent="0.25">
      <c r="B19" s="791">
        <v>2004</v>
      </c>
      <c r="C19" s="1053">
        <v>7.0379541088956712</v>
      </c>
      <c r="D19" s="1057">
        <v>8.6742016054190874</v>
      </c>
      <c r="E19" s="1056">
        <v>5.2142013164260836</v>
      </c>
      <c r="F19" s="1110">
        <v>8.2230231770089492</v>
      </c>
      <c r="G19" s="1057">
        <v>8.6742016054190874</v>
      </c>
      <c r="H19" s="1056">
        <v>5.3901465775055355</v>
      </c>
      <c r="I19" s="1111">
        <v>5.1762271900611463</v>
      </c>
      <c r="J19" s="1112"/>
      <c r="K19" s="496">
        <v>5.1762271900611463</v>
      </c>
      <c r="L19" s="163"/>
      <c r="M19" s="202"/>
      <c r="N19" s="157">
        <v>2004</v>
      </c>
      <c r="O19" s="203">
        <f t="shared" si="0"/>
        <v>8.6742016054190874</v>
      </c>
      <c r="P19" s="203">
        <f t="shared" si="0"/>
        <v>5.2142013164260836</v>
      </c>
      <c r="R19"/>
      <c r="S19"/>
      <c r="T19"/>
      <c r="U19"/>
      <c r="V19"/>
    </row>
    <row r="20" spans="2:22" ht="15" x14ac:dyDescent="0.25">
      <c r="B20" s="1221">
        <v>2005</v>
      </c>
      <c r="C20" s="1797">
        <v>7.6295174613677208</v>
      </c>
      <c r="D20" s="1798">
        <v>9.4007778088619069</v>
      </c>
      <c r="E20" s="1799">
        <v>5.5617579225654694</v>
      </c>
      <c r="F20" s="1800">
        <v>8.8884914595819442</v>
      </c>
      <c r="G20" s="1798">
        <v>9.4007778088619069</v>
      </c>
      <c r="H20" s="1799">
        <v>5.650701414642656</v>
      </c>
      <c r="I20" s="1801">
        <v>5.5416076080909722</v>
      </c>
      <c r="J20" s="1802"/>
      <c r="K20" s="1618">
        <v>5.5416076080909722</v>
      </c>
      <c r="L20" s="163"/>
      <c r="M20" s="202"/>
      <c r="N20" s="157">
        <v>2005</v>
      </c>
      <c r="O20" s="203">
        <f t="shared" si="0"/>
        <v>9.4007778088619069</v>
      </c>
      <c r="P20" s="203">
        <f t="shared" si="0"/>
        <v>5.5617579225654694</v>
      </c>
      <c r="R20"/>
      <c r="S20"/>
      <c r="T20"/>
      <c r="U20"/>
      <c r="V20"/>
    </row>
    <row r="21" spans="2:22" ht="15" x14ac:dyDescent="0.25">
      <c r="B21" s="791">
        <v>2006</v>
      </c>
      <c r="C21" s="1053">
        <v>7.5478896322436135</v>
      </c>
      <c r="D21" s="1057">
        <v>9.2054198190234704</v>
      </c>
      <c r="E21" s="1056">
        <v>5.5547819540921299</v>
      </c>
      <c r="F21" s="1110">
        <v>8.7025840778489254</v>
      </c>
      <c r="G21" s="1057">
        <v>9.2054198190234704</v>
      </c>
      <c r="H21" s="1056">
        <v>5.4374484419028404</v>
      </c>
      <c r="I21" s="1111">
        <v>5.581447756240201</v>
      </c>
      <c r="J21" s="1112"/>
      <c r="K21" s="496">
        <v>5.581447756240201</v>
      </c>
      <c r="L21" s="163"/>
      <c r="M21" s="202"/>
      <c r="N21" s="157">
        <v>2006</v>
      </c>
      <c r="O21" s="203">
        <f t="shared" si="0"/>
        <v>9.2054198190234704</v>
      </c>
      <c r="P21" s="203">
        <f t="shared" si="0"/>
        <v>5.5547819540921299</v>
      </c>
      <c r="R21"/>
      <c r="S21"/>
      <c r="T21"/>
      <c r="U21"/>
      <c r="V21"/>
    </row>
    <row r="22" spans="2:22" ht="15" x14ac:dyDescent="0.25">
      <c r="B22" s="1221">
        <v>2007</v>
      </c>
      <c r="C22" s="1797">
        <v>7.4049441102825799</v>
      </c>
      <c r="D22" s="1798">
        <v>9.0939060573690185</v>
      </c>
      <c r="E22" s="1799">
        <v>5.4233986202754707</v>
      </c>
      <c r="F22" s="1800">
        <v>8.6843545064319656</v>
      </c>
      <c r="G22" s="1798">
        <v>9.0939060573690185</v>
      </c>
      <c r="H22" s="1799">
        <v>5.4423840053332935</v>
      </c>
      <c r="I22" s="1801">
        <v>5.4200951405339648</v>
      </c>
      <c r="J22" s="1802"/>
      <c r="K22" s="1618">
        <v>5.4200951405339648</v>
      </c>
      <c r="L22" s="163"/>
      <c r="M22" s="202"/>
      <c r="N22" s="216">
        <v>2007</v>
      </c>
      <c r="O22" s="203">
        <f t="shared" si="0"/>
        <v>9.0939060573690185</v>
      </c>
      <c r="P22" s="203">
        <f t="shared" si="0"/>
        <v>5.4233986202754707</v>
      </c>
      <c r="R22"/>
      <c r="S22"/>
      <c r="T22"/>
      <c r="U22"/>
      <c r="V22"/>
    </row>
    <row r="23" spans="2:22" ht="15" x14ac:dyDescent="0.25">
      <c r="B23" s="791">
        <v>2008</v>
      </c>
      <c r="C23" s="1053">
        <v>8.2186096245238396</v>
      </c>
      <c r="D23" s="1057">
        <v>9.5638093579048657</v>
      </c>
      <c r="E23" s="1056">
        <v>6.63741891099464</v>
      </c>
      <c r="F23" s="1110">
        <v>9.2102011270063144</v>
      </c>
      <c r="G23" s="1057">
        <v>9.5638093579048657</v>
      </c>
      <c r="H23" s="1056">
        <v>6.2283301309714529</v>
      </c>
      <c r="I23" s="1111">
        <v>6.703677483775019</v>
      </c>
      <c r="J23" s="1112"/>
      <c r="K23" s="496">
        <v>6.703677483775019</v>
      </c>
      <c r="L23" s="163"/>
      <c r="M23" s="202"/>
      <c r="N23" s="216">
        <v>2008</v>
      </c>
      <c r="O23" s="203">
        <f t="shared" si="0"/>
        <v>9.5638093579048657</v>
      </c>
      <c r="P23" s="203">
        <f t="shared" si="0"/>
        <v>6.63741891099464</v>
      </c>
      <c r="R23"/>
      <c r="S23"/>
      <c r="T23"/>
      <c r="U23"/>
      <c r="V23"/>
    </row>
    <row r="24" spans="2:22" ht="15" x14ac:dyDescent="0.25">
      <c r="B24" s="1221">
        <v>2009</v>
      </c>
      <c r="C24" s="1797">
        <v>8.2550953480745317</v>
      </c>
      <c r="D24" s="1798">
        <v>10.220209425572106</v>
      </c>
      <c r="E24" s="1799">
        <v>5.7155802776107931</v>
      </c>
      <c r="F24" s="1800">
        <v>9.8347670342884221</v>
      </c>
      <c r="G24" s="1798">
        <v>10.220209425572106</v>
      </c>
      <c r="H24" s="1799">
        <v>6.5731995125609881</v>
      </c>
      <c r="I24" s="1801">
        <v>5.6537603270098931</v>
      </c>
      <c r="J24" s="1802"/>
      <c r="K24" s="1618">
        <v>5.6537603270098931</v>
      </c>
      <c r="L24" s="163"/>
      <c r="M24" s="202"/>
      <c r="N24" s="216">
        <v>2009</v>
      </c>
      <c r="O24" s="203">
        <f t="shared" si="0"/>
        <v>10.220209425572106</v>
      </c>
      <c r="P24" s="203">
        <f t="shared" si="0"/>
        <v>5.7155802776107931</v>
      </c>
      <c r="R24"/>
      <c r="S24"/>
      <c r="T24"/>
      <c r="U24"/>
      <c r="V24"/>
    </row>
    <row r="25" spans="2:22" ht="15" x14ac:dyDescent="0.25">
      <c r="B25" s="791">
        <v>2010</v>
      </c>
      <c r="C25" s="1053">
        <v>8.3181154409106988</v>
      </c>
      <c r="D25" s="1057">
        <v>10.459527312900395</v>
      </c>
      <c r="E25" s="1056">
        <v>5.6126682737488451</v>
      </c>
      <c r="F25" s="1110">
        <v>10.118555763056673</v>
      </c>
      <c r="G25" s="1057">
        <v>10.459527312900395</v>
      </c>
      <c r="H25" s="1056">
        <v>6.9434163707427059</v>
      </c>
      <c r="I25" s="1111">
        <v>5.4037809461686521</v>
      </c>
      <c r="J25" s="1112"/>
      <c r="K25" s="496">
        <v>5.4037809461686521</v>
      </c>
      <c r="L25" s="163"/>
      <c r="M25" s="202"/>
      <c r="N25" s="216">
        <v>2010</v>
      </c>
      <c r="O25" s="203">
        <f t="shared" si="0"/>
        <v>10.459527312900395</v>
      </c>
      <c r="P25" s="203">
        <f t="shared" si="0"/>
        <v>5.6126682737488451</v>
      </c>
      <c r="R25"/>
      <c r="S25"/>
      <c r="T25"/>
      <c r="U25"/>
      <c r="V25"/>
    </row>
    <row r="26" spans="2:22" x14ac:dyDescent="0.2">
      <c r="B26" s="1221">
        <v>2011</v>
      </c>
      <c r="C26" s="1797">
        <v>8.989189254591011</v>
      </c>
      <c r="D26" s="1798">
        <v>11.091278800848533</v>
      </c>
      <c r="E26" s="1799">
        <v>6.2890521736374838</v>
      </c>
      <c r="F26" s="1800">
        <v>10.785558411402899</v>
      </c>
      <c r="G26" s="1798">
        <v>11.091278800848533</v>
      </c>
      <c r="H26" s="1799">
        <v>7.8471430858597868</v>
      </c>
      <c r="I26" s="1801">
        <v>6.048703533336055</v>
      </c>
      <c r="J26" s="1802"/>
      <c r="K26" s="1618">
        <v>6.048703533336055</v>
      </c>
      <c r="L26" s="163"/>
      <c r="M26" s="202"/>
      <c r="N26" s="216">
        <v>2011</v>
      </c>
      <c r="O26" s="203">
        <f t="shared" si="0"/>
        <v>11.091278800848533</v>
      </c>
      <c r="P26" s="203">
        <f t="shared" si="0"/>
        <v>6.2890521736374838</v>
      </c>
    </row>
    <row r="27" spans="2:22" x14ac:dyDescent="0.2">
      <c r="B27" s="791">
        <v>2012</v>
      </c>
      <c r="C27" s="1053">
        <v>9.8047648265499703</v>
      </c>
      <c r="D27" s="1057">
        <v>12.201537385477197</v>
      </c>
      <c r="E27" s="1056">
        <v>6.7101196509343106</v>
      </c>
      <c r="F27" s="1110">
        <v>11.813141103914758</v>
      </c>
      <c r="G27" s="1072">
        <v>12.201537385477197</v>
      </c>
      <c r="H27" s="1071">
        <v>8.1031305793669972</v>
      </c>
      <c r="I27" s="1111">
        <v>6.4923946475231222</v>
      </c>
      <c r="J27" s="1112"/>
      <c r="K27" s="496">
        <v>6.4923946475231222</v>
      </c>
      <c r="L27" s="163"/>
      <c r="M27" s="202"/>
      <c r="N27" s="216">
        <v>2012</v>
      </c>
      <c r="O27" s="203">
        <f t="shared" si="0"/>
        <v>12.201537385477197</v>
      </c>
      <c r="P27" s="203">
        <f t="shared" si="0"/>
        <v>6.7101196509343106</v>
      </c>
    </row>
    <row r="28" spans="2:22" x14ac:dyDescent="0.2">
      <c r="B28" s="1221">
        <v>2013</v>
      </c>
      <c r="C28" s="1797">
        <v>9.9304791574495219</v>
      </c>
      <c r="D28" s="1798">
        <v>12.233886288512146</v>
      </c>
      <c r="E28" s="1799">
        <v>7.018399935430935</v>
      </c>
      <c r="F28" s="1800">
        <v>11.933029674417638</v>
      </c>
      <c r="G28" s="1798">
        <v>12.233886288512146</v>
      </c>
      <c r="H28" s="1799">
        <v>9.0206498419619479</v>
      </c>
      <c r="I28" s="1801">
        <v>6.7174837111051282</v>
      </c>
      <c r="J28" s="1802"/>
      <c r="K28" s="1618">
        <v>6.7174837111051282</v>
      </c>
      <c r="L28" s="347"/>
      <c r="M28" s="202"/>
      <c r="N28" s="216">
        <v>2013</v>
      </c>
      <c r="O28" s="203">
        <f t="shared" si="0"/>
        <v>12.233886288512146</v>
      </c>
      <c r="P28" s="203">
        <f t="shared" si="0"/>
        <v>7.018399935430935</v>
      </c>
    </row>
    <row r="29" spans="2:22" x14ac:dyDescent="0.2">
      <c r="B29" s="796">
        <v>2014</v>
      </c>
      <c r="C29" s="1053">
        <v>10.783782050828528</v>
      </c>
      <c r="D29" s="1057">
        <v>13.430247970776314</v>
      </c>
      <c r="E29" s="1056">
        <v>7.4662387275736641</v>
      </c>
      <c r="F29" s="1110">
        <f>[9]desagregados!B27</f>
        <v>13.055122860006383</v>
      </c>
      <c r="G29" s="1072">
        <f>[9]desagregados!H27</f>
        <v>13.430247970776314</v>
      </c>
      <c r="H29" s="1071">
        <f>[9]desagregados!C27</f>
        <v>9.1953187125424485</v>
      </c>
      <c r="I29" s="1111">
        <f>K29</f>
        <v>7.2263562019802521</v>
      </c>
      <c r="J29" s="1112"/>
      <c r="K29" s="496">
        <f>[9]desagregados!B62</f>
        <v>7.2263562019802521</v>
      </c>
      <c r="L29" s="347"/>
      <c r="M29" s="202"/>
      <c r="N29" s="259">
        <v>2014</v>
      </c>
      <c r="O29" s="203">
        <f>+D29</f>
        <v>13.430247970776314</v>
      </c>
      <c r="P29" s="203">
        <f>+E29</f>
        <v>7.4662387275736641</v>
      </c>
    </row>
    <row r="30" spans="2:22" x14ac:dyDescent="0.2">
      <c r="B30" s="1221" t="s">
        <v>136</v>
      </c>
      <c r="C30" s="1797">
        <v>10.7441386204883</v>
      </c>
      <c r="D30" s="1798">
        <v>13.6635187699158</v>
      </c>
      <c r="E30" s="1799">
        <v>7.2738627275736798</v>
      </c>
      <c r="F30" s="1800">
        <v>13.306050232825701</v>
      </c>
      <c r="G30" s="1798">
        <v>13.6635187699158</v>
      </c>
      <c r="H30" s="1799">
        <v>9.4866635763911997</v>
      </c>
      <c r="I30" s="1801">
        <v>6.9968602657648633</v>
      </c>
      <c r="J30" s="1802"/>
      <c r="K30" s="1618">
        <v>6.9968602657648633</v>
      </c>
      <c r="L30" s="347"/>
      <c r="M30" s="202"/>
      <c r="N30" s="259" t="s">
        <v>136</v>
      </c>
      <c r="O30" s="203">
        <f>+D30</f>
        <v>13.6635187699158</v>
      </c>
      <c r="P30" s="203">
        <f>+E30</f>
        <v>7.2738627275736798</v>
      </c>
    </row>
    <row r="31" spans="2:22" ht="18.75" customHeight="1" thickBot="1" x14ac:dyDescent="0.25">
      <c r="B31" s="1113"/>
      <c r="C31" s="1114"/>
      <c r="D31" s="1115"/>
      <c r="E31" s="1116"/>
      <c r="F31" s="1117"/>
      <c r="G31" s="1118"/>
      <c r="H31" s="1116"/>
      <c r="I31" s="1119"/>
      <c r="J31" s="1120"/>
      <c r="K31" s="1121"/>
    </row>
    <row r="32" spans="2:22" ht="18.75" customHeight="1" x14ac:dyDescent="0.2">
      <c r="B32" s="1719" t="s">
        <v>137</v>
      </c>
      <c r="C32" s="1803">
        <f>(C30/C29)-1</f>
        <v>-3.6762084168032727E-3</v>
      </c>
      <c r="D32" s="609">
        <f t="shared" ref="D32:K32" si="1">(D30/D29)-1</f>
        <v>1.7369061215182002E-2</v>
      </c>
      <c r="E32" s="1605">
        <f t="shared" si="1"/>
        <v>-2.5766119597745774E-2</v>
      </c>
      <c r="F32" s="1803">
        <f t="shared" si="1"/>
        <v>1.9220606003488516E-2</v>
      </c>
      <c r="G32" s="609">
        <f t="shared" si="1"/>
        <v>1.7369061215182002E-2</v>
      </c>
      <c r="H32" s="1605">
        <f>(H30/H29)-1</f>
        <v>3.1684041951841824E-2</v>
      </c>
      <c r="I32" s="609">
        <f t="shared" si="1"/>
        <v>-3.1758182104626886E-2</v>
      </c>
      <c r="J32" s="609" t="s">
        <v>109</v>
      </c>
      <c r="K32" s="1605">
        <f t="shared" si="1"/>
        <v>-3.1758182104626886E-2</v>
      </c>
    </row>
    <row r="33" spans="2:31" ht="18.75" customHeight="1" x14ac:dyDescent="0.2">
      <c r="B33" s="947" t="s">
        <v>138</v>
      </c>
      <c r="C33" s="1122">
        <f>((C30/C25)^(1/5))-1</f>
        <v>5.2517515582567897E-2</v>
      </c>
      <c r="D33" s="1123">
        <f t="shared" ref="D33:K33" si="2">((D30/D25)^(1/5))-1</f>
        <v>5.4897103549041759E-2</v>
      </c>
      <c r="E33" s="1124">
        <f t="shared" si="2"/>
        <v>5.3220115670052914E-2</v>
      </c>
      <c r="F33" s="1122">
        <f t="shared" si="2"/>
        <v>5.6297193364783338E-2</v>
      </c>
      <c r="G33" s="1123">
        <f t="shared" si="2"/>
        <v>5.4897103549041759E-2</v>
      </c>
      <c r="H33" s="1124">
        <f t="shared" si="2"/>
        <v>6.4407823752685944E-2</v>
      </c>
      <c r="I33" s="1123">
        <f t="shared" si="2"/>
        <v>5.3030846072270377E-2</v>
      </c>
      <c r="J33" s="1123" t="s">
        <v>109</v>
      </c>
      <c r="K33" s="1124">
        <f t="shared" si="2"/>
        <v>5.3030846072270377E-2</v>
      </c>
    </row>
    <row r="34" spans="2:31" ht="18.75" customHeight="1" x14ac:dyDescent="0.2">
      <c r="B34" s="1724" t="s">
        <v>144</v>
      </c>
      <c r="C34" s="1804">
        <f>(C30/C20)-1</f>
        <v>0.40823304683311257</v>
      </c>
      <c r="D34" s="1805">
        <f t="shared" ref="D34:K34" si="3">(D30/D20)-1</f>
        <v>0.45344556032751893</v>
      </c>
      <c r="E34" s="1806">
        <f t="shared" si="3"/>
        <v>0.3078351896729925</v>
      </c>
      <c r="F34" s="1804">
        <f t="shared" si="3"/>
        <v>0.49699758314798781</v>
      </c>
      <c r="G34" s="1805">
        <f t="shared" si="3"/>
        <v>0.45344556032751893</v>
      </c>
      <c r="H34" s="1806">
        <f t="shared" si="3"/>
        <v>0.67884708114437253</v>
      </c>
      <c r="I34" s="1805">
        <f t="shared" si="3"/>
        <v>0.26260478196781079</v>
      </c>
      <c r="J34" s="1805" t="s">
        <v>109</v>
      </c>
      <c r="K34" s="1806">
        <f t="shared" si="3"/>
        <v>0.26260478196781079</v>
      </c>
      <c r="T34" s="202"/>
    </row>
    <row r="35" spans="2:31" s="573" customFormat="1" ht="18" customHeight="1" thickBot="1" x14ac:dyDescent="0.25">
      <c r="B35" s="953" t="s">
        <v>140</v>
      </c>
      <c r="C35" s="1125">
        <f>((C30/C20)^(1/10))-1</f>
        <v>3.4826289113237152E-2</v>
      </c>
      <c r="D35" s="1126">
        <f t="shared" ref="D35:K35" si="4">((D30/D20)^(1/10))-1</f>
        <v>3.810163957121393E-2</v>
      </c>
      <c r="E35" s="1127">
        <f t="shared" si="4"/>
        <v>2.720068861266256E-2</v>
      </c>
      <c r="F35" s="1125">
        <f t="shared" si="4"/>
        <v>4.1171112264043019E-2</v>
      </c>
      <c r="G35" s="1126">
        <f t="shared" si="4"/>
        <v>3.810163957121393E-2</v>
      </c>
      <c r="H35" s="1127">
        <f t="shared" si="4"/>
        <v>5.3176388595609358E-2</v>
      </c>
      <c r="I35" s="1126">
        <f t="shared" si="4"/>
        <v>2.359167011083052E-2</v>
      </c>
      <c r="J35" s="1126" t="s">
        <v>109</v>
      </c>
      <c r="K35" s="1127">
        <f t="shared" si="4"/>
        <v>2.359167011083052E-2</v>
      </c>
      <c r="S35" s="157"/>
      <c r="T35" s="157"/>
      <c r="U35" s="157"/>
      <c r="V35" s="157"/>
      <c r="W35" s="157"/>
    </row>
    <row r="36" spans="2:31" s="573" customFormat="1" x14ac:dyDescent="0.2">
      <c r="B36" s="1004" t="s">
        <v>290</v>
      </c>
      <c r="C36" s="861"/>
    </row>
    <row r="37" spans="2:31" s="573" customFormat="1" x14ac:dyDescent="0.2">
      <c r="B37" s="643"/>
      <c r="O37" s="573" t="s">
        <v>154</v>
      </c>
      <c r="P37" s="573" t="s">
        <v>152</v>
      </c>
    </row>
    <row r="38" spans="2:31" s="573" customFormat="1" x14ac:dyDescent="0.2">
      <c r="O38" s="862"/>
      <c r="P38" s="862"/>
    </row>
    <row r="39" spans="2:31" s="573" customFormat="1" x14ac:dyDescent="0.2">
      <c r="B39" s="641"/>
      <c r="C39" s="641"/>
      <c r="D39" s="641"/>
      <c r="E39" s="641"/>
      <c r="F39" s="641"/>
      <c r="G39" s="641"/>
      <c r="H39" s="641"/>
      <c r="I39" s="641"/>
      <c r="J39" s="641"/>
      <c r="K39" s="641"/>
      <c r="O39" s="862"/>
      <c r="P39" s="862"/>
    </row>
    <row r="40" spans="2:31" s="573" customFormat="1" x14ac:dyDescent="0.2">
      <c r="N40" s="573">
        <v>1995</v>
      </c>
      <c r="O40" s="862">
        <f>+F10</f>
        <v>8.9555606852646115</v>
      </c>
      <c r="P40" s="862">
        <f>+I10</f>
        <v>4.2445573090579085</v>
      </c>
    </row>
    <row r="41" spans="2:31" s="573" customFormat="1" x14ac:dyDescent="0.2">
      <c r="N41" s="573">
        <v>1996</v>
      </c>
      <c r="O41" s="862">
        <f t="shared" ref="O41:O58" si="5">+F11</f>
        <v>9.3774573213785253</v>
      </c>
      <c r="P41" s="862">
        <f t="shared" ref="P41:P58" si="6">+I11</f>
        <v>4.5448535324028105</v>
      </c>
    </row>
    <row r="42" spans="2:31" s="573" customFormat="1" x14ac:dyDescent="0.2">
      <c r="N42" s="573">
        <v>1997</v>
      </c>
      <c r="O42" s="862">
        <f t="shared" si="5"/>
        <v>9.1635885122824927</v>
      </c>
      <c r="P42" s="862">
        <f t="shared" si="6"/>
        <v>5.2121175208150961</v>
      </c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</row>
    <row r="43" spans="2:31" s="573" customFormat="1" x14ac:dyDescent="0.2">
      <c r="N43" s="573">
        <v>1998</v>
      </c>
      <c r="O43" s="862">
        <f t="shared" si="5"/>
        <v>7.9571609356886182</v>
      </c>
      <c r="P43" s="862">
        <f t="shared" si="6"/>
        <v>4.8931747664703975</v>
      </c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</row>
    <row r="44" spans="2:31" s="573" customFormat="1" x14ac:dyDescent="0.2">
      <c r="N44" s="573">
        <v>1999</v>
      </c>
      <c r="O44" s="862">
        <f t="shared" si="5"/>
        <v>7.6320210282889089</v>
      </c>
      <c r="P44" s="862">
        <f t="shared" si="6"/>
        <v>4.8616026075361827</v>
      </c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</row>
    <row r="45" spans="2:31" s="573" customFormat="1" x14ac:dyDescent="0.2">
      <c r="N45" s="573">
        <v>2000</v>
      </c>
      <c r="O45" s="862">
        <f t="shared" si="5"/>
        <v>8.0465527241033001</v>
      </c>
      <c r="P45" s="862">
        <f t="shared" si="6"/>
        <v>5.1647954842633439</v>
      </c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</row>
    <row r="46" spans="2:31" s="573" customFormat="1" x14ac:dyDescent="0.2">
      <c r="N46" s="573">
        <v>2001</v>
      </c>
      <c r="O46" s="862">
        <f t="shared" si="5"/>
        <v>8.1980760639170676</v>
      </c>
      <c r="P46" s="862">
        <f t="shared" si="6"/>
        <v>4.5317559390314024</v>
      </c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</row>
    <row r="47" spans="2:31" s="573" customFormat="1" x14ac:dyDescent="0.2">
      <c r="N47" s="573">
        <v>2002</v>
      </c>
      <c r="O47" s="862">
        <f t="shared" si="5"/>
        <v>7.758352080828165</v>
      </c>
      <c r="P47" s="862">
        <f t="shared" si="6"/>
        <v>4.5417296862557039</v>
      </c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</row>
    <row r="48" spans="2:31" s="573" customFormat="1" x14ac:dyDescent="0.2">
      <c r="N48" s="573">
        <v>2003</v>
      </c>
      <c r="O48" s="862">
        <f t="shared" si="5"/>
        <v>7.971753161907678</v>
      </c>
      <c r="P48" s="862">
        <f t="shared" si="6"/>
        <v>4.4701131993241967</v>
      </c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</row>
    <row r="49" spans="2:31" s="573" customFormat="1" x14ac:dyDescent="0.2">
      <c r="N49" s="573">
        <v>2004</v>
      </c>
      <c r="O49" s="862">
        <f t="shared" si="5"/>
        <v>8.2230231770089492</v>
      </c>
      <c r="P49" s="862">
        <f t="shared" si="6"/>
        <v>5.1762271900611463</v>
      </c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</row>
    <row r="50" spans="2:31" s="573" customFormat="1" x14ac:dyDescent="0.2">
      <c r="N50" s="573">
        <v>2005</v>
      </c>
      <c r="O50" s="862">
        <f t="shared" si="5"/>
        <v>8.8884914595819442</v>
      </c>
      <c r="P50" s="862">
        <f t="shared" si="6"/>
        <v>5.5416076080909722</v>
      </c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</row>
    <row r="51" spans="2:31" s="573" customFormat="1" x14ac:dyDescent="0.2">
      <c r="N51" s="573">
        <v>2006</v>
      </c>
      <c r="O51" s="862">
        <f t="shared" si="5"/>
        <v>8.7025840778489254</v>
      </c>
      <c r="P51" s="862">
        <f t="shared" si="6"/>
        <v>5.581447756240201</v>
      </c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</row>
    <row r="52" spans="2:31" s="573" customFormat="1" x14ac:dyDescent="0.2">
      <c r="N52" s="640">
        <v>2007</v>
      </c>
      <c r="O52" s="862">
        <f t="shared" si="5"/>
        <v>8.6843545064319656</v>
      </c>
      <c r="P52" s="862">
        <f t="shared" si="6"/>
        <v>5.4200951405339648</v>
      </c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</row>
    <row r="53" spans="2:31" s="573" customFormat="1" x14ac:dyDescent="0.2">
      <c r="N53" s="640">
        <v>2008</v>
      </c>
      <c r="O53" s="862">
        <f t="shared" si="5"/>
        <v>9.2102011270063144</v>
      </c>
      <c r="P53" s="862">
        <f t="shared" si="6"/>
        <v>6.703677483775019</v>
      </c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</row>
    <row r="54" spans="2:31" s="573" customFormat="1" x14ac:dyDescent="0.2">
      <c r="N54" s="640">
        <v>2009</v>
      </c>
      <c r="O54" s="862">
        <f t="shared" si="5"/>
        <v>9.8347670342884221</v>
      </c>
      <c r="P54" s="862">
        <f t="shared" si="6"/>
        <v>5.6537603270098931</v>
      </c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</row>
    <row r="55" spans="2:31" s="573" customFormat="1" x14ac:dyDescent="0.2">
      <c r="N55" s="640">
        <v>2010</v>
      </c>
      <c r="O55" s="862">
        <f t="shared" si="5"/>
        <v>10.118555763056673</v>
      </c>
      <c r="P55" s="862">
        <f t="shared" si="6"/>
        <v>5.4037809461686521</v>
      </c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</row>
    <row r="56" spans="2:31" s="573" customFormat="1" x14ac:dyDescent="0.2">
      <c r="N56" s="640">
        <v>2011</v>
      </c>
      <c r="O56" s="1128">
        <f t="shared" si="5"/>
        <v>10.785558411402899</v>
      </c>
      <c r="P56" s="1128">
        <f t="shared" si="6"/>
        <v>6.048703533336055</v>
      </c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</row>
    <row r="57" spans="2:31" s="573" customFormat="1" x14ac:dyDescent="0.2">
      <c r="N57" s="640">
        <v>2012</v>
      </c>
      <c r="O57" s="1128">
        <f t="shared" si="5"/>
        <v>11.813141103914758</v>
      </c>
      <c r="P57" s="1128">
        <f t="shared" si="6"/>
        <v>6.4923946475231222</v>
      </c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</row>
    <row r="58" spans="2:31" s="573" customFormat="1" x14ac:dyDescent="0.2">
      <c r="N58" s="640">
        <v>2013</v>
      </c>
      <c r="O58" s="1128">
        <f t="shared" si="5"/>
        <v>11.933029674417638</v>
      </c>
      <c r="P58" s="1128">
        <f t="shared" si="6"/>
        <v>6.7174837111051282</v>
      </c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</row>
    <row r="59" spans="2:31" s="573" customFormat="1" ht="23.25" x14ac:dyDescent="0.35">
      <c r="B59" s="1425"/>
      <c r="N59" s="1129">
        <v>2014</v>
      </c>
      <c r="O59" s="1128">
        <f>+F29</f>
        <v>13.055122860006383</v>
      </c>
      <c r="P59" s="1128">
        <f>+I29</f>
        <v>7.2263562019802521</v>
      </c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</row>
    <row r="60" spans="2:31" s="573" customFormat="1" x14ac:dyDescent="0.2">
      <c r="N60" s="1129" t="s">
        <v>136</v>
      </c>
      <c r="O60" s="1128">
        <f>+F30</f>
        <v>13.306050232825701</v>
      </c>
      <c r="P60" s="1128">
        <f>+I30</f>
        <v>6.9968602657648633</v>
      </c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</row>
    <row r="61" spans="2:31" s="573" customFormat="1" x14ac:dyDescent="0.2"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</row>
    <row r="62" spans="2:31" s="573" customFormat="1" x14ac:dyDescent="0.2"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</row>
    <row r="63" spans="2:31" s="573" customFormat="1" x14ac:dyDescent="0.2"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</row>
    <row r="64" spans="2:31" s="573" customFormat="1" x14ac:dyDescent="0.2"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</row>
    <row r="65" s="573" customFormat="1" x14ac:dyDescent="0.2"/>
    <row r="66" s="573" customFormat="1" x14ac:dyDescent="0.2"/>
    <row r="67" s="573" customFormat="1" x14ac:dyDescent="0.2"/>
    <row r="68" s="573" customFormat="1" x14ac:dyDescent="0.2"/>
    <row r="69" s="573" customFormat="1" x14ac:dyDescent="0.2"/>
    <row r="70" s="573" customFormat="1" x14ac:dyDescent="0.2"/>
    <row r="71" s="573" customFormat="1" x14ac:dyDescent="0.2"/>
    <row r="72" s="573" customFormat="1" x14ac:dyDescent="0.2"/>
    <row r="73" s="573" customFormat="1" x14ac:dyDescent="0.2"/>
    <row r="74" s="573" customFormat="1" x14ac:dyDescent="0.2"/>
    <row r="75" s="573" customFormat="1" x14ac:dyDescent="0.2"/>
    <row r="76" s="573" customFormat="1" x14ac:dyDescent="0.2"/>
    <row r="77" s="573" customFormat="1" x14ac:dyDescent="0.2"/>
    <row r="78" s="573" customFormat="1" x14ac:dyDescent="0.2"/>
    <row r="79" s="573" customFormat="1" x14ac:dyDescent="0.2"/>
    <row r="80" s="573" customFormat="1" x14ac:dyDescent="0.2"/>
    <row r="81" spans="2:11" s="573" customFormat="1" x14ac:dyDescent="0.2"/>
    <row r="82" spans="2:11" s="573" customFormat="1" x14ac:dyDescent="0.2"/>
    <row r="83" spans="2:11" x14ac:dyDescent="0.2">
      <c r="B83" s="573"/>
      <c r="C83" s="573"/>
      <c r="D83" s="573"/>
      <c r="E83" s="573"/>
      <c r="F83" s="573"/>
      <c r="G83" s="573"/>
      <c r="H83" s="573"/>
      <c r="I83" s="573"/>
      <c r="J83" s="573"/>
      <c r="K83" s="573"/>
    </row>
  </sheetData>
  <autoFilter ref="B1:B83"/>
  <mergeCells count="4">
    <mergeCell ref="B6:B7"/>
    <mergeCell ref="C6:E6"/>
    <mergeCell ref="F6:H6"/>
    <mergeCell ref="I6:K6"/>
  </mergeCells>
  <printOptions horizontalCentered="1" verticalCentered="1"/>
  <pageMargins left="0.27559055118110237" right="0.23622047244094491" top="0.39370078740157483" bottom="0.19685039370078741" header="0" footer="0"/>
  <pageSetup paperSize="9" scale="6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106"/>
  <sheetViews>
    <sheetView view="pageBreakPreview" zoomScaleNormal="100" zoomScaleSheetLayoutView="100" workbookViewId="0">
      <selection activeCell="B68" sqref="B68"/>
    </sheetView>
  </sheetViews>
  <sheetFormatPr baseColWidth="10" defaultRowHeight="12.75" x14ac:dyDescent="0.2"/>
  <cols>
    <col min="1" max="1" width="27" style="157" customWidth="1"/>
    <col min="2" max="2" width="15.7109375" style="157" customWidth="1"/>
    <col min="3" max="3" width="14.28515625" style="157" customWidth="1"/>
    <col min="4" max="4" width="13.28515625" style="157" customWidth="1"/>
    <col min="5" max="5" width="16.5703125" style="157" customWidth="1"/>
    <col min="6" max="7" width="13.28515625" style="157" customWidth="1"/>
    <col min="8" max="8" width="15.42578125" style="157" customWidth="1"/>
    <col min="9" max="11" width="13.5703125" style="157" customWidth="1"/>
    <col min="12" max="12" width="11.42578125" style="157"/>
    <col min="13" max="13" width="11.42578125" style="163"/>
    <col min="14" max="14" width="16.7109375" style="163" bestFit="1" customWidth="1"/>
    <col min="15" max="15" width="17.28515625" style="163" bestFit="1" customWidth="1"/>
    <col min="16" max="17" width="13.85546875" style="163" bestFit="1" customWidth="1"/>
    <col min="18" max="18" width="14.85546875" style="163" bestFit="1" customWidth="1"/>
    <col min="19" max="19" width="13.85546875" style="163" bestFit="1" customWidth="1"/>
    <col min="20" max="20" width="16.7109375" style="163" bestFit="1" customWidth="1"/>
    <col min="21" max="22" width="13.85546875" style="163" bestFit="1" customWidth="1"/>
    <col min="23" max="24" width="16.7109375" style="163" bestFit="1" customWidth="1"/>
    <col min="25" max="25" width="11.42578125" style="163"/>
    <col min="26" max="256" width="11.42578125" style="157"/>
    <col min="257" max="257" width="27" style="157" customWidth="1"/>
    <col min="258" max="258" width="15.7109375" style="157" customWidth="1"/>
    <col min="259" max="259" width="14.28515625" style="157" customWidth="1"/>
    <col min="260" max="260" width="13.28515625" style="157" customWidth="1"/>
    <col min="261" max="261" width="16.5703125" style="157" customWidth="1"/>
    <col min="262" max="263" width="13.28515625" style="157" customWidth="1"/>
    <col min="264" max="264" width="15.42578125" style="157" customWidth="1"/>
    <col min="265" max="267" width="13.5703125" style="157" customWidth="1"/>
    <col min="268" max="269" width="11.42578125" style="157"/>
    <col min="270" max="270" width="16.7109375" style="157" bestFit="1" customWidth="1"/>
    <col min="271" max="271" width="17.28515625" style="157" bestFit="1" customWidth="1"/>
    <col min="272" max="273" width="13.85546875" style="157" bestFit="1" customWidth="1"/>
    <col min="274" max="274" width="14.85546875" style="157" bestFit="1" customWidth="1"/>
    <col min="275" max="275" width="13.85546875" style="157" bestFit="1" customWidth="1"/>
    <col min="276" max="276" width="16.7109375" style="157" bestFit="1" customWidth="1"/>
    <col min="277" max="278" width="13.85546875" style="157" bestFit="1" customWidth="1"/>
    <col min="279" max="280" width="16.7109375" style="157" bestFit="1" customWidth="1"/>
    <col min="281" max="512" width="11.42578125" style="157"/>
    <col min="513" max="513" width="27" style="157" customWidth="1"/>
    <col min="514" max="514" width="15.7109375" style="157" customWidth="1"/>
    <col min="515" max="515" width="14.28515625" style="157" customWidth="1"/>
    <col min="516" max="516" width="13.28515625" style="157" customWidth="1"/>
    <col min="517" max="517" width="16.5703125" style="157" customWidth="1"/>
    <col min="518" max="519" width="13.28515625" style="157" customWidth="1"/>
    <col min="520" max="520" width="15.42578125" style="157" customWidth="1"/>
    <col min="521" max="523" width="13.5703125" style="157" customWidth="1"/>
    <col min="524" max="525" width="11.42578125" style="157"/>
    <col min="526" max="526" width="16.7109375" style="157" bestFit="1" customWidth="1"/>
    <col min="527" max="527" width="17.28515625" style="157" bestFit="1" customWidth="1"/>
    <col min="528" max="529" width="13.85546875" style="157" bestFit="1" customWidth="1"/>
    <col min="530" max="530" width="14.85546875" style="157" bestFit="1" customWidth="1"/>
    <col min="531" max="531" width="13.85546875" style="157" bestFit="1" customWidth="1"/>
    <col min="532" max="532" width="16.7109375" style="157" bestFit="1" customWidth="1"/>
    <col min="533" max="534" width="13.85546875" style="157" bestFit="1" customWidth="1"/>
    <col min="535" max="536" width="16.7109375" style="157" bestFit="1" customWidth="1"/>
    <col min="537" max="768" width="11.42578125" style="157"/>
    <col min="769" max="769" width="27" style="157" customWidth="1"/>
    <col min="770" max="770" width="15.7109375" style="157" customWidth="1"/>
    <col min="771" max="771" width="14.28515625" style="157" customWidth="1"/>
    <col min="772" max="772" width="13.28515625" style="157" customWidth="1"/>
    <col min="773" max="773" width="16.5703125" style="157" customWidth="1"/>
    <col min="774" max="775" width="13.28515625" style="157" customWidth="1"/>
    <col min="776" max="776" width="15.42578125" style="157" customWidth="1"/>
    <col min="777" max="779" width="13.5703125" style="157" customWidth="1"/>
    <col min="780" max="781" width="11.42578125" style="157"/>
    <col min="782" max="782" width="16.7109375" style="157" bestFit="1" customWidth="1"/>
    <col min="783" max="783" width="17.28515625" style="157" bestFit="1" customWidth="1"/>
    <col min="784" max="785" width="13.85546875" style="157" bestFit="1" customWidth="1"/>
    <col min="786" max="786" width="14.85546875" style="157" bestFit="1" customWidth="1"/>
    <col min="787" max="787" width="13.85546875" style="157" bestFit="1" customWidth="1"/>
    <col min="788" max="788" width="16.7109375" style="157" bestFit="1" customWidth="1"/>
    <col min="789" max="790" width="13.85546875" style="157" bestFit="1" customWidth="1"/>
    <col min="791" max="792" width="16.7109375" style="157" bestFit="1" customWidth="1"/>
    <col min="793" max="1024" width="11.42578125" style="157"/>
    <col min="1025" max="1025" width="27" style="157" customWidth="1"/>
    <col min="1026" max="1026" width="15.7109375" style="157" customWidth="1"/>
    <col min="1027" max="1027" width="14.28515625" style="157" customWidth="1"/>
    <col min="1028" max="1028" width="13.28515625" style="157" customWidth="1"/>
    <col min="1029" max="1029" width="16.5703125" style="157" customWidth="1"/>
    <col min="1030" max="1031" width="13.28515625" style="157" customWidth="1"/>
    <col min="1032" max="1032" width="15.42578125" style="157" customWidth="1"/>
    <col min="1033" max="1035" width="13.5703125" style="157" customWidth="1"/>
    <col min="1036" max="1037" width="11.42578125" style="157"/>
    <col min="1038" max="1038" width="16.7109375" style="157" bestFit="1" customWidth="1"/>
    <col min="1039" max="1039" width="17.28515625" style="157" bestFit="1" customWidth="1"/>
    <col min="1040" max="1041" width="13.85546875" style="157" bestFit="1" customWidth="1"/>
    <col min="1042" max="1042" width="14.85546875" style="157" bestFit="1" customWidth="1"/>
    <col min="1043" max="1043" width="13.85546875" style="157" bestFit="1" customWidth="1"/>
    <col min="1044" max="1044" width="16.7109375" style="157" bestFit="1" customWidth="1"/>
    <col min="1045" max="1046" width="13.85546875" style="157" bestFit="1" customWidth="1"/>
    <col min="1047" max="1048" width="16.7109375" style="157" bestFit="1" customWidth="1"/>
    <col min="1049" max="1280" width="11.42578125" style="157"/>
    <col min="1281" max="1281" width="27" style="157" customWidth="1"/>
    <col min="1282" max="1282" width="15.7109375" style="157" customWidth="1"/>
    <col min="1283" max="1283" width="14.28515625" style="157" customWidth="1"/>
    <col min="1284" max="1284" width="13.28515625" style="157" customWidth="1"/>
    <col min="1285" max="1285" width="16.5703125" style="157" customWidth="1"/>
    <col min="1286" max="1287" width="13.28515625" style="157" customWidth="1"/>
    <col min="1288" max="1288" width="15.42578125" style="157" customWidth="1"/>
    <col min="1289" max="1291" width="13.5703125" style="157" customWidth="1"/>
    <col min="1292" max="1293" width="11.42578125" style="157"/>
    <col min="1294" max="1294" width="16.7109375" style="157" bestFit="1" customWidth="1"/>
    <col min="1295" max="1295" width="17.28515625" style="157" bestFit="1" customWidth="1"/>
    <col min="1296" max="1297" width="13.85546875" style="157" bestFit="1" customWidth="1"/>
    <col min="1298" max="1298" width="14.85546875" style="157" bestFit="1" customWidth="1"/>
    <col min="1299" max="1299" width="13.85546875" style="157" bestFit="1" customWidth="1"/>
    <col min="1300" max="1300" width="16.7109375" style="157" bestFit="1" customWidth="1"/>
    <col min="1301" max="1302" width="13.85546875" style="157" bestFit="1" customWidth="1"/>
    <col min="1303" max="1304" width="16.7109375" style="157" bestFit="1" customWidth="1"/>
    <col min="1305" max="1536" width="11.42578125" style="157"/>
    <col min="1537" max="1537" width="27" style="157" customWidth="1"/>
    <col min="1538" max="1538" width="15.7109375" style="157" customWidth="1"/>
    <col min="1539" max="1539" width="14.28515625" style="157" customWidth="1"/>
    <col min="1540" max="1540" width="13.28515625" style="157" customWidth="1"/>
    <col min="1541" max="1541" width="16.5703125" style="157" customWidth="1"/>
    <col min="1542" max="1543" width="13.28515625" style="157" customWidth="1"/>
    <col min="1544" max="1544" width="15.42578125" style="157" customWidth="1"/>
    <col min="1545" max="1547" width="13.5703125" style="157" customWidth="1"/>
    <col min="1548" max="1549" width="11.42578125" style="157"/>
    <col min="1550" max="1550" width="16.7109375" style="157" bestFit="1" customWidth="1"/>
    <col min="1551" max="1551" width="17.28515625" style="157" bestFit="1" customWidth="1"/>
    <col min="1552" max="1553" width="13.85546875" style="157" bestFit="1" customWidth="1"/>
    <col min="1554" max="1554" width="14.85546875" style="157" bestFit="1" customWidth="1"/>
    <col min="1555" max="1555" width="13.85546875" style="157" bestFit="1" customWidth="1"/>
    <col min="1556" max="1556" width="16.7109375" style="157" bestFit="1" customWidth="1"/>
    <col min="1557" max="1558" width="13.85546875" style="157" bestFit="1" customWidth="1"/>
    <col min="1559" max="1560" width="16.7109375" style="157" bestFit="1" customWidth="1"/>
    <col min="1561" max="1792" width="11.42578125" style="157"/>
    <col min="1793" max="1793" width="27" style="157" customWidth="1"/>
    <col min="1794" max="1794" width="15.7109375" style="157" customWidth="1"/>
    <col min="1795" max="1795" width="14.28515625" style="157" customWidth="1"/>
    <col min="1796" max="1796" width="13.28515625" style="157" customWidth="1"/>
    <col min="1797" max="1797" width="16.5703125" style="157" customWidth="1"/>
    <col min="1798" max="1799" width="13.28515625" style="157" customWidth="1"/>
    <col min="1800" max="1800" width="15.42578125" style="157" customWidth="1"/>
    <col min="1801" max="1803" width="13.5703125" style="157" customWidth="1"/>
    <col min="1804" max="1805" width="11.42578125" style="157"/>
    <col min="1806" max="1806" width="16.7109375" style="157" bestFit="1" customWidth="1"/>
    <col min="1807" max="1807" width="17.28515625" style="157" bestFit="1" customWidth="1"/>
    <col min="1808" max="1809" width="13.85546875" style="157" bestFit="1" customWidth="1"/>
    <col min="1810" max="1810" width="14.85546875" style="157" bestFit="1" customWidth="1"/>
    <col min="1811" max="1811" width="13.85546875" style="157" bestFit="1" customWidth="1"/>
    <col min="1812" max="1812" width="16.7109375" style="157" bestFit="1" customWidth="1"/>
    <col min="1813" max="1814" width="13.85546875" style="157" bestFit="1" customWidth="1"/>
    <col min="1815" max="1816" width="16.7109375" style="157" bestFit="1" customWidth="1"/>
    <col min="1817" max="2048" width="11.42578125" style="157"/>
    <col min="2049" max="2049" width="27" style="157" customWidth="1"/>
    <col min="2050" max="2050" width="15.7109375" style="157" customWidth="1"/>
    <col min="2051" max="2051" width="14.28515625" style="157" customWidth="1"/>
    <col min="2052" max="2052" width="13.28515625" style="157" customWidth="1"/>
    <col min="2053" max="2053" width="16.5703125" style="157" customWidth="1"/>
    <col min="2054" max="2055" width="13.28515625" style="157" customWidth="1"/>
    <col min="2056" max="2056" width="15.42578125" style="157" customWidth="1"/>
    <col min="2057" max="2059" width="13.5703125" style="157" customWidth="1"/>
    <col min="2060" max="2061" width="11.42578125" style="157"/>
    <col min="2062" max="2062" width="16.7109375" style="157" bestFit="1" customWidth="1"/>
    <col min="2063" max="2063" width="17.28515625" style="157" bestFit="1" customWidth="1"/>
    <col min="2064" max="2065" width="13.85546875" style="157" bestFit="1" customWidth="1"/>
    <col min="2066" max="2066" width="14.85546875" style="157" bestFit="1" customWidth="1"/>
    <col min="2067" max="2067" width="13.85546875" style="157" bestFit="1" customWidth="1"/>
    <col min="2068" max="2068" width="16.7109375" style="157" bestFit="1" customWidth="1"/>
    <col min="2069" max="2070" width="13.85546875" style="157" bestFit="1" customWidth="1"/>
    <col min="2071" max="2072" width="16.7109375" style="157" bestFit="1" customWidth="1"/>
    <col min="2073" max="2304" width="11.42578125" style="157"/>
    <col min="2305" max="2305" width="27" style="157" customWidth="1"/>
    <col min="2306" max="2306" width="15.7109375" style="157" customWidth="1"/>
    <col min="2307" max="2307" width="14.28515625" style="157" customWidth="1"/>
    <col min="2308" max="2308" width="13.28515625" style="157" customWidth="1"/>
    <col min="2309" max="2309" width="16.5703125" style="157" customWidth="1"/>
    <col min="2310" max="2311" width="13.28515625" style="157" customWidth="1"/>
    <col min="2312" max="2312" width="15.42578125" style="157" customWidth="1"/>
    <col min="2313" max="2315" width="13.5703125" style="157" customWidth="1"/>
    <col min="2316" max="2317" width="11.42578125" style="157"/>
    <col min="2318" max="2318" width="16.7109375" style="157" bestFit="1" customWidth="1"/>
    <col min="2319" max="2319" width="17.28515625" style="157" bestFit="1" customWidth="1"/>
    <col min="2320" max="2321" width="13.85546875" style="157" bestFit="1" customWidth="1"/>
    <col min="2322" max="2322" width="14.85546875" style="157" bestFit="1" customWidth="1"/>
    <col min="2323" max="2323" width="13.85546875" style="157" bestFit="1" customWidth="1"/>
    <col min="2324" max="2324" width="16.7109375" style="157" bestFit="1" customWidth="1"/>
    <col min="2325" max="2326" width="13.85546875" style="157" bestFit="1" customWidth="1"/>
    <col min="2327" max="2328" width="16.7109375" style="157" bestFit="1" customWidth="1"/>
    <col min="2329" max="2560" width="11.42578125" style="157"/>
    <col min="2561" max="2561" width="27" style="157" customWidth="1"/>
    <col min="2562" max="2562" width="15.7109375" style="157" customWidth="1"/>
    <col min="2563" max="2563" width="14.28515625" style="157" customWidth="1"/>
    <col min="2564" max="2564" width="13.28515625" style="157" customWidth="1"/>
    <col min="2565" max="2565" width="16.5703125" style="157" customWidth="1"/>
    <col min="2566" max="2567" width="13.28515625" style="157" customWidth="1"/>
    <col min="2568" max="2568" width="15.42578125" style="157" customWidth="1"/>
    <col min="2569" max="2571" width="13.5703125" style="157" customWidth="1"/>
    <col min="2572" max="2573" width="11.42578125" style="157"/>
    <col min="2574" max="2574" width="16.7109375" style="157" bestFit="1" customWidth="1"/>
    <col min="2575" max="2575" width="17.28515625" style="157" bestFit="1" customWidth="1"/>
    <col min="2576" max="2577" width="13.85546875" style="157" bestFit="1" customWidth="1"/>
    <col min="2578" max="2578" width="14.85546875" style="157" bestFit="1" customWidth="1"/>
    <col min="2579" max="2579" width="13.85546875" style="157" bestFit="1" customWidth="1"/>
    <col min="2580" max="2580" width="16.7109375" style="157" bestFit="1" customWidth="1"/>
    <col min="2581" max="2582" width="13.85546875" style="157" bestFit="1" customWidth="1"/>
    <col min="2583" max="2584" width="16.7109375" style="157" bestFit="1" customWidth="1"/>
    <col min="2585" max="2816" width="11.42578125" style="157"/>
    <col min="2817" max="2817" width="27" style="157" customWidth="1"/>
    <col min="2818" max="2818" width="15.7109375" style="157" customWidth="1"/>
    <col min="2819" max="2819" width="14.28515625" style="157" customWidth="1"/>
    <col min="2820" max="2820" width="13.28515625" style="157" customWidth="1"/>
    <col min="2821" max="2821" width="16.5703125" style="157" customWidth="1"/>
    <col min="2822" max="2823" width="13.28515625" style="157" customWidth="1"/>
    <col min="2824" max="2824" width="15.42578125" style="157" customWidth="1"/>
    <col min="2825" max="2827" width="13.5703125" style="157" customWidth="1"/>
    <col min="2828" max="2829" width="11.42578125" style="157"/>
    <col min="2830" max="2830" width="16.7109375" style="157" bestFit="1" customWidth="1"/>
    <col min="2831" max="2831" width="17.28515625" style="157" bestFit="1" customWidth="1"/>
    <col min="2832" max="2833" width="13.85546875" style="157" bestFit="1" customWidth="1"/>
    <col min="2834" max="2834" width="14.85546875" style="157" bestFit="1" customWidth="1"/>
    <col min="2835" max="2835" width="13.85546875" style="157" bestFit="1" customWidth="1"/>
    <col min="2836" max="2836" width="16.7109375" style="157" bestFit="1" customWidth="1"/>
    <col min="2837" max="2838" width="13.85546875" style="157" bestFit="1" customWidth="1"/>
    <col min="2839" max="2840" width="16.7109375" style="157" bestFit="1" customWidth="1"/>
    <col min="2841" max="3072" width="11.42578125" style="157"/>
    <col min="3073" max="3073" width="27" style="157" customWidth="1"/>
    <col min="3074" max="3074" width="15.7109375" style="157" customWidth="1"/>
    <col min="3075" max="3075" width="14.28515625" style="157" customWidth="1"/>
    <col min="3076" max="3076" width="13.28515625" style="157" customWidth="1"/>
    <col min="3077" max="3077" width="16.5703125" style="157" customWidth="1"/>
    <col min="3078" max="3079" width="13.28515625" style="157" customWidth="1"/>
    <col min="3080" max="3080" width="15.42578125" style="157" customWidth="1"/>
    <col min="3081" max="3083" width="13.5703125" style="157" customWidth="1"/>
    <col min="3084" max="3085" width="11.42578125" style="157"/>
    <col min="3086" max="3086" width="16.7109375" style="157" bestFit="1" customWidth="1"/>
    <col min="3087" max="3087" width="17.28515625" style="157" bestFit="1" customWidth="1"/>
    <col min="3088" max="3089" width="13.85546875" style="157" bestFit="1" customWidth="1"/>
    <col min="3090" max="3090" width="14.85546875" style="157" bestFit="1" customWidth="1"/>
    <col min="3091" max="3091" width="13.85546875" style="157" bestFit="1" customWidth="1"/>
    <col min="3092" max="3092" width="16.7109375" style="157" bestFit="1" customWidth="1"/>
    <col min="3093" max="3094" width="13.85546875" style="157" bestFit="1" customWidth="1"/>
    <col min="3095" max="3096" width="16.7109375" style="157" bestFit="1" customWidth="1"/>
    <col min="3097" max="3328" width="11.42578125" style="157"/>
    <col min="3329" max="3329" width="27" style="157" customWidth="1"/>
    <col min="3330" max="3330" width="15.7109375" style="157" customWidth="1"/>
    <col min="3331" max="3331" width="14.28515625" style="157" customWidth="1"/>
    <col min="3332" max="3332" width="13.28515625" style="157" customWidth="1"/>
    <col min="3333" max="3333" width="16.5703125" style="157" customWidth="1"/>
    <col min="3334" max="3335" width="13.28515625" style="157" customWidth="1"/>
    <col min="3336" max="3336" width="15.42578125" style="157" customWidth="1"/>
    <col min="3337" max="3339" width="13.5703125" style="157" customWidth="1"/>
    <col min="3340" max="3341" width="11.42578125" style="157"/>
    <col min="3342" max="3342" width="16.7109375" style="157" bestFit="1" customWidth="1"/>
    <col min="3343" max="3343" width="17.28515625" style="157" bestFit="1" customWidth="1"/>
    <col min="3344" max="3345" width="13.85546875" style="157" bestFit="1" customWidth="1"/>
    <col min="3346" max="3346" width="14.85546875" style="157" bestFit="1" customWidth="1"/>
    <col min="3347" max="3347" width="13.85546875" style="157" bestFit="1" customWidth="1"/>
    <col min="3348" max="3348" width="16.7109375" style="157" bestFit="1" customWidth="1"/>
    <col min="3349" max="3350" width="13.85546875" style="157" bestFit="1" customWidth="1"/>
    <col min="3351" max="3352" width="16.7109375" style="157" bestFit="1" customWidth="1"/>
    <col min="3353" max="3584" width="11.42578125" style="157"/>
    <col min="3585" max="3585" width="27" style="157" customWidth="1"/>
    <col min="3586" max="3586" width="15.7109375" style="157" customWidth="1"/>
    <col min="3587" max="3587" width="14.28515625" style="157" customWidth="1"/>
    <col min="3588" max="3588" width="13.28515625" style="157" customWidth="1"/>
    <col min="3589" max="3589" width="16.5703125" style="157" customWidth="1"/>
    <col min="3590" max="3591" width="13.28515625" style="157" customWidth="1"/>
    <col min="3592" max="3592" width="15.42578125" style="157" customWidth="1"/>
    <col min="3593" max="3595" width="13.5703125" style="157" customWidth="1"/>
    <col min="3596" max="3597" width="11.42578125" style="157"/>
    <col min="3598" max="3598" width="16.7109375" style="157" bestFit="1" customWidth="1"/>
    <col min="3599" max="3599" width="17.28515625" style="157" bestFit="1" customWidth="1"/>
    <col min="3600" max="3601" width="13.85546875" style="157" bestFit="1" customWidth="1"/>
    <col min="3602" max="3602" width="14.85546875" style="157" bestFit="1" customWidth="1"/>
    <col min="3603" max="3603" width="13.85546875" style="157" bestFit="1" customWidth="1"/>
    <col min="3604" max="3604" width="16.7109375" style="157" bestFit="1" customWidth="1"/>
    <col min="3605" max="3606" width="13.85546875" style="157" bestFit="1" customWidth="1"/>
    <col min="3607" max="3608" width="16.7109375" style="157" bestFit="1" customWidth="1"/>
    <col min="3609" max="3840" width="11.42578125" style="157"/>
    <col min="3841" max="3841" width="27" style="157" customWidth="1"/>
    <col min="3842" max="3842" width="15.7109375" style="157" customWidth="1"/>
    <col min="3843" max="3843" width="14.28515625" style="157" customWidth="1"/>
    <col min="3844" max="3844" width="13.28515625" style="157" customWidth="1"/>
    <col min="3845" max="3845" width="16.5703125" style="157" customWidth="1"/>
    <col min="3846" max="3847" width="13.28515625" style="157" customWidth="1"/>
    <col min="3848" max="3848" width="15.42578125" style="157" customWidth="1"/>
    <col min="3849" max="3851" width="13.5703125" style="157" customWidth="1"/>
    <col min="3852" max="3853" width="11.42578125" style="157"/>
    <col min="3854" max="3854" width="16.7109375" style="157" bestFit="1" customWidth="1"/>
    <col min="3855" max="3855" width="17.28515625" style="157" bestFit="1" customWidth="1"/>
    <col min="3856" max="3857" width="13.85546875" style="157" bestFit="1" customWidth="1"/>
    <col min="3858" max="3858" width="14.85546875" style="157" bestFit="1" customWidth="1"/>
    <col min="3859" max="3859" width="13.85546875" style="157" bestFit="1" customWidth="1"/>
    <col min="3860" max="3860" width="16.7109375" style="157" bestFit="1" customWidth="1"/>
    <col min="3861" max="3862" width="13.85546875" style="157" bestFit="1" customWidth="1"/>
    <col min="3863" max="3864" width="16.7109375" style="157" bestFit="1" customWidth="1"/>
    <col min="3865" max="4096" width="11.42578125" style="157"/>
    <col min="4097" max="4097" width="27" style="157" customWidth="1"/>
    <col min="4098" max="4098" width="15.7109375" style="157" customWidth="1"/>
    <col min="4099" max="4099" width="14.28515625" style="157" customWidth="1"/>
    <col min="4100" max="4100" width="13.28515625" style="157" customWidth="1"/>
    <col min="4101" max="4101" width="16.5703125" style="157" customWidth="1"/>
    <col min="4102" max="4103" width="13.28515625" style="157" customWidth="1"/>
    <col min="4104" max="4104" width="15.42578125" style="157" customWidth="1"/>
    <col min="4105" max="4107" width="13.5703125" style="157" customWidth="1"/>
    <col min="4108" max="4109" width="11.42578125" style="157"/>
    <col min="4110" max="4110" width="16.7109375" style="157" bestFit="1" customWidth="1"/>
    <col min="4111" max="4111" width="17.28515625" style="157" bestFit="1" customWidth="1"/>
    <col min="4112" max="4113" width="13.85546875" style="157" bestFit="1" customWidth="1"/>
    <col min="4114" max="4114" width="14.85546875" style="157" bestFit="1" customWidth="1"/>
    <col min="4115" max="4115" width="13.85546875" style="157" bestFit="1" customWidth="1"/>
    <col min="4116" max="4116" width="16.7109375" style="157" bestFit="1" customWidth="1"/>
    <col min="4117" max="4118" width="13.85546875" style="157" bestFit="1" customWidth="1"/>
    <col min="4119" max="4120" width="16.7109375" style="157" bestFit="1" customWidth="1"/>
    <col min="4121" max="4352" width="11.42578125" style="157"/>
    <col min="4353" max="4353" width="27" style="157" customWidth="1"/>
    <col min="4354" max="4354" width="15.7109375" style="157" customWidth="1"/>
    <col min="4355" max="4355" width="14.28515625" style="157" customWidth="1"/>
    <col min="4356" max="4356" width="13.28515625" style="157" customWidth="1"/>
    <col min="4357" max="4357" width="16.5703125" style="157" customWidth="1"/>
    <col min="4358" max="4359" width="13.28515625" style="157" customWidth="1"/>
    <col min="4360" max="4360" width="15.42578125" style="157" customWidth="1"/>
    <col min="4361" max="4363" width="13.5703125" style="157" customWidth="1"/>
    <col min="4364" max="4365" width="11.42578125" style="157"/>
    <col min="4366" max="4366" width="16.7109375" style="157" bestFit="1" customWidth="1"/>
    <col min="4367" max="4367" width="17.28515625" style="157" bestFit="1" customWidth="1"/>
    <col min="4368" max="4369" width="13.85546875" style="157" bestFit="1" customWidth="1"/>
    <col min="4370" max="4370" width="14.85546875" style="157" bestFit="1" customWidth="1"/>
    <col min="4371" max="4371" width="13.85546875" style="157" bestFit="1" customWidth="1"/>
    <col min="4372" max="4372" width="16.7109375" style="157" bestFit="1" customWidth="1"/>
    <col min="4373" max="4374" width="13.85546875" style="157" bestFit="1" customWidth="1"/>
    <col min="4375" max="4376" width="16.7109375" style="157" bestFit="1" customWidth="1"/>
    <col min="4377" max="4608" width="11.42578125" style="157"/>
    <col min="4609" max="4609" width="27" style="157" customWidth="1"/>
    <col min="4610" max="4610" width="15.7109375" style="157" customWidth="1"/>
    <col min="4611" max="4611" width="14.28515625" style="157" customWidth="1"/>
    <col min="4612" max="4612" width="13.28515625" style="157" customWidth="1"/>
    <col min="4613" max="4613" width="16.5703125" style="157" customWidth="1"/>
    <col min="4614" max="4615" width="13.28515625" style="157" customWidth="1"/>
    <col min="4616" max="4616" width="15.42578125" style="157" customWidth="1"/>
    <col min="4617" max="4619" width="13.5703125" style="157" customWidth="1"/>
    <col min="4620" max="4621" width="11.42578125" style="157"/>
    <col min="4622" max="4622" width="16.7109375" style="157" bestFit="1" customWidth="1"/>
    <col min="4623" max="4623" width="17.28515625" style="157" bestFit="1" customWidth="1"/>
    <col min="4624" max="4625" width="13.85546875" style="157" bestFit="1" customWidth="1"/>
    <col min="4626" max="4626" width="14.85546875" style="157" bestFit="1" customWidth="1"/>
    <col min="4627" max="4627" width="13.85546875" style="157" bestFit="1" customWidth="1"/>
    <col min="4628" max="4628" width="16.7109375" style="157" bestFit="1" customWidth="1"/>
    <col min="4629" max="4630" width="13.85546875" style="157" bestFit="1" customWidth="1"/>
    <col min="4631" max="4632" width="16.7109375" style="157" bestFit="1" customWidth="1"/>
    <col min="4633" max="4864" width="11.42578125" style="157"/>
    <col min="4865" max="4865" width="27" style="157" customWidth="1"/>
    <col min="4866" max="4866" width="15.7109375" style="157" customWidth="1"/>
    <col min="4867" max="4867" width="14.28515625" style="157" customWidth="1"/>
    <col min="4868" max="4868" width="13.28515625" style="157" customWidth="1"/>
    <col min="4869" max="4869" width="16.5703125" style="157" customWidth="1"/>
    <col min="4870" max="4871" width="13.28515625" style="157" customWidth="1"/>
    <col min="4872" max="4872" width="15.42578125" style="157" customWidth="1"/>
    <col min="4873" max="4875" width="13.5703125" style="157" customWidth="1"/>
    <col min="4876" max="4877" width="11.42578125" style="157"/>
    <col min="4878" max="4878" width="16.7109375" style="157" bestFit="1" customWidth="1"/>
    <col min="4879" max="4879" width="17.28515625" style="157" bestFit="1" customWidth="1"/>
    <col min="4880" max="4881" width="13.85546875" style="157" bestFit="1" customWidth="1"/>
    <col min="4882" max="4882" width="14.85546875" style="157" bestFit="1" customWidth="1"/>
    <col min="4883" max="4883" width="13.85546875" style="157" bestFit="1" customWidth="1"/>
    <col min="4884" max="4884" width="16.7109375" style="157" bestFit="1" customWidth="1"/>
    <col min="4885" max="4886" width="13.85546875" style="157" bestFit="1" customWidth="1"/>
    <col min="4887" max="4888" width="16.7109375" style="157" bestFit="1" customWidth="1"/>
    <col min="4889" max="5120" width="11.42578125" style="157"/>
    <col min="5121" max="5121" width="27" style="157" customWidth="1"/>
    <col min="5122" max="5122" width="15.7109375" style="157" customWidth="1"/>
    <col min="5123" max="5123" width="14.28515625" style="157" customWidth="1"/>
    <col min="5124" max="5124" width="13.28515625" style="157" customWidth="1"/>
    <col min="5125" max="5125" width="16.5703125" style="157" customWidth="1"/>
    <col min="5126" max="5127" width="13.28515625" style="157" customWidth="1"/>
    <col min="5128" max="5128" width="15.42578125" style="157" customWidth="1"/>
    <col min="5129" max="5131" width="13.5703125" style="157" customWidth="1"/>
    <col min="5132" max="5133" width="11.42578125" style="157"/>
    <col min="5134" max="5134" width="16.7109375" style="157" bestFit="1" customWidth="1"/>
    <col min="5135" max="5135" width="17.28515625" style="157" bestFit="1" customWidth="1"/>
    <col min="5136" max="5137" width="13.85546875" style="157" bestFit="1" customWidth="1"/>
    <col min="5138" max="5138" width="14.85546875" style="157" bestFit="1" customWidth="1"/>
    <col min="5139" max="5139" width="13.85546875" style="157" bestFit="1" customWidth="1"/>
    <col min="5140" max="5140" width="16.7109375" style="157" bestFit="1" customWidth="1"/>
    <col min="5141" max="5142" width="13.85546875" style="157" bestFit="1" customWidth="1"/>
    <col min="5143" max="5144" width="16.7109375" style="157" bestFit="1" customWidth="1"/>
    <col min="5145" max="5376" width="11.42578125" style="157"/>
    <col min="5377" max="5377" width="27" style="157" customWidth="1"/>
    <col min="5378" max="5378" width="15.7109375" style="157" customWidth="1"/>
    <col min="5379" max="5379" width="14.28515625" style="157" customWidth="1"/>
    <col min="5380" max="5380" width="13.28515625" style="157" customWidth="1"/>
    <col min="5381" max="5381" width="16.5703125" style="157" customWidth="1"/>
    <col min="5382" max="5383" width="13.28515625" style="157" customWidth="1"/>
    <col min="5384" max="5384" width="15.42578125" style="157" customWidth="1"/>
    <col min="5385" max="5387" width="13.5703125" style="157" customWidth="1"/>
    <col min="5388" max="5389" width="11.42578125" style="157"/>
    <col min="5390" max="5390" width="16.7109375" style="157" bestFit="1" customWidth="1"/>
    <col min="5391" max="5391" width="17.28515625" style="157" bestFit="1" customWidth="1"/>
    <col min="5392" max="5393" width="13.85546875" style="157" bestFit="1" customWidth="1"/>
    <col min="5394" max="5394" width="14.85546875" style="157" bestFit="1" customWidth="1"/>
    <col min="5395" max="5395" width="13.85546875" style="157" bestFit="1" customWidth="1"/>
    <col min="5396" max="5396" width="16.7109375" style="157" bestFit="1" customWidth="1"/>
    <col min="5397" max="5398" width="13.85546875" style="157" bestFit="1" customWidth="1"/>
    <col min="5399" max="5400" width="16.7109375" style="157" bestFit="1" customWidth="1"/>
    <col min="5401" max="5632" width="11.42578125" style="157"/>
    <col min="5633" max="5633" width="27" style="157" customWidth="1"/>
    <col min="5634" max="5634" width="15.7109375" style="157" customWidth="1"/>
    <col min="5635" max="5635" width="14.28515625" style="157" customWidth="1"/>
    <col min="5636" max="5636" width="13.28515625" style="157" customWidth="1"/>
    <col min="5637" max="5637" width="16.5703125" style="157" customWidth="1"/>
    <col min="5638" max="5639" width="13.28515625" style="157" customWidth="1"/>
    <col min="5640" max="5640" width="15.42578125" style="157" customWidth="1"/>
    <col min="5641" max="5643" width="13.5703125" style="157" customWidth="1"/>
    <col min="5644" max="5645" width="11.42578125" style="157"/>
    <col min="5646" max="5646" width="16.7109375" style="157" bestFit="1" customWidth="1"/>
    <col min="5647" max="5647" width="17.28515625" style="157" bestFit="1" customWidth="1"/>
    <col min="5648" max="5649" width="13.85546875" style="157" bestFit="1" customWidth="1"/>
    <col min="5650" max="5650" width="14.85546875" style="157" bestFit="1" customWidth="1"/>
    <col min="5651" max="5651" width="13.85546875" style="157" bestFit="1" customWidth="1"/>
    <col min="5652" max="5652" width="16.7109375" style="157" bestFit="1" customWidth="1"/>
    <col min="5653" max="5654" width="13.85546875" style="157" bestFit="1" customWidth="1"/>
    <col min="5655" max="5656" width="16.7109375" style="157" bestFit="1" customWidth="1"/>
    <col min="5657" max="5888" width="11.42578125" style="157"/>
    <col min="5889" max="5889" width="27" style="157" customWidth="1"/>
    <col min="5890" max="5890" width="15.7109375" style="157" customWidth="1"/>
    <col min="5891" max="5891" width="14.28515625" style="157" customWidth="1"/>
    <col min="5892" max="5892" width="13.28515625" style="157" customWidth="1"/>
    <col min="5893" max="5893" width="16.5703125" style="157" customWidth="1"/>
    <col min="5894" max="5895" width="13.28515625" style="157" customWidth="1"/>
    <col min="5896" max="5896" width="15.42578125" style="157" customWidth="1"/>
    <col min="5897" max="5899" width="13.5703125" style="157" customWidth="1"/>
    <col min="5900" max="5901" width="11.42578125" style="157"/>
    <col min="5902" max="5902" width="16.7109375" style="157" bestFit="1" customWidth="1"/>
    <col min="5903" max="5903" width="17.28515625" style="157" bestFit="1" customWidth="1"/>
    <col min="5904" max="5905" width="13.85546875" style="157" bestFit="1" customWidth="1"/>
    <col min="5906" max="5906" width="14.85546875" style="157" bestFit="1" customWidth="1"/>
    <col min="5907" max="5907" width="13.85546875" style="157" bestFit="1" customWidth="1"/>
    <col min="5908" max="5908" width="16.7109375" style="157" bestFit="1" customWidth="1"/>
    <col min="5909" max="5910" width="13.85546875" style="157" bestFit="1" customWidth="1"/>
    <col min="5911" max="5912" width="16.7109375" style="157" bestFit="1" customWidth="1"/>
    <col min="5913" max="6144" width="11.42578125" style="157"/>
    <col min="6145" max="6145" width="27" style="157" customWidth="1"/>
    <col min="6146" max="6146" width="15.7109375" style="157" customWidth="1"/>
    <col min="6147" max="6147" width="14.28515625" style="157" customWidth="1"/>
    <col min="6148" max="6148" width="13.28515625" style="157" customWidth="1"/>
    <col min="6149" max="6149" width="16.5703125" style="157" customWidth="1"/>
    <col min="6150" max="6151" width="13.28515625" style="157" customWidth="1"/>
    <col min="6152" max="6152" width="15.42578125" style="157" customWidth="1"/>
    <col min="6153" max="6155" width="13.5703125" style="157" customWidth="1"/>
    <col min="6156" max="6157" width="11.42578125" style="157"/>
    <col min="6158" max="6158" width="16.7109375" style="157" bestFit="1" customWidth="1"/>
    <col min="6159" max="6159" width="17.28515625" style="157" bestFit="1" customWidth="1"/>
    <col min="6160" max="6161" width="13.85546875" style="157" bestFit="1" customWidth="1"/>
    <col min="6162" max="6162" width="14.85546875" style="157" bestFit="1" customWidth="1"/>
    <col min="6163" max="6163" width="13.85546875" style="157" bestFit="1" customWidth="1"/>
    <col min="6164" max="6164" width="16.7109375" style="157" bestFit="1" customWidth="1"/>
    <col min="6165" max="6166" width="13.85546875" style="157" bestFit="1" customWidth="1"/>
    <col min="6167" max="6168" width="16.7109375" style="157" bestFit="1" customWidth="1"/>
    <col min="6169" max="6400" width="11.42578125" style="157"/>
    <col min="6401" max="6401" width="27" style="157" customWidth="1"/>
    <col min="6402" max="6402" width="15.7109375" style="157" customWidth="1"/>
    <col min="6403" max="6403" width="14.28515625" style="157" customWidth="1"/>
    <col min="6404" max="6404" width="13.28515625" style="157" customWidth="1"/>
    <col min="6405" max="6405" width="16.5703125" style="157" customWidth="1"/>
    <col min="6406" max="6407" width="13.28515625" style="157" customWidth="1"/>
    <col min="6408" max="6408" width="15.42578125" style="157" customWidth="1"/>
    <col min="6409" max="6411" width="13.5703125" style="157" customWidth="1"/>
    <col min="6412" max="6413" width="11.42578125" style="157"/>
    <col min="6414" max="6414" width="16.7109375" style="157" bestFit="1" customWidth="1"/>
    <col min="6415" max="6415" width="17.28515625" style="157" bestFit="1" customWidth="1"/>
    <col min="6416" max="6417" width="13.85546875" style="157" bestFit="1" customWidth="1"/>
    <col min="6418" max="6418" width="14.85546875" style="157" bestFit="1" customWidth="1"/>
    <col min="6419" max="6419" width="13.85546875" style="157" bestFit="1" customWidth="1"/>
    <col min="6420" max="6420" width="16.7109375" style="157" bestFit="1" customWidth="1"/>
    <col min="6421" max="6422" width="13.85546875" style="157" bestFit="1" customWidth="1"/>
    <col min="6423" max="6424" width="16.7109375" style="157" bestFit="1" customWidth="1"/>
    <col min="6425" max="6656" width="11.42578125" style="157"/>
    <col min="6657" max="6657" width="27" style="157" customWidth="1"/>
    <col min="6658" max="6658" width="15.7109375" style="157" customWidth="1"/>
    <col min="6659" max="6659" width="14.28515625" style="157" customWidth="1"/>
    <col min="6660" max="6660" width="13.28515625" style="157" customWidth="1"/>
    <col min="6661" max="6661" width="16.5703125" style="157" customWidth="1"/>
    <col min="6662" max="6663" width="13.28515625" style="157" customWidth="1"/>
    <col min="6664" max="6664" width="15.42578125" style="157" customWidth="1"/>
    <col min="6665" max="6667" width="13.5703125" style="157" customWidth="1"/>
    <col min="6668" max="6669" width="11.42578125" style="157"/>
    <col min="6670" max="6670" width="16.7109375" style="157" bestFit="1" customWidth="1"/>
    <col min="6671" max="6671" width="17.28515625" style="157" bestFit="1" customWidth="1"/>
    <col min="6672" max="6673" width="13.85546875" style="157" bestFit="1" customWidth="1"/>
    <col min="6674" max="6674" width="14.85546875" style="157" bestFit="1" customWidth="1"/>
    <col min="6675" max="6675" width="13.85546875" style="157" bestFit="1" customWidth="1"/>
    <col min="6676" max="6676" width="16.7109375" style="157" bestFit="1" customWidth="1"/>
    <col min="6677" max="6678" width="13.85546875" style="157" bestFit="1" customWidth="1"/>
    <col min="6679" max="6680" width="16.7109375" style="157" bestFit="1" customWidth="1"/>
    <col min="6681" max="6912" width="11.42578125" style="157"/>
    <col min="6913" max="6913" width="27" style="157" customWidth="1"/>
    <col min="6914" max="6914" width="15.7109375" style="157" customWidth="1"/>
    <col min="6915" max="6915" width="14.28515625" style="157" customWidth="1"/>
    <col min="6916" max="6916" width="13.28515625" style="157" customWidth="1"/>
    <col min="6917" max="6917" width="16.5703125" style="157" customWidth="1"/>
    <col min="6918" max="6919" width="13.28515625" style="157" customWidth="1"/>
    <col min="6920" max="6920" width="15.42578125" style="157" customWidth="1"/>
    <col min="6921" max="6923" width="13.5703125" style="157" customWidth="1"/>
    <col min="6924" max="6925" width="11.42578125" style="157"/>
    <col min="6926" max="6926" width="16.7109375" style="157" bestFit="1" customWidth="1"/>
    <col min="6927" max="6927" width="17.28515625" style="157" bestFit="1" customWidth="1"/>
    <col min="6928" max="6929" width="13.85546875" style="157" bestFit="1" customWidth="1"/>
    <col min="6930" max="6930" width="14.85546875" style="157" bestFit="1" customWidth="1"/>
    <col min="6931" max="6931" width="13.85546875" style="157" bestFit="1" customWidth="1"/>
    <col min="6932" max="6932" width="16.7109375" style="157" bestFit="1" customWidth="1"/>
    <col min="6933" max="6934" width="13.85546875" style="157" bestFit="1" customWidth="1"/>
    <col min="6935" max="6936" width="16.7109375" style="157" bestFit="1" customWidth="1"/>
    <col min="6937" max="7168" width="11.42578125" style="157"/>
    <col min="7169" max="7169" width="27" style="157" customWidth="1"/>
    <col min="7170" max="7170" width="15.7109375" style="157" customWidth="1"/>
    <col min="7171" max="7171" width="14.28515625" style="157" customWidth="1"/>
    <col min="7172" max="7172" width="13.28515625" style="157" customWidth="1"/>
    <col min="7173" max="7173" width="16.5703125" style="157" customWidth="1"/>
    <col min="7174" max="7175" width="13.28515625" style="157" customWidth="1"/>
    <col min="7176" max="7176" width="15.42578125" style="157" customWidth="1"/>
    <col min="7177" max="7179" width="13.5703125" style="157" customWidth="1"/>
    <col min="7180" max="7181" width="11.42578125" style="157"/>
    <col min="7182" max="7182" width="16.7109375" style="157" bestFit="1" customWidth="1"/>
    <col min="7183" max="7183" width="17.28515625" style="157" bestFit="1" customWidth="1"/>
    <col min="7184" max="7185" width="13.85546875" style="157" bestFit="1" customWidth="1"/>
    <col min="7186" max="7186" width="14.85546875" style="157" bestFit="1" customWidth="1"/>
    <col min="7187" max="7187" width="13.85546875" style="157" bestFit="1" customWidth="1"/>
    <col min="7188" max="7188" width="16.7109375" style="157" bestFit="1" customWidth="1"/>
    <col min="7189" max="7190" width="13.85546875" style="157" bestFit="1" customWidth="1"/>
    <col min="7191" max="7192" width="16.7109375" style="157" bestFit="1" customWidth="1"/>
    <col min="7193" max="7424" width="11.42578125" style="157"/>
    <col min="7425" max="7425" width="27" style="157" customWidth="1"/>
    <col min="7426" max="7426" width="15.7109375" style="157" customWidth="1"/>
    <col min="7427" max="7427" width="14.28515625" style="157" customWidth="1"/>
    <col min="7428" max="7428" width="13.28515625" style="157" customWidth="1"/>
    <col min="7429" max="7429" width="16.5703125" style="157" customWidth="1"/>
    <col min="7430" max="7431" width="13.28515625" style="157" customWidth="1"/>
    <col min="7432" max="7432" width="15.42578125" style="157" customWidth="1"/>
    <col min="7433" max="7435" width="13.5703125" style="157" customWidth="1"/>
    <col min="7436" max="7437" width="11.42578125" style="157"/>
    <col min="7438" max="7438" width="16.7109375" style="157" bestFit="1" customWidth="1"/>
    <col min="7439" max="7439" width="17.28515625" style="157" bestFit="1" customWidth="1"/>
    <col min="7440" max="7441" width="13.85546875" style="157" bestFit="1" customWidth="1"/>
    <col min="7442" max="7442" width="14.85546875" style="157" bestFit="1" customWidth="1"/>
    <col min="7443" max="7443" width="13.85546875" style="157" bestFit="1" customWidth="1"/>
    <col min="7444" max="7444" width="16.7109375" style="157" bestFit="1" customWidth="1"/>
    <col min="7445" max="7446" width="13.85546875" style="157" bestFit="1" customWidth="1"/>
    <col min="7447" max="7448" width="16.7109375" style="157" bestFit="1" customWidth="1"/>
    <col min="7449" max="7680" width="11.42578125" style="157"/>
    <col min="7681" max="7681" width="27" style="157" customWidth="1"/>
    <col min="7682" max="7682" width="15.7109375" style="157" customWidth="1"/>
    <col min="7683" max="7683" width="14.28515625" style="157" customWidth="1"/>
    <col min="7684" max="7684" width="13.28515625" style="157" customWidth="1"/>
    <col min="7685" max="7685" width="16.5703125" style="157" customWidth="1"/>
    <col min="7686" max="7687" width="13.28515625" style="157" customWidth="1"/>
    <col min="7688" max="7688" width="15.42578125" style="157" customWidth="1"/>
    <col min="7689" max="7691" width="13.5703125" style="157" customWidth="1"/>
    <col min="7692" max="7693" width="11.42578125" style="157"/>
    <col min="7694" max="7694" width="16.7109375" style="157" bestFit="1" customWidth="1"/>
    <col min="7695" max="7695" width="17.28515625" style="157" bestFit="1" customWidth="1"/>
    <col min="7696" max="7697" width="13.85546875" style="157" bestFit="1" customWidth="1"/>
    <col min="7698" max="7698" width="14.85546875" style="157" bestFit="1" customWidth="1"/>
    <col min="7699" max="7699" width="13.85546875" style="157" bestFit="1" customWidth="1"/>
    <col min="7700" max="7700" width="16.7109375" style="157" bestFit="1" customWidth="1"/>
    <col min="7701" max="7702" width="13.85546875" style="157" bestFit="1" customWidth="1"/>
    <col min="7703" max="7704" width="16.7109375" style="157" bestFit="1" customWidth="1"/>
    <col min="7705" max="7936" width="11.42578125" style="157"/>
    <col min="7937" max="7937" width="27" style="157" customWidth="1"/>
    <col min="7938" max="7938" width="15.7109375" style="157" customWidth="1"/>
    <col min="7939" max="7939" width="14.28515625" style="157" customWidth="1"/>
    <col min="7940" max="7940" width="13.28515625" style="157" customWidth="1"/>
    <col min="7941" max="7941" width="16.5703125" style="157" customWidth="1"/>
    <col min="7942" max="7943" width="13.28515625" style="157" customWidth="1"/>
    <col min="7944" max="7944" width="15.42578125" style="157" customWidth="1"/>
    <col min="7945" max="7947" width="13.5703125" style="157" customWidth="1"/>
    <col min="7948" max="7949" width="11.42578125" style="157"/>
    <col min="7950" max="7950" width="16.7109375" style="157" bestFit="1" customWidth="1"/>
    <col min="7951" max="7951" width="17.28515625" style="157" bestFit="1" customWidth="1"/>
    <col min="7952" max="7953" width="13.85546875" style="157" bestFit="1" customWidth="1"/>
    <col min="7954" max="7954" width="14.85546875" style="157" bestFit="1" customWidth="1"/>
    <col min="7955" max="7955" width="13.85546875" style="157" bestFit="1" customWidth="1"/>
    <col min="7956" max="7956" width="16.7109375" style="157" bestFit="1" customWidth="1"/>
    <col min="7957" max="7958" width="13.85546875" style="157" bestFit="1" customWidth="1"/>
    <col min="7959" max="7960" width="16.7109375" style="157" bestFit="1" customWidth="1"/>
    <col min="7961" max="8192" width="11.42578125" style="157"/>
    <col min="8193" max="8193" width="27" style="157" customWidth="1"/>
    <col min="8194" max="8194" width="15.7109375" style="157" customWidth="1"/>
    <col min="8195" max="8195" width="14.28515625" style="157" customWidth="1"/>
    <col min="8196" max="8196" width="13.28515625" style="157" customWidth="1"/>
    <col min="8197" max="8197" width="16.5703125" style="157" customWidth="1"/>
    <col min="8198" max="8199" width="13.28515625" style="157" customWidth="1"/>
    <col min="8200" max="8200" width="15.42578125" style="157" customWidth="1"/>
    <col min="8201" max="8203" width="13.5703125" style="157" customWidth="1"/>
    <col min="8204" max="8205" width="11.42578125" style="157"/>
    <col min="8206" max="8206" width="16.7109375" style="157" bestFit="1" customWidth="1"/>
    <col min="8207" max="8207" width="17.28515625" style="157" bestFit="1" customWidth="1"/>
    <col min="8208" max="8209" width="13.85546875" style="157" bestFit="1" customWidth="1"/>
    <col min="8210" max="8210" width="14.85546875" style="157" bestFit="1" customWidth="1"/>
    <col min="8211" max="8211" width="13.85546875" style="157" bestFit="1" customWidth="1"/>
    <col min="8212" max="8212" width="16.7109375" style="157" bestFit="1" customWidth="1"/>
    <col min="8213" max="8214" width="13.85546875" style="157" bestFit="1" customWidth="1"/>
    <col min="8215" max="8216" width="16.7109375" style="157" bestFit="1" customWidth="1"/>
    <col min="8217" max="8448" width="11.42578125" style="157"/>
    <col min="8449" max="8449" width="27" style="157" customWidth="1"/>
    <col min="8450" max="8450" width="15.7109375" style="157" customWidth="1"/>
    <col min="8451" max="8451" width="14.28515625" style="157" customWidth="1"/>
    <col min="8452" max="8452" width="13.28515625" style="157" customWidth="1"/>
    <col min="8453" max="8453" width="16.5703125" style="157" customWidth="1"/>
    <col min="8454" max="8455" width="13.28515625" style="157" customWidth="1"/>
    <col min="8456" max="8456" width="15.42578125" style="157" customWidth="1"/>
    <col min="8457" max="8459" width="13.5703125" style="157" customWidth="1"/>
    <col min="8460" max="8461" width="11.42578125" style="157"/>
    <col min="8462" max="8462" width="16.7109375" style="157" bestFit="1" customWidth="1"/>
    <col min="8463" max="8463" width="17.28515625" style="157" bestFit="1" customWidth="1"/>
    <col min="8464" max="8465" width="13.85546875" style="157" bestFit="1" customWidth="1"/>
    <col min="8466" max="8466" width="14.85546875" style="157" bestFit="1" customWidth="1"/>
    <col min="8467" max="8467" width="13.85546875" style="157" bestFit="1" customWidth="1"/>
    <col min="8468" max="8468" width="16.7109375" style="157" bestFit="1" customWidth="1"/>
    <col min="8469" max="8470" width="13.85546875" style="157" bestFit="1" customWidth="1"/>
    <col min="8471" max="8472" width="16.7109375" style="157" bestFit="1" customWidth="1"/>
    <col min="8473" max="8704" width="11.42578125" style="157"/>
    <col min="8705" max="8705" width="27" style="157" customWidth="1"/>
    <col min="8706" max="8706" width="15.7109375" style="157" customWidth="1"/>
    <col min="8707" max="8707" width="14.28515625" style="157" customWidth="1"/>
    <col min="8708" max="8708" width="13.28515625" style="157" customWidth="1"/>
    <col min="8709" max="8709" width="16.5703125" style="157" customWidth="1"/>
    <col min="8710" max="8711" width="13.28515625" style="157" customWidth="1"/>
    <col min="8712" max="8712" width="15.42578125" style="157" customWidth="1"/>
    <col min="8713" max="8715" width="13.5703125" style="157" customWidth="1"/>
    <col min="8716" max="8717" width="11.42578125" style="157"/>
    <col min="8718" max="8718" width="16.7109375" style="157" bestFit="1" customWidth="1"/>
    <col min="8719" max="8719" width="17.28515625" style="157" bestFit="1" customWidth="1"/>
    <col min="8720" max="8721" width="13.85546875" style="157" bestFit="1" customWidth="1"/>
    <col min="8722" max="8722" width="14.85546875" style="157" bestFit="1" customWidth="1"/>
    <col min="8723" max="8723" width="13.85546875" style="157" bestFit="1" customWidth="1"/>
    <col min="8724" max="8724" width="16.7109375" style="157" bestFit="1" customWidth="1"/>
    <col min="8725" max="8726" width="13.85546875" style="157" bestFit="1" customWidth="1"/>
    <col min="8727" max="8728" width="16.7109375" style="157" bestFit="1" customWidth="1"/>
    <col min="8729" max="8960" width="11.42578125" style="157"/>
    <col min="8961" max="8961" width="27" style="157" customWidth="1"/>
    <col min="8962" max="8962" width="15.7109375" style="157" customWidth="1"/>
    <col min="8963" max="8963" width="14.28515625" style="157" customWidth="1"/>
    <col min="8964" max="8964" width="13.28515625" style="157" customWidth="1"/>
    <col min="8965" max="8965" width="16.5703125" style="157" customWidth="1"/>
    <col min="8966" max="8967" width="13.28515625" style="157" customWidth="1"/>
    <col min="8968" max="8968" width="15.42578125" style="157" customWidth="1"/>
    <col min="8969" max="8971" width="13.5703125" style="157" customWidth="1"/>
    <col min="8972" max="8973" width="11.42578125" style="157"/>
    <col min="8974" max="8974" width="16.7109375" style="157" bestFit="1" customWidth="1"/>
    <col min="8975" max="8975" width="17.28515625" style="157" bestFit="1" customWidth="1"/>
    <col min="8976" max="8977" width="13.85546875" style="157" bestFit="1" customWidth="1"/>
    <col min="8978" max="8978" width="14.85546875" style="157" bestFit="1" customWidth="1"/>
    <col min="8979" max="8979" width="13.85546875" style="157" bestFit="1" customWidth="1"/>
    <col min="8980" max="8980" width="16.7109375" style="157" bestFit="1" customWidth="1"/>
    <col min="8981" max="8982" width="13.85546875" style="157" bestFit="1" customWidth="1"/>
    <col min="8983" max="8984" width="16.7109375" style="157" bestFit="1" customWidth="1"/>
    <col min="8985" max="9216" width="11.42578125" style="157"/>
    <col min="9217" max="9217" width="27" style="157" customWidth="1"/>
    <col min="9218" max="9218" width="15.7109375" style="157" customWidth="1"/>
    <col min="9219" max="9219" width="14.28515625" style="157" customWidth="1"/>
    <col min="9220" max="9220" width="13.28515625" style="157" customWidth="1"/>
    <col min="9221" max="9221" width="16.5703125" style="157" customWidth="1"/>
    <col min="9222" max="9223" width="13.28515625" style="157" customWidth="1"/>
    <col min="9224" max="9224" width="15.42578125" style="157" customWidth="1"/>
    <col min="9225" max="9227" width="13.5703125" style="157" customWidth="1"/>
    <col min="9228" max="9229" width="11.42578125" style="157"/>
    <col min="9230" max="9230" width="16.7109375" style="157" bestFit="1" customWidth="1"/>
    <col min="9231" max="9231" width="17.28515625" style="157" bestFit="1" customWidth="1"/>
    <col min="9232" max="9233" width="13.85546875" style="157" bestFit="1" customWidth="1"/>
    <col min="9234" max="9234" width="14.85546875" style="157" bestFit="1" customWidth="1"/>
    <col min="9235" max="9235" width="13.85546875" style="157" bestFit="1" customWidth="1"/>
    <col min="9236" max="9236" width="16.7109375" style="157" bestFit="1" customWidth="1"/>
    <col min="9237" max="9238" width="13.85546875" style="157" bestFit="1" customWidth="1"/>
    <col min="9239" max="9240" width="16.7109375" style="157" bestFit="1" customWidth="1"/>
    <col min="9241" max="9472" width="11.42578125" style="157"/>
    <col min="9473" max="9473" width="27" style="157" customWidth="1"/>
    <col min="9474" max="9474" width="15.7109375" style="157" customWidth="1"/>
    <col min="9475" max="9475" width="14.28515625" style="157" customWidth="1"/>
    <col min="9476" max="9476" width="13.28515625" style="157" customWidth="1"/>
    <col min="9477" max="9477" width="16.5703125" style="157" customWidth="1"/>
    <col min="9478" max="9479" width="13.28515625" style="157" customWidth="1"/>
    <col min="9480" max="9480" width="15.42578125" style="157" customWidth="1"/>
    <col min="9481" max="9483" width="13.5703125" style="157" customWidth="1"/>
    <col min="9484" max="9485" width="11.42578125" style="157"/>
    <col min="9486" max="9486" width="16.7109375" style="157" bestFit="1" customWidth="1"/>
    <col min="9487" max="9487" width="17.28515625" style="157" bestFit="1" customWidth="1"/>
    <col min="9488" max="9489" width="13.85546875" style="157" bestFit="1" customWidth="1"/>
    <col min="9490" max="9490" width="14.85546875" style="157" bestFit="1" customWidth="1"/>
    <col min="9491" max="9491" width="13.85546875" style="157" bestFit="1" customWidth="1"/>
    <col min="9492" max="9492" width="16.7109375" style="157" bestFit="1" customWidth="1"/>
    <col min="9493" max="9494" width="13.85546875" style="157" bestFit="1" customWidth="1"/>
    <col min="9495" max="9496" width="16.7109375" style="157" bestFit="1" customWidth="1"/>
    <col min="9497" max="9728" width="11.42578125" style="157"/>
    <col min="9729" max="9729" width="27" style="157" customWidth="1"/>
    <col min="9730" max="9730" width="15.7109375" style="157" customWidth="1"/>
    <col min="9731" max="9731" width="14.28515625" style="157" customWidth="1"/>
    <col min="9732" max="9732" width="13.28515625" style="157" customWidth="1"/>
    <col min="9733" max="9733" width="16.5703125" style="157" customWidth="1"/>
    <col min="9734" max="9735" width="13.28515625" style="157" customWidth="1"/>
    <col min="9736" max="9736" width="15.42578125" style="157" customWidth="1"/>
    <col min="9737" max="9739" width="13.5703125" style="157" customWidth="1"/>
    <col min="9740" max="9741" width="11.42578125" style="157"/>
    <col min="9742" max="9742" width="16.7109375" style="157" bestFit="1" customWidth="1"/>
    <col min="9743" max="9743" width="17.28515625" style="157" bestFit="1" customWidth="1"/>
    <col min="9744" max="9745" width="13.85546875" style="157" bestFit="1" customWidth="1"/>
    <col min="9746" max="9746" width="14.85546875" style="157" bestFit="1" customWidth="1"/>
    <col min="9747" max="9747" width="13.85546875" style="157" bestFit="1" customWidth="1"/>
    <col min="9748" max="9748" width="16.7109375" style="157" bestFit="1" customWidth="1"/>
    <col min="9749" max="9750" width="13.85546875" style="157" bestFit="1" customWidth="1"/>
    <col min="9751" max="9752" width="16.7109375" style="157" bestFit="1" customWidth="1"/>
    <col min="9753" max="9984" width="11.42578125" style="157"/>
    <col min="9985" max="9985" width="27" style="157" customWidth="1"/>
    <col min="9986" max="9986" width="15.7109375" style="157" customWidth="1"/>
    <col min="9987" max="9987" width="14.28515625" style="157" customWidth="1"/>
    <col min="9988" max="9988" width="13.28515625" style="157" customWidth="1"/>
    <col min="9989" max="9989" width="16.5703125" style="157" customWidth="1"/>
    <col min="9990" max="9991" width="13.28515625" style="157" customWidth="1"/>
    <col min="9992" max="9992" width="15.42578125" style="157" customWidth="1"/>
    <col min="9993" max="9995" width="13.5703125" style="157" customWidth="1"/>
    <col min="9996" max="9997" width="11.42578125" style="157"/>
    <col min="9998" max="9998" width="16.7109375" style="157" bestFit="1" customWidth="1"/>
    <col min="9999" max="9999" width="17.28515625" style="157" bestFit="1" customWidth="1"/>
    <col min="10000" max="10001" width="13.85546875" style="157" bestFit="1" customWidth="1"/>
    <col min="10002" max="10002" width="14.85546875" style="157" bestFit="1" customWidth="1"/>
    <col min="10003" max="10003" width="13.85546875" style="157" bestFit="1" customWidth="1"/>
    <col min="10004" max="10004" width="16.7109375" style="157" bestFit="1" customWidth="1"/>
    <col min="10005" max="10006" width="13.85546875" style="157" bestFit="1" customWidth="1"/>
    <col min="10007" max="10008" width="16.7109375" style="157" bestFit="1" customWidth="1"/>
    <col min="10009" max="10240" width="11.42578125" style="157"/>
    <col min="10241" max="10241" width="27" style="157" customWidth="1"/>
    <col min="10242" max="10242" width="15.7109375" style="157" customWidth="1"/>
    <col min="10243" max="10243" width="14.28515625" style="157" customWidth="1"/>
    <col min="10244" max="10244" width="13.28515625" style="157" customWidth="1"/>
    <col min="10245" max="10245" width="16.5703125" style="157" customWidth="1"/>
    <col min="10246" max="10247" width="13.28515625" style="157" customWidth="1"/>
    <col min="10248" max="10248" width="15.42578125" style="157" customWidth="1"/>
    <col min="10249" max="10251" width="13.5703125" style="157" customWidth="1"/>
    <col min="10252" max="10253" width="11.42578125" style="157"/>
    <col min="10254" max="10254" width="16.7109375" style="157" bestFit="1" customWidth="1"/>
    <col min="10255" max="10255" width="17.28515625" style="157" bestFit="1" customWidth="1"/>
    <col min="10256" max="10257" width="13.85546875" style="157" bestFit="1" customWidth="1"/>
    <col min="10258" max="10258" width="14.85546875" style="157" bestFit="1" customWidth="1"/>
    <col min="10259" max="10259" width="13.85546875" style="157" bestFit="1" customWidth="1"/>
    <col min="10260" max="10260" width="16.7109375" style="157" bestFit="1" customWidth="1"/>
    <col min="10261" max="10262" width="13.85546875" style="157" bestFit="1" customWidth="1"/>
    <col min="10263" max="10264" width="16.7109375" style="157" bestFit="1" customWidth="1"/>
    <col min="10265" max="10496" width="11.42578125" style="157"/>
    <col min="10497" max="10497" width="27" style="157" customWidth="1"/>
    <col min="10498" max="10498" width="15.7109375" style="157" customWidth="1"/>
    <col min="10499" max="10499" width="14.28515625" style="157" customWidth="1"/>
    <col min="10500" max="10500" width="13.28515625" style="157" customWidth="1"/>
    <col min="10501" max="10501" width="16.5703125" style="157" customWidth="1"/>
    <col min="10502" max="10503" width="13.28515625" style="157" customWidth="1"/>
    <col min="10504" max="10504" width="15.42578125" style="157" customWidth="1"/>
    <col min="10505" max="10507" width="13.5703125" style="157" customWidth="1"/>
    <col min="10508" max="10509" width="11.42578125" style="157"/>
    <col min="10510" max="10510" width="16.7109375" style="157" bestFit="1" customWidth="1"/>
    <col min="10511" max="10511" width="17.28515625" style="157" bestFit="1" customWidth="1"/>
    <col min="10512" max="10513" width="13.85546875" style="157" bestFit="1" customWidth="1"/>
    <col min="10514" max="10514" width="14.85546875" style="157" bestFit="1" customWidth="1"/>
    <col min="10515" max="10515" width="13.85546875" style="157" bestFit="1" customWidth="1"/>
    <col min="10516" max="10516" width="16.7109375" style="157" bestFit="1" customWidth="1"/>
    <col min="10517" max="10518" width="13.85546875" style="157" bestFit="1" customWidth="1"/>
    <col min="10519" max="10520" width="16.7109375" style="157" bestFit="1" customWidth="1"/>
    <col min="10521" max="10752" width="11.42578125" style="157"/>
    <col min="10753" max="10753" width="27" style="157" customWidth="1"/>
    <col min="10754" max="10754" width="15.7109375" style="157" customWidth="1"/>
    <col min="10755" max="10755" width="14.28515625" style="157" customWidth="1"/>
    <col min="10756" max="10756" width="13.28515625" style="157" customWidth="1"/>
    <col min="10757" max="10757" width="16.5703125" style="157" customWidth="1"/>
    <col min="10758" max="10759" width="13.28515625" style="157" customWidth="1"/>
    <col min="10760" max="10760" width="15.42578125" style="157" customWidth="1"/>
    <col min="10761" max="10763" width="13.5703125" style="157" customWidth="1"/>
    <col min="10764" max="10765" width="11.42578125" style="157"/>
    <col min="10766" max="10766" width="16.7109375" style="157" bestFit="1" customWidth="1"/>
    <col min="10767" max="10767" width="17.28515625" style="157" bestFit="1" customWidth="1"/>
    <col min="10768" max="10769" width="13.85546875" style="157" bestFit="1" customWidth="1"/>
    <col min="10770" max="10770" width="14.85546875" style="157" bestFit="1" customWidth="1"/>
    <col min="10771" max="10771" width="13.85546875" style="157" bestFit="1" customWidth="1"/>
    <col min="10772" max="10772" width="16.7109375" style="157" bestFit="1" customWidth="1"/>
    <col min="10773" max="10774" width="13.85546875" style="157" bestFit="1" customWidth="1"/>
    <col min="10775" max="10776" width="16.7109375" style="157" bestFit="1" customWidth="1"/>
    <col min="10777" max="11008" width="11.42578125" style="157"/>
    <col min="11009" max="11009" width="27" style="157" customWidth="1"/>
    <col min="11010" max="11010" width="15.7109375" style="157" customWidth="1"/>
    <col min="11011" max="11011" width="14.28515625" style="157" customWidth="1"/>
    <col min="11012" max="11012" width="13.28515625" style="157" customWidth="1"/>
    <col min="11013" max="11013" width="16.5703125" style="157" customWidth="1"/>
    <col min="11014" max="11015" width="13.28515625" style="157" customWidth="1"/>
    <col min="11016" max="11016" width="15.42578125" style="157" customWidth="1"/>
    <col min="11017" max="11019" width="13.5703125" style="157" customWidth="1"/>
    <col min="11020" max="11021" width="11.42578125" style="157"/>
    <col min="11022" max="11022" width="16.7109375" style="157" bestFit="1" customWidth="1"/>
    <col min="11023" max="11023" width="17.28515625" style="157" bestFit="1" customWidth="1"/>
    <col min="11024" max="11025" width="13.85546875" style="157" bestFit="1" customWidth="1"/>
    <col min="11026" max="11026" width="14.85546875" style="157" bestFit="1" customWidth="1"/>
    <col min="11027" max="11027" width="13.85546875" style="157" bestFit="1" customWidth="1"/>
    <col min="11028" max="11028" width="16.7109375" style="157" bestFit="1" customWidth="1"/>
    <col min="11029" max="11030" width="13.85546875" style="157" bestFit="1" customWidth="1"/>
    <col min="11031" max="11032" width="16.7109375" style="157" bestFit="1" customWidth="1"/>
    <col min="11033" max="11264" width="11.42578125" style="157"/>
    <col min="11265" max="11265" width="27" style="157" customWidth="1"/>
    <col min="11266" max="11266" width="15.7109375" style="157" customWidth="1"/>
    <col min="11267" max="11267" width="14.28515625" style="157" customWidth="1"/>
    <col min="11268" max="11268" width="13.28515625" style="157" customWidth="1"/>
    <col min="11269" max="11269" width="16.5703125" style="157" customWidth="1"/>
    <col min="11270" max="11271" width="13.28515625" style="157" customWidth="1"/>
    <col min="11272" max="11272" width="15.42578125" style="157" customWidth="1"/>
    <col min="11273" max="11275" width="13.5703125" style="157" customWidth="1"/>
    <col min="11276" max="11277" width="11.42578125" style="157"/>
    <col min="11278" max="11278" width="16.7109375" style="157" bestFit="1" customWidth="1"/>
    <col min="11279" max="11279" width="17.28515625" style="157" bestFit="1" customWidth="1"/>
    <col min="11280" max="11281" width="13.85546875" style="157" bestFit="1" customWidth="1"/>
    <col min="11282" max="11282" width="14.85546875" style="157" bestFit="1" customWidth="1"/>
    <col min="11283" max="11283" width="13.85546875" style="157" bestFit="1" customWidth="1"/>
    <col min="11284" max="11284" width="16.7109375" style="157" bestFit="1" customWidth="1"/>
    <col min="11285" max="11286" width="13.85546875" style="157" bestFit="1" customWidth="1"/>
    <col min="11287" max="11288" width="16.7109375" style="157" bestFit="1" customWidth="1"/>
    <col min="11289" max="11520" width="11.42578125" style="157"/>
    <col min="11521" max="11521" width="27" style="157" customWidth="1"/>
    <col min="11522" max="11522" width="15.7109375" style="157" customWidth="1"/>
    <col min="11523" max="11523" width="14.28515625" style="157" customWidth="1"/>
    <col min="11524" max="11524" width="13.28515625" style="157" customWidth="1"/>
    <col min="11525" max="11525" width="16.5703125" style="157" customWidth="1"/>
    <col min="11526" max="11527" width="13.28515625" style="157" customWidth="1"/>
    <col min="11528" max="11528" width="15.42578125" style="157" customWidth="1"/>
    <col min="11529" max="11531" width="13.5703125" style="157" customWidth="1"/>
    <col min="11532" max="11533" width="11.42578125" style="157"/>
    <col min="11534" max="11534" width="16.7109375" style="157" bestFit="1" customWidth="1"/>
    <col min="11535" max="11535" width="17.28515625" style="157" bestFit="1" customWidth="1"/>
    <col min="11536" max="11537" width="13.85546875" style="157" bestFit="1" customWidth="1"/>
    <col min="11538" max="11538" width="14.85546875" style="157" bestFit="1" customWidth="1"/>
    <col min="11539" max="11539" width="13.85546875" style="157" bestFit="1" customWidth="1"/>
    <col min="11540" max="11540" width="16.7109375" style="157" bestFit="1" customWidth="1"/>
    <col min="11541" max="11542" width="13.85546875" style="157" bestFit="1" customWidth="1"/>
    <col min="11543" max="11544" width="16.7109375" style="157" bestFit="1" customWidth="1"/>
    <col min="11545" max="11776" width="11.42578125" style="157"/>
    <col min="11777" max="11777" width="27" style="157" customWidth="1"/>
    <col min="11778" max="11778" width="15.7109375" style="157" customWidth="1"/>
    <col min="11779" max="11779" width="14.28515625" style="157" customWidth="1"/>
    <col min="11780" max="11780" width="13.28515625" style="157" customWidth="1"/>
    <col min="11781" max="11781" width="16.5703125" style="157" customWidth="1"/>
    <col min="11782" max="11783" width="13.28515625" style="157" customWidth="1"/>
    <col min="11784" max="11784" width="15.42578125" style="157" customWidth="1"/>
    <col min="11785" max="11787" width="13.5703125" style="157" customWidth="1"/>
    <col min="11788" max="11789" width="11.42578125" style="157"/>
    <col min="11790" max="11790" width="16.7109375" style="157" bestFit="1" customWidth="1"/>
    <col min="11791" max="11791" width="17.28515625" style="157" bestFit="1" customWidth="1"/>
    <col min="11792" max="11793" width="13.85546875" style="157" bestFit="1" customWidth="1"/>
    <col min="11794" max="11794" width="14.85546875" style="157" bestFit="1" customWidth="1"/>
    <col min="11795" max="11795" width="13.85546875" style="157" bestFit="1" customWidth="1"/>
    <col min="11796" max="11796" width="16.7109375" style="157" bestFit="1" customWidth="1"/>
    <col min="11797" max="11798" width="13.85546875" style="157" bestFit="1" customWidth="1"/>
    <col min="11799" max="11800" width="16.7109375" style="157" bestFit="1" customWidth="1"/>
    <col min="11801" max="12032" width="11.42578125" style="157"/>
    <col min="12033" max="12033" width="27" style="157" customWidth="1"/>
    <col min="12034" max="12034" width="15.7109375" style="157" customWidth="1"/>
    <col min="12035" max="12035" width="14.28515625" style="157" customWidth="1"/>
    <col min="12036" max="12036" width="13.28515625" style="157" customWidth="1"/>
    <col min="12037" max="12037" width="16.5703125" style="157" customWidth="1"/>
    <col min="12038" max="12039" width="13.28515625" style="157" customWidth="1"/>
    <col min="12040" max="12040" width="15.42578125" style="157" customWidth="1"/>
    <col min="12041" max="12043" width="13.5703125" style="157" customWidth="1"/>
    <col min="12044" max="12045" width="11.42578125" style="157"/>
    <col min="12046" max="12046" width="16.7109375" style="157" bestFit="1" customWidth="1"/>
    <col min="12047" max="12047" width="17.28515625" style="157" bestFit="1" customWidth="1"/>
    <col min="12048" max="12049" width="13.85546875" style="157" bestFit="1" customWidth="1"/>
    <col min="12050" max="12050" width="14.85546875" style="157" bestFit="1" customWidth="1"/>
    <col min="12051" max="12051" width="13.85546875" style="157" bestFit="1" customWidth="1"/>
    <col min="12052" max="12052" width="16.7109375" style="157" bestFit="1" customWidth="1"/>
    <col min="12053" max="12054" width="13.85546875" style="157" bestFit="1" customWidth="1"/>
    <col min="12055" max="12056" width="16.7109375" style="157" bestFit="1" customWidth="1"/>
    <col min="12057" max="12288" width="11.42578125" style="157"/>
    <col min="12289" max="12289" width="27" style="157" customWidth="1"/>
    <col min="12290" max="12290" width="15.7109375" style="157" customWidth="1"/>
    <col min="12291" max="12291" width="14.28515625" style="157" customWidth="1"/>
    <col min="12292" max="12292" width="13.28515625" style="157" customWidth="1"/>
    <col min="12293" max="12293" width="16.5703125" style="157" customWidth="1"/>
    <col min="12294" max="12295" width="13.28515625" style="157" customWidth="1"/>
    <col min="12296" max="12296" width="15.42578125" style="157" customWidth="1"/>
    <col min="12297" max="12299" width="13.5703125" style="157" customWidth="1"/>
    <col min="12300" max="12301" width="11.42578125" style="157"/>
    <col min="12302" max="12302" width="16.7109375" style="157" bestFit="1" customWidth="1"/>
    <col min="12303" max="12303" width="17.28515625" style="157" bestFit="1" customWidth="1"/>
    <col min="12304" max="12305" width="13.85546875" style="157" bestFit="1" customWidth="1"/>
    <col min="12306" max="12306" width="14.85546875" style="157" bestFit="1" customWidth="1"/>
    <col min="12307" max="12307" width="13.85546875" style="157" bestFit="1" customWidth="1"/>
    <col min="12308" max="12308" width="16.7109375" style="157" bestFit="1" customWidth="1"/>
    <col min="12309" max="12310" width="13.85546875" style="157" bestFit="1" customWidth="1"/>
    <col min="12311" max="12312" width="16.7109375" style="157" bestFit="1" customWidth="1"/>
    <col min="12313" max="12544" width="11.42578125" style="157"/>
    <col min="12545" max="12545" width="27" style="157" customWidth="1"/>
    <col min="12546" max="12546" width="15.7109375" style="157" customWidth="1"/>
    <col min="12547" max="12547" width="14.28515625" style="157" customWidth="1"/>
    <col min="12548" max="12548" width="13.28515625" style="157" customWidth="1"/>
    <col min="12549" max="12549" width="16.5703125" style="157" customWidth="1"/>
    <col min="12550" max="12551" width="13.28515625" style="157" customWidth="1"/>
    <col min="12552" max="12552" width="15.42578125" style="157" customWidth="1"/>
    <col min="12553" max="12555" width="13.5703125" style="157" customWidth="1"/>
    <col min="12556" max="12557" width="11.42578125" style="157"/>
    <col min="12558" max="12558" width="16.7109375" style="157" bestFit="1" customWidth="1"/>
    <col min="12559" max="12559" width="17.28515625" style="157" bestFit="1" customWidth="1"/>
    <col min="12560" max="12561" width="13.85546875" style="157" bestFit="1" customWidth="1"/>
    <col min="12562" max="12562" width="14.85546875" style="157" bestFit="1" customWidth="1"/>
    <col min="12563" max="12563" width="13.85546875" style="157" bestFit="1" customWidth="1"/>
    <col min="12564" max="12564" width="16.7109375" style="157" bestFit="1" customWidth="1"/>
    <col min="12565" max="12566" width="13.85546875" style="157" bestFit="1" customWidth="1"/>
    <col min="12567" max="12568" width="16.7109375" style="157" bestFit="1" customWidth="1"/>
    <col min="12569" max="12800" width="11.42578125" style="157"/>
    <col min="12801" max="12801" width="27" style="157" customWidth="1"/>
    <col min="12802" max="12802" width="15.7109375" style="157" customWidth="1"/>
    <col min="12803" max="12803" width="14.28515625" style="157" customWidth="1"/>
    <col min="12804" max="12804" width="13.28515625" style="157" customWidth="1"/>
    <col min="12805" max="12805" width="16.5703125" style="157" customWidth="1"/>
    <col min="12806" max="12807" width="13.28515625" style="157" customWidth="1"/>
    <col min="12808" max="12808" width="15.42578125" style="157" customWidth="1"/>
    <col min="12809" max="12811" width="13.5703125" style="157" customWidth="1"/>
    <col min="12812" max="12813" width="11.42578125" style="157"/>
    <col min="12814" max="12814" width="16.7109375" style="157" bestFit="1" customWidth="1"/>
    <col min="12815" max="12815" width="17.28515625" style="157" bestFit="1" customWidth="1"/>
    <col min="12816" max="12817" width="13.85546875" style="157" bestFit="1" customWidth="1"/>
    <col min="12818" max="12818" width="14.85546875" style="157" bestFit="1" customWidth="1"/>
    <col min="12819" max="12819" width="13.85546875" style="157" bestFit="1" customWidth="1"/>
    <col min="12820" max="12820" width="16.7109375" style="157" bestFit="1" customWidth="1"/>
    <col min="12821" max="12822" width="13.85546875" style="157" bestFit="1" customWidth="1"/>
    <col min="12823" max="12824" width="16.7109375" style="157" bestFit="1" customWidth="1"/>
    <col min="12825" max="13056" width="11.42578125" style="157"/>
    <col min="13057" max="13057" width="27" style="157" customWidth="1"/>
    <col min="13058" max="13058" width="15.7109375" style="157" customWidth="1"/>
    <col min="13059" max="13059" width="14.28515625" style="157" customWidth="1"/>
    <col min="13060" max="13060" width="13.28515625" style="157" customWidth="1"/>
    <col min="13061" max="13061" width="16.5703125" style="157" customWidth="1"/>
    <col min="13062" max="13063" width="13.28515625" style="157" customWidth="1"/>
    <col min="13064" max="13064" width="15.42578125" style="157" customWidth="1"/>
    <col min="13065" max="13067" width="13.5703125" style="157" customWidth="1"/>
    <col min="13068" max="13069" width="11.42578125" style="157"/>
    <col min="13070" max="13070" width="16.7109375" style="157" bestFit="1" customWidth="1"/>
    <col min="13071" max="13071" width="17.28515625" style="157" bestFit="1" customWidth="1"/>
    <col min="13072" max="13073" width="13.85546875" style="157" bestFit="1" customWidth="1"/>
    <col min="13074" max="13074" width="14.85546875" style="157" bestFit="1" customWidth="1"/>
    <col min="13075" max="13075" width="13.85546875" style="157" bestFit="1" customWidth="1"/>
    <col min="13076" max="13076" width="16.7109375" style="157" bestFit="1" customWidth="1"/>
    <col min="13077" max="13078" width="13.85546875" style="157" bestFit="1" customWidth="1"/>
    <col min="13079" max="13080" width="16.7109375" style="157" bestFit="1" customWidth="1"/>
    <col min="13081" max="13312" width="11.42578125" style="157"/>
    <col min="13313" max="13313" width="27" style="157" customWidth="1"/>
    <col min="13314" max="13314" width="15.7109375" style="157" customWidth="1"/>
    <col min="13315" max="13315" width="14.28515625" style="157" customWidth="1"/>
    <col min="13316" max="13316" width="13.28515625" style="157" customWidth="1"/>
    <col min="13317" max="13317" width="16.5703125" style="157" customWidth="1"/>
    <col min="13318" max="13319" width="13.28515625" style="157" customWidth="1"/>
    <col min="13320" max="13320" width="15.42578125" style="157" customWidth="1"/>
    <col min="13321" max="13323" width="13.5703125" style="157" customWidth="1"/>
    <col min="13324" max="13325" width="11.42578125" style="157"/>
    <col min="13326" max="13326" width="16.7109375" style="157" bestFit="1" customWidth="1"/>
    <col min="13327" max="13327" width="17.28515625" style="157" bestFit="1" customWidth="1"/>
    <col min="13328" max="13329" width="13.85546875" style="157" bestFit="1" customWidth="1"/>
    <col min="13330" max="13330" width="14.85546875" style="157" bestFit="1" customWidth="1"/>
    <col min="13331" max="13331" width="13.85546875" style="157" bestFit="1" customWidth="1"/>
    <col min="13332" max="13332" width="16.7109375" style="157" bestFit="1" customWidth="1"/>
    <col min="13333" max="13334" width="13.85546875" style="157" bestFit="1" customWidth="1"/>
    <col min="13335" max="13336" width="16.7109375" style="157" bestFit="1" customWidth="1"/>
    <col min="13337" max="13568" width="11.42578125" style="157"/>
    <col min="13569" max="13569" width="27" style="157" customWidth="1"/>
    <col min="13570" max="13570" width="15.7109375" style="157" customWidth="1"/>
    <col min="13571" max="13571" width="14.28515625" style="157" customWidth="1"/>
    <col min="13572" max="13572" width="13.28515625" style="157" customWidth="1"/>
    <col min="13573" max="13573" width="16.5703125" style="157" customWidth="1"/>
    <col min="13574" max="13575" width="13.28515625" style="157" customWidth="1"/>
    <col min="13576" max="13576" width="15.42578125" style="157" customWidth="1"/>
    <col min="13577" max="13579" width="13.5703125" style="157" customWidth="1"/>
    <col min="13580" max="13581" width="11.42578125" style="157"/>
    <col min="13582" max="13582" width="16.7109375" style="157" bestFit="1" customWidth="1"/>
    <col min="13583" max="13583" width="17.28515625" style="157" bestFit="1" customWidth="1"/>
    <col min="13584" max="13585" width="13.85546875" style="157" bestFit="1" customWidth="1"/>
    <col min="13586" max="13586" width="14.85546875" style="157" bestFit="1" customWidth="1"/>
    <col min="13587" max="13587" width="13.85546875" style="157" bestFit="1" customWidth="1"/>
    <col min="13588" max="13588" width="16.7109375" style="157" bestFit="1" customWidth="1"/>
    <col min="13589" max="13590" width="13.85546875" style="157" bestFit="1" customWidth="1"/>
    <col min="13591" max="13592" width="16.7109375" style="157" bestFit="1" customWidth="1"/>
    <col min="13593" max="13824" width="11.42578125" style="157"/>
    <col min="13825" max="13825" width="27" style="157" customWidth="1"/>
    <col min="13826" max="13826" width="15.7109375" style="157" customWidth="1"/>
    <col min="13827" max="13827" width="14.28515625" style="157" customWidth="1"/>
    <col min="13828" max="13828" width="13.28515625" style="157" customWidth="1"/>
    <col min="13829" max="13829" width="16.5703125" style="157" customWidth="1"/>
    <col min="13830" max="13831" width="13.28515625" style="157" customWidth="1"/>
    <col min="13832" max="13832" width="15.42578125" style="157" customWidth="1"/>
    <col min="13833" max="13835" width="13.5703125" style="157" customWidth="1"/>
    <col min="13836" max="13837" width="11.42578125" style="157"/>
    <col min="13838" max="13838" width="16.7109375" style="157" bestFit="1" customWidth="1"/>
    <col min="13839" max="13839" width="17.28515625" style="157" bestFit="1" customWidth="1"/>
    <col min="13840" max="13841" width="13.85546875" style="157" bestFit="1" customWidth="1"/>
    <col min="13842" max="13842" width="14.85546875" style="157" bestFit="1" customWidth="1"/>
    <col min="13843" max="13843" width="13.85546875" style="157" bestFit="1" customWidth="1"/>
    <col min="13844" max="13844" width="16.7109375" style="157" bestFit="1" customWidth="1"/>
    <col min="13845" max="13846" width="13.85546875" style="157" bestFit="1" customWidth="1"/>
    <col min="13847" max="13848" width="16.7109375" style="157" bestFit="1" customWidth="1"/>
    <col min="13849" max="14080" width="11.42578125" style="157"/>
    <col min="14081" max="14081" width="27" style="157" customWidth="1"/>
    <col min="14082" max="14082" width="15.7109375" style="157" customWidth="1"/>
    <col min="14083" max="14083" width="14.28515625" style="157" customWidth="1"/>
    <col min="14084" max="14084" width="13.28515625" style="157" customWidth="1"/>
    <col min="14085" max="14085" width="16.5703125" style="157" customWidth="1"/>
    <col min="14086" max="14087" width="13.28515625" style="157" customWidth="1"/>
    <col min="14088" max="14088" width="15.42578125" style="157" customWidth="1"/>
    <col min="14089" max="14091" width="13.5703125" style="157" customWidth="1"/>
    <col min="14092" max="14093" width="11.42578125" style="157"/>
    <col min="14094" max="14094" width="16.7109375" style="157" bestFit="1" customWidth="1"/>
    <col min="14095" max="14095" width="17.28515625" style="157" bestFit="1" customWidth="1"/>
    <col min="14096" max="14097" width="13.85546875" style="157" bestFit="1" customWidth="1"/>
    <col min="14098" max="14098" width="14.85546875" style="157" bestFit="1" customWidth="1"/>
    <col min="14099" max="14099" width="13.85546875" style="157" bestFit="1" customWidth="1"/>
    <col min="14100" max="14100" width="16.7109375" style="157" bestFit="1" customWidth="1"/>
    <col min="14101" max="14102" width="13.85546875" style="157" bestFit="1" customWidth="1"/>
    <col min="14103" max="14104" width="16.7109375" style="157" bestFit="1" customWidth="1"/>
    <col min="14105" max="14336" width="11.42578125" style="157"/>
    <col min="14337" max="14337" width="27" style="157" customWidth="1"/>
    <col min="14338" max="14338" width="15.7109375" style="157" customWidth="1"/>
    <col min="14339" max="14339" width="14.28515625" style="157" customWidth="1"/>
    <col min="14340" max="14340" width="13.28515625" style="157" customWidth="1"/>
    <col min="14341" max="14341" width="16.5703125" style="157" customWidth="1"/>
    <col min="14342" max="14343" width="13.28515625" style="157" customWidth="1"/>
    <col min="14344" max="14344" width="15.42578125" style="157" customWidth="1"/>
    <col min="14345" max="14347" width="13.5703125" style="157" customWidth="1"/>
    <col min="14348" max="14349" width="11.42578125" style="157"/>
    <col min="14350" max="14350" width="16.7109375" style="157" bestFit="1" customWidth="1"/>
    <col min="14351" max="14351" width="17.28515625" style="157" bestFit="1" customWidth="1"/>
    <col min="14352" max="14353" width="13.85546875" style="157" bestFit="1" customWidth="1"/>
    <col min="14354" max="14354" width="14.85546875" style="157" bestFit="1" customWidth="1"/>
    <col min="14355" max="14355" width="13.85546875" style="157" bestFit="1" customWidth="1"/>
    <col min="14356" max="14356" width="16.7109375" style="157" bestFit="1" customWidth="1"/>
    <col min="14357" max="14358" width="13.85546875" style="157" bestFit="1" customWidth="1"/>
    <col min="14359" max="14360" width="16.7109375" style="157" bestFit="1" customWidth="1"/>
    <col min="14361" max="14592" width="11.42578125" style="157"/>
    <col min="14593" max="14593" width="27" style="157" customWidth="1"/>
    <col min="14594" max="14594" width="15.7109375" style="157" customWidth="1"/>
    <col min="14595" max="14595" width="14.28515625" style="157" customWidth="1"/>
    <col min="14596" max="14596" width="13.28515625" style="157" customWidth="1"/>
    <col min="14597" max="14597" width="16.5703125" style="157" customWidth="1"/>
    <col min="14598" max="14599" width="13.28515625" style="157" customWidth="1"/>
    <col min="14600" max="14600" width="15.42578125" style="157" customWidth="1"/>
    <col min="14601" max="14603" width="13.5703125" style="157" customWidth="1"/>
    <col min="14604" max="14605" width="11.42578125" style="157"/>
    <col min="14606" max="14606" width="16.7109375" style="157" bestFit="1" customWidth="1"/>
    <col min="14607" max="14607" width="17.28515625" style="157" bestFit="1" customWidth="1"/>
    <col min="14608" max="14609" width="13.85546875" style="157" bestFit="1" customWidth="1"/>
    <col min="14610" max="14610" width="14.85546875" style="157" bestFit="1" customWidth="1"/>
    <col min="14611" max="14611" width="13.85546875" style="157" bestFit="1" customWidth="1"/>
    <col min="14612" max="14612" width="16.7109375" style="157" bestFit="1" customWidth="1"/>
    <col min="14613" max="14614" width="13.85546875" style="157" bestFit="1" customWidth="1"/>
    <col min="14615" max="14616" width="16.7109375" style="157" bestFit="1" customWidth="1"/>
    <col min="14617" max="14848" width="11.42578125" style="157"/>
    <col min="14849" max="14849" width="27" style="157" customWidth="1"/>
    <col min="14850" max="14850" width="15.7109375" style="157" customWidth="1"/>
    <col min="14851" max="14851" width="14.28515625" style="157" customWidth="1"/>
    <col min="14852" max="14852" width="13.28515625" style="157" customWidth="1"/>
    <col min="14853" max="14853" width="16.5703125" style="157" customWidth="1"/>
    <col min="14854" max="14855" width="13.28515625" style="157" customWidth="1"/>
    <col min="14856" max="14856" width="15.42578125" style="157" customWidth="1"/>
    <col min="14857" max="14859" width="13.5703125" style="157" customWidth="1"/>
    <col min="14860" max="14861" width="11.42578125" style="157"/>
    <col min="14862" max="14862" width="16.7109375" style="157" bestFit="1" customWidth="1"/>
    <col min="14863" max="14863" width="17.28515625" style="157" bestFit="1" customWidth="1"/>
    <col min="14864" max="14865" width="13.85546875" style="157" bestFit="1" customWidth="1"/>
    <col min="14866" max="14866" width="14.85546875" style="157" bestFit="1" customWidth="1"/>
    <col min="14867" max="14867" width="13.85546875" style="157" bestFit="1" customWidth="1"/>
    <col min="14868" max="14868" width="16.7109375" style="157" bestFit="1" customWidth="1"/>
    <col min="14869" max="14870" width="13.85546875" style="157" bestFit="1" customWidth="1"/>
    <col min="14871" max="14872" width="16.7109375" style="157" bestFit="1" customWidth="1"/>
    <col min="14873" max="15104" width="11.42578125" style="157"/>
    <col min="15105" max="15105" width="27" style="157" customWidth="1"/>
    <col min="15106" max="15106" width="15.7109375" style="157" customWidth="1"/>
    <col min="15107" max="15107" width="14.28515625" style="157" customWidth="1"/>
    <col min="15108" max="15108" width="13.28515625" style="157" customWidth="1"/>
    <col min="15109" max="15109" width="16.5703125" style="157" customWidth="1"/>
    <col min="15110" max="15111" width="13.28515625" style="157" customWidth="1"/>
    <col min="15112" max="15112" width="15.42578125" style="157" customWidth="1"/>
    <col min="15113" max="15115" width="13.5703125" style="157" customWidth="1"/>
    <col min="15116" max="15117" width="11.42578125" style="157"/>
    <col min="15118" max="15118" width="16.7109375" style="157" bestFit="1" customWidth="1"/>
    <col min="15119" max="15119" width="17.28515625" style="157" bestFit="1" customWidth="1"/>
    <col min="15120" max="15121" width="13.85546875" style="157" bestFit="1" customWidth="1"/>
    <col min="15122" max="15122" width="14.85546875" style="157" bestFit="1" customWidth="1"/>
    <col min="15123" max="15123" width="13.85546875" style="157" bestFit="1" customWidth="1"/>
    <col min="15124" max="15124" width="16.7109375" style="157" bestFit="1" customWidth="1"/>
    <col min="15125" max="15126" width="13.85546875" style="157" bestFit="1" customWidth="1"/>
    <col min="15127" max="15128" width="16.7109375" style="157" bestFit="1" customWidth="1"/>
    <col min="15129" max="15360" width="11.42578125" style="157"/>
    <col min="15361" max="15361" width="27" style="157" customWidth="1"/>
    <col min="15362" max="15362" width="15.7109375" style="157" customWidth="1"/>
    <col min="15363" max="15363" width="14.28515625" style="157" customWidth="1"/>
    <col min="15364" max="15364" width="13.28515625" style="157" customWidth="1"/>
    <col min="15365" max="15365" width="16.5703125" style="157" customWidth="1"/>
    <col min="15366" max="15367" width="13.28515625" style="157" customWidth="1"/>
    <col min="15368" max="15368" width="15.42578125" style="157" customWidth="1"/>
    <col min="15369" max="15371" width="13.5703125" style="157" customWidth="1"/>
    <col min="15372" max="15373" width="11.42578125" style="157"/>
    <col min="15374" max="15374" width="16.7109375" style="157" bestFit="1" customWidth="1"/>
    <col min="15375" max="15375" width="17.28515625" style="157" bestFit="1" customWidth="1"/>
    <col min="15376" max="15377" width="13.85546875" style="157" bestFit="1" customWidth="1"/>
    <col min="15378" max="15378" width="14.85546875" style="157" bestFit="1" customWidth="1"/>
    <col min="15379" max="15379" width="13.85546875" style="157" bestFit="1" customWidth="1"/>
    <col min="15380" max="15380" width="16.7109375" style="157" bestFit="1" customWidth="1"/>
    <col min="15381" max="15382" width="13.85546875" style="157" bestFit="1" customWidth="1"/>
    <col min="15383" max="15384" width="16.7109375" style="157" bestFit="1" customWidth="1"/>
    <col min="15385" max="15616" width="11.42578125" style="157"/>
    <col min="15617" max="15617" width="27" style="157" customWidth="1"/>
    <col min="15618" max="15618" width="15.7109375" style="157" customWidth="1"/>
    <col min="15619" max="15619" width="14.28515625" style="157" customWidth="1"/>
    <col min="15620" max="15620" width="13.28515625" style="157" customWidth="1"/>
    <col min="15621" max="15621" width="16.5703125" style="157" customWidth="1"/>
    <col min="15622" max="15623" width="13.28515625" style="157" customWidth="1"/>
    <col min="15624" max="15624" width="15.42578125" style="157" customWidth="1"/>
    <col min="15625" max="15627" width="13.5703125" style="157" customWidth="1"/>
    <col min="15628" max="15629" width="11.42578125" style="157"/>
    <col min="15630" max="15630" width="16.7109375" style="157" bestFit="1" customWidth="1"/>
    <col min="15631" max="15631" width="17.28515625" style="157" bestFit="1" customWidth="1"/>
    <col min="15632" max="15633" width="13.85546875" style="157" bestFit="1" customWidth="1"/>
    <col min="15634" max="15634" width="14.85546875" style="157" bestFit="1" customWidth="1"/>
    <col min="15635" max="15635" width="13.85546875" style="157" bestFit="1" customWidth="1"/>
    <col min="15636" max="15636" width="16.7109375" style="157" bestFit="1" customWidth="1"/>
    <col min="15637" max="15638" width="13.85546875" style="157" bestFit="1" customWidth="1"/>
    <col min="15639" max="15640" width="16.7109375" style="157" bestFit="1" customWidth="1"/>
    <col min="15641" max="15872" width="11.42578125" style="157"/>
    <col min="15873" max="15873" width="27" style="157" customWidth="1"/>
    <col min="15874" max="15874" width="15.7109375" style="157" customWidth="1"/>
    <col min="15875" max="15875" width="14.28515625" style="157" customWidth="1"/>
    <col min="15876" max="15876" width="13.28515625" style="157" customWidth="1"/>
    <col min="15877" max="15877" width="16.5703125" style="157" customWidth="1"/>
    <col min="15878" max="15879" width="13.28515625" style="157" customWidth="1"/>
    <col min="15880" max="15880" width="15.42578125" style="157" customWidth="1"/>
    <col min="15881" max="15883" width="13.5703125" style="157" customWidth="1"/>
    <col min="15884" max="15885" width="11.42578125" style="157"/>
    <col min="15886" max="15886" width="16.7109375" style="157" bestFit="1" customWidth="1"/>
    <col min="15887" max="15887" width="17.28515625" style="157" bestFit="1" customWidth="1"/>
    <col min="15888" max="15889" width="13.85546875" style="157" bestFit="1" customWidth="1"/>
    <col min="15890" max="15890" width="14.85546875" style="157" bestFit="1" customWidth="1"/>
    <col min="15891" max="15891" width="13.85546875" style="157" bestFit="1" customWidth="1"/>
    <col min="15892" max="15892" width="16.7109375" style="157" bestFit="1" customWidth="1"/>
    <col min="15893" max="15894" width="13.85546875" style="157" bestFit="1" customWidth="1"/>
    <col min="15895" max="15896" width="16.7109375" style="157" bestFit="1" customWidth="1"/>
    <col min="15897" max="16128" width="11.42578125" style="157"/>
    <col min="16129" max="16129" width="27" style="157" customWidth="1"/>
    <col min="16130" max="16130" width="15.7109375" style="157" customWidth="1"/>
    <col min="16131" max="16131" width="14.28515625" style="157" customWidth="1"/>
    <col min="16132" max="16132" width="13.28515625" style="157" customWidth="1"/>
    <col min="16133" max="16133" width="16.5703125" style="157" customWidth="1"/>
    <col min="16134" max="16135" width="13.28515625" style="157" customWidth="1"/>
    <col min="16136" max="16136" width="15.42578125" style="157" customWidth="1"/>
    <col min="16137" max="16139" width="13.5703125" style="157" customWidth="1"/>
    <col min="16140" max="16141" width="11.42578125" style="157"/>
    <col min="16142" max="16142" width="16.7109375" style="157" bestFit="1" customWidth="1"/>
    <col min="16143" max="16143" width="17.28515625" style="157" bestFit="1" customWidth="1"/>
    <col min="16144" max="16145" width="13.85546875" style="157" bestFit="1" customWidth="1"/>
    <col min="16146" max="16146" width="14.85546875" style="157" bestFit="1" customWidth="1"/>
    <col min="16147" max="16147" width="13.85546875" style="157" bestFit="1" customWidth="1"/>
    <col min="16148" max="16148" width="16.7109375" style="157" bestFit="1" customWidth="1"/>
    <col min="16149" max="16150" width="13.85546875" style="157" bestFit="1" customWidth="1"/>
    <col min="16151" max="16152" width="16.7109375" style="157" bestFit="1" customWidth="1"/>
    <col min="16153" max="16384" width="11.42578125" style="157"/>
  </cols>
  <sheetData>
    <row r="2" spans="1:28" ht="15.75" x14ac:dyDescent="0.25">
      <c r="A2" s="350" t="s">
        <v>284</v>
      </c>
      <c r="F2" s="350" t="s">
        <v>285</v>
      </c>
    </row>
    <row r="3" spans="1:28" x14ac:dyDescent="0.2">
      <c r="A3" s="349"/>
    </row>
    <row r="4" spans="1:28" ht="13.5" thickBot="1" x14ac:dyDescent="0.25"/>
    <row r="5" spans="1:28" ht="15" x14ac:dyDescent="0.25">
      <c r="A5" s="1046" t="s">
        <v>132</v>
      </c>
      <c r="B5" s="1046" t="s">
        <v>199</v>
      </c>
      <c r="C5" s="1406" t="s">
        <v>266</v>
      </c>
      <c r="D5" s="1375"/>
      <c r="E5" s="1375"/>
      <c r="F5" s="1375"/>
      <c r="G5" s="1375"/>
      <c r="H5" s="1407" t="s">
        <v>267</v>
      </c>
      <c r="I5" s="1377"/>
      <c r="J5" s="1377"/>
      <c r="K5" s="1377"/>
      <c r="L5" s="1378"/>
      <c r="M5" s="1130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ht="15.75" thickBot="1" x14ac:dyDescent="0.3">
      <c r="A6" s="829"/>
      <c r="B6" s="829"/>
      <c r="C6" s="864" t="s">
        <v>203</v>
      </c>
      <c r="D6" s="959" t="s">
        <v>268</v>
      </c>
      <c r="E6" s="863" t="s">
        <v>269</v>
      </c>
      <c r="F6" s="485" t="s">
        <v>270</v>
      </c>
      <c r="G6" s="863" t="s">
        <v>271</v>
      </c>
      <c r="H6" s="864" t="s">
        <v>203</v>
      </c>
      <c r="I6" s="485" t="s">
        <v>268</v>
      </c>
      <c r="J6" s="863" t="s">
        <v>269</v>
      </c>
      <c r="K6" s="485" t="s">
        <v>270</v>
      </c>
      <c r="L6" s="865" t="s">
        <v>271</v>
      </c>
      <c r="M6" s="1131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ht="15" x14ac:dyDescent="0.25">
      <c r="A7" s="1047"/>
      <c r="B7" s="1047"/>
      <c r="C7" s="359"/>
      <c r="D7" s="866"/>
      <c r="E7" s="525"/>
      <c r="F7" s="362"/>
      <c r="G7" s="525"/>
      <c r="H7" s="359"/>
      <c r="I7" s="362"/>
      <c r="J7" s="525"/>
      <c r="K7" s="362"/>
      <c r="L7" s="365"/>
      <c r="M7" s="363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ht="15" x14ac:dyDescent="0.25">
      <c r="A8" s="1685">
        <v>1995</v>
      </c>
      <c r="B8" s="1797">
        <v>8.9555606852646115</v>
      </c>
      <c r="C8" s="1807">
        <v>5.5357375593344766</v>
      </c>
      <c r="D8" s="1808">
        <v>4.6270702727597204</v>
      </c>
      <c r="E8" s="1799">
        <v>4.6877714284343579</v>
      </c>
      <c r="F8" s="1798">
        <v>6.5596993951399254</v>
      </c>
      <c r="G8" s="1799">
        <v>9.3250325130979963</v>
      </c>
      <c r="H8" s="1807">
        <v>10.148610371781364</v>
      </c>
      <c r="I8" s="1798"/>
      <c r="J8" s="1799">
        <v>6.4773300247466405</v>
      </c>
      <c r="K8" s="1798">
        <v>6.7746386212841516</v>
      </c>
      <c r="L8" s="1618">
        <v>11.094748694693795</v>
      </c>
      <c r="M8" s="104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ht="15" x14ac:dyDescent="0.25">
      <c r="A9" s="796">
        <v>1996</v>
      </c>
      <c r="B9" s="1053">
        <v>9.3774573213785253</v>
      </c>
      <c r="C9" s="1054">
        <v>5.9592969871676909</v>
      </c>
      <c r="D9" s="1055">
        <v>5.095261460912047</v>
      </c>
      <c r="E9" s="1056">
        <v>5.0194349224747992</v>
      </c>
      <c r="F9" s="1057">
        <v>6.7195852321640217</v>
      </c>
      <c r="G9" s="1056">
        <v>13.310775213425378</v>
      </c>
      <c r="H9" s="1054">
        <v>10.37984664865154</v>
      </c>
      <c r="I9" s="1057"/>
      <c r="J9" s="1056">
        <v>6.9259754261091668</v>
      </c>
      <c r="K9" s="1057">
        <v>6.7874096474252621</v>
      </c>
      <c r="L9" s="496">
        <v>11.459985818391555</v>
      </c>
      <c r="M9" s="1056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ht="15" x14ac:dyDescent="0.25">
      <c r="A10" s="1685">
        <v>1997</v>
      </c>
      <c r="B10" s="1797">
        <v>9.1635885122824927</v>
      </c>
      <c r="C10" s="1807">
        <v>5.7265372648894912</v>
      </c>
      <c r="D10" s="1808">
        <v>5.2175633817487093</v>
      </c>
      <c r="E10" s="1799">
        <v>4.7813969253242181</v>
      </c>
      <c r="F10" s="1798">
        <v>6.3251463184671568</v>
      </c>
      <c r="G10" s="1799">
        <v>13.982240433035207</v>
      </c>
      <c r="H10" s="1807">
        <v>10.146978053246057</v>
      </c>
      <c r="I10" s="1798"/>
      <c r="J10" s="1799">
        <v>7.412700329241102</v>
      </c>
      <c r="K10" s="1798">
        <v>6.6417980053400871</v>
      </c>
      <c r="L10" s="1618">
        <v>11.268006688408454</v>
      </c>
      <c r="M10" s="1048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ht="15" x14ac:dyDescent="0.25">
      <c r="A11" s="796">
        <v>1998</v>
      </c>
      <c r="B11" s="1053">
        <v>7.9571609356886182</v>
      </c>
      <c r="C11" s="1054">
        <v>5.0486463977806757</v>
      </c>
      <c r="D11" s="1055">
        <v>4.9524731201161547</v>
      </c>
      <c r="E11" s="1056">
        <v>4.1929526543280833</v>
      </c>
      <c r="F11" s="1057">
        <v>5.5789689038354311</v>
      </c>
      <c r="G11" s="1056" t="s">
        <v>291</v>
      </c>
      <c r="H11" s="1054">
        <v>8.753240333635766</v>
      </c>
      <c r="I11" s="1057"/>
      <c r="J11" s="1056">
        <v>6.8628657496411289</v>
      </c>
      <c r="K11" s="1057">
        <v>5.5906465188219538</v>
      </c>
      <c r="L11" s="496">
        <v>9.7916481732785652</v>
      </c>
      <c r="M11" s="1132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ht="15" x14ac:dyDescent="0.25">
      <c r="A12" s="1685">
        <v>1999</v>
      </c>
      <c r="B12" s="1797">
        <v>7.6320210282889089</v>
      </c>
      <c r="C12" s="1807">
        <v>5.0718506766791807</v>
      </c>
      <c r="D12" s="1808">
        <v>5.0590992191879645</v>
      </c>
      <c r="E12" s="1799">
        <v>4.3543666718012304</v>
      </c>
      <c r="F12" s="1798">
        <v>5.4318415703065845</v>
      </c>
      <c r="G12" s="1799" t="s">
        <v>291</v>
      </c>
      <c r="H12" s="1807">
        <v>8.3066426364644457</v>
      </c>
      <c r="I12" s="1798"/>
      <c r="J12" s="1799">
        <v>5.3037303828031606</v>
      </c>
      <c r="K12" s="1798">
        <v>5.4068779049876712</v>
      </c>
      <c r="L12" s="1618">
        <v>9.3240414734891086</v>
      </c>
      <c r="M12" s="113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ht="15" x14ac:dyDescent="0.25">
      <c r="A13" s="796">
        <v>2000</v>
      </c>
      <c r="B13" s="1053">
        <v>8.0465527241033001</v>
      </c>
      <c r="C13" s="1054">
        <v>5.3360143471179855</v>
      </c>
      <c r="D13" s="1055">
        <v>5.0809189038026314</v>
      </c>
      <c r="E13" s="1056">
        <v>4.6076730767687009</v>
      </c>
      <c r="F13" s="1057">
        <v>5.7852773013195318</v>
      </c>
      <c r="G13" s="1056" t="s">
        <v>291</v>
      </c>
      <c r="H13" s="1054">
        <v>8.8063395358146757</v>
      </c>
      <c r="I13" s="1057"/>
      <c r="J13" s="1056">
        <v>6.033937817613789</v>
      </c>
      <c r="K13" s="1057">
        <v>5.8694184617268084</v>
      </c>
      <c r="L13" s="496">
        <v>9.8963974649544753</v>
      </c>
      <c r="M13" s="1132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ht="15" x14ac:dyDescent="0.25">
      <c r="A14" s="1685">
        <v>2001</v>
      </c>
      <c r="B14" s="1797">
        <v>8.1980760639170676</v>
      </c>
      <c r="C14" s="1807">
        <v>5.4318103535360782</v>
      </c>
      <c r="D14" s="1808">
        <v>4.8819603688181683</v>
      </c>
      <c r="E14" s="1799">
        <v>4.9005055003750675</v>
      </c>
      <c r="F14" s="1798">
        <v>5.6572247018155544</v>
      </c>
      <c r="G14" s="1799" t="s">
        <v>291</v>
      </c>
      <c r="H14" s="1807">
        <v>8.7949736111824013</v>
      </c>
      <c r="I14" s="1798"/>
      <c r="J14" s="1799">
        <v>5.9996823838733793</v>
      </c>
      <c r="K14" s="1798">
        <v>5.8961416929069461</v>
      </c>
      <c r="L14" s="1618">
        <v>9.9219836120944844</v>
      </c>
      <c r="M14" s="1133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ht="15" x14ac:dyDescent="0.25">
      <c r="A15" s="796">
        <v>2002</v>
      </c>
      <c r="B15" s="1053">
        <v>7.758352080828165</v>
      </c>
      <c r="C15" s="1054">
        <v>5.1639888849993891</v>
      </c>
      <c r="D15" s="1055">
        <v>4.2290059446768895</v>
      </c>
      <c r="E15" s="1056">
        <v>4.7357601008286281</v>
      </c>
      <c r="F15" s="1057">
        <v>5.3459999936310467</v>
      </c>
      <c r="G15" s="1056" t="s">
        <v>291</v>
      </c>
      <c r="H15" s="1054">
        <v>8.2905260118522683</v>
      </c>
      <c r="I15" s="1057"/>
      <c r="J15" s="1056">
        <v>5.4674893074393127</v>
      </c>
      <c r="K15" s="1057">
        <v>5.7515160950715671</v>
      </c>
      <c r="L15" s="496">
        <v>9.3128517321434963</v>
      </c>
      <c r="M15" s="1132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</row>
    <row r="16" spans="1:28" ht="15" x14ac:dyDescent="0.25">
      <c r="A16" s="1685">
        <v>2003</v>
      </c>
      <c r="B16" s="1797">
        <v>7.971753161907678</v>
      </c>
      <c r="C16" s="1807">
        <v>5.315913767730283</v>
      </c>
      <c r="D16" s="1808">
        <v>4.1989777636908903</v>
      </c>
      <c r="E16" s="1799">
        <v>5.0030671824938366</v>
      </c>
      <c r="F16" s="1798">
        <v>5.4750291246797103</v>
      </c>
      <c r="G16" s="1799" t="s">
        <v>291</v>
      </c>
      <c r="H16" s="1807">
        <v>8.4395468219330851</v>
      </c>
      <c r="I16" s="1798"/>
      <c r="J16" s="1799">
        <v>5.0957279225241683</v>
      </c>
      <c r="K16" s="1798">
        <v>5.8241679519088159</v>
      </c>
      <c r="L16" s="1618">
        <v>9.525732890023999</v>
      </c>
      <c r="M16" s="113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1:28" ht="15" x14ac:dyDescent="0.25">
      <c r="A17" s="796">
        <v>2004</v>
      </c>
      <c r="B17" s="1053">
        <v>8.2230231770089492</v>
      </c>
      <c r="C17" s="1054">
        <v>5.3901465775055355</v>
      </c>
      <c r="D17" s="1055">
        <v>4.1652279666141352</v>
      </c>
      <c r="E17" s="1056">
        <v>6.0018244608912559</v>
      </c>
      <c r="F17" s="1057">
        <v>5.3644349221058194</v>
      </c>
      <c r="G17" s="1056"/>
      <c r="H17" s="1054">
        <v>8.6742016054190874</v>
      </c>
      <c r="I17" s="1057"/>
      <c r="J17" s="1056">
        <v>5.7120744787014504</v>
      </c>
      <c r="K17" s="1057">
        <v>5.8967167015756683</v>
      </c>
      <c r="L17" s="496">
        <v>9.8832764369467885</v>
      </c>
      <c r="M17" s="1132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1:28" ht="15" x14ac:dyDescent="0.25">
      <c r="A18" s="1685">
        <v>2005</v>
      </c>
      <c r="B18" s="1797">
        <v>8.8884914595819442</v>
      </c>
      <c r="C18" s="1807">
        <v>5.650701414642656</v>
      </c>
      <c r="D18" s="1808">
        <v>4.6585918045595722</v>
      </c>
      <c r="E18" s="1799">
        <v>4.6982688810015736</v>
      </c>
      <c r="F18" s="1798">
        <v>5.9637897758838321</v>
      </c>
      <c r="G18" s="1799"/>
      <c r="H18" s="1807">
        <v>9.4007778088619069</v>
      </c>
      <c r="I18" s="1798"/>
      <c r="J18" s="1799">
        <v>6.062346568093032</v>
      </c>
      <c r="K18" s="1798">
        <v>6.5100052189588187</v>
      </c>
      <c r="L18" s="1618">
        <v>10.739111938044747</v>
      </c>
      <c r="M18" s="113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1:28" ht="15" x14ac:dyDescent="0.25">
      <c r="A19" s="796">
        <v>2006</v>
      </c>
      <c r="B19" s="1053">
        <v>8.7025840778489254</v>
      </c>
      <c r="C19" s="1054">
        <v>5.4374484419028404</v>
      </c>
      <c r="D19" s="1055">
        <v>4.4249273970682328</v>
      </c>
      <c r="E19" s="1056">
        <v>4.5290999128325256</v>
      </c>
      <c r="F19" s="1057">
        <v>5.7393375225053349</v>
      </c>
      <c r="G19" s="1056"/>
      <c r="H19" s="1054">
        <v>9.2054198190234704</v>
      </c>
      <c r="I19" s="1057"/>
      <c r="J19" s="1056">
        <v>5.5104723068941386</v>
      </c>
      <c r="K19" s="1057">
        <v>6.2069166861205796</v>
      </c>
      <c r="L19" s="496">
        <v>10.669497150170191</v>
      </c>
      <c r="M19" s="1132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1:28" ht="15" x14ac:dyDescent="0.25">
      <c r="A20" s="1685">
        <v>2007</v>
      </c>
      <c r="B20" s="1797">
        <v>8.6843545064319656</v>
      </c>
      <c r="C20" s="1807">
        <v>5.4423840053332935</v>
      </c>
      <c r="D20" s="1808">
        <v>4.6367212202188632</v>
      </c>
      <c r="E20" s="1799">
        <v>4.6706146616700561</v>
      </c>
      <c r="F20" s="1798">
        <v>5.6036776640581412</v>
      </c>
      <c r="G20" s="1799"/>
      <c r="H20" s="1807">
        <v>9.0939060573690185</v>
      </c>
      <c r="I20" s="1798"/>
      <c r="J20" s="1799">
        <v>5.4918743085155146</v>
      </c>
      <c r="K20" s="1798">
        <v>6.079597772841665</v>
      </c>
      <c r="L20" s="1618">
        <v>10.655182675290998</v>
      </c>
      <c r="M20" s="1071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28" ht="15" x14ac:dyDescent="0.25">
      <c r="A21" s="796">
        <v>2008</v>
      </c>
      <c r="B21" s="1053">
        <v>9.2102011270063144</v>
      </c>
      <c r="C21" s="1054">
        <v>6.2283301309714529</v>
      </c>
      <c r="D21" s="1055">
        <v>4.9803456387265737</v>
      </c>
      <c r="E21" s="1056">
        <v>5.7455732885874031</v>
      </c>
      <c r="F21" s="1057">
        <v>6.3768572769180007</v>
      </c>
      <c r="G21" s="1056"/>
      <c r="H21" s="1054">
        <v>9.5638093579048657</v>
      </c>
      <c r="I21" s="1057"/>
      <c r="J21" s="1056">
        <v>5.6938589870447229</v>
      </c>
      <c r="K21" s="1057">
        <v>6.394753500270336</v>
      </c>
      <c r="L21" s="496">
        <v>11.251552199286078</v>
      </c>
      <c r="M21" s="1048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1:28" ht="15" x14ac:dyDescent="0.25">
      <c r="A22" s="1685">
        <v>2009</v>
      </c>
      <c r="B22" s="1797">
        <v>9.8347670342884221</v>
      </c>
      <c r="C22" s="1807">
        <v>6.5731995125609881</v>
      </c>
      <c r="D22" s="1808">
        <v>5.0981973475810447</v>
      </c>
      <c r="E22" s="1799">
        <v>6.3349850033512976</v>
      </c>
      <c r="F22" s="1798">
        <v>6.7265022425655543</v>
      </c>
      <c r="G22" s="1799"/>
      <c r="H22" s="1807">
        <v>10.220209425572106</v>
      </c>
      <c r="I22" s="1798"/>
      <c r="J22" s="1799">
        <v>6.6097183550225607</v>
      </c>
      <c r="K22" s="1798">
        <v>7.0717211352930818</v>
      </c>
      <c r="L22" s="1618">
        <v>11.908620129242951</v>
      </c>
      <c r="M22" s="1048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1:28" ht="15" x14ac:dyDescent="0.25">
      <c r="A23" s="979">
        <v>2010</v>
      </c>
      <c r="B23" s="1068">
        <v>10.118555763056673</v>
      </c>
      <c r="C23" s="1069">
        <v>6.9434163707427059</v>
      </c>
      <c r="D23" s="1070">
        <v>5.077408052058348</v>
      </c>
      <c r="E23" s="1071">
        <v>6.3641368686134872</v>
      </c>
      <c r="F23" s="1072">
        <v>7.0449746553368442</v>
      </c>
      <c r="G23" s="1071"/>
      <c r="H23" s="1069">
        <v>10.459527312900395</v>
      </c>
      <c r="I23" s="1072"/>
      <c r="J23" s="1071">
        <v>6.5035627739387092</v>
      </c>
      <c r="K23" s="1072">
        <v>7.2837152925544872</v>
      </c>
      <c r="L23" s="500">
        <v>12.241201148622203</v>
      </c>
      <c r="M23" s="1048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1:28" ht="15" x14ac:dyDescent="0.25">
      <c r="A24" s="1685">
        <v>2011</v>
      </c>
      <c r="B24" s="1797">
        <v>10.785558411402899</v>
      </c>
      <c r="C24" s="1807">
        <v>7.8471430858597868</v>
      </c>
      <c r="D24" s="1808">
        <v>6.7276542454532988</v>
      </c>
      <c r="E24" s="1799">
        <v>7.0533294258103352</v>
      </c>
      <c r="F24" s="1798">
        <v>8.008408365300582</v>
      </c>
      <c r="G24" s="1799"/>
      <c r="H24" s="1807">
        <v>11.091278800848533</v>
      </c>
      <c r="I24" s="1798">
        <v>6.71384692452905</v>
      </c>
      <c r="J24" s="1799">
        <v>6.7341358113625844</v>
      </c>
      <c r="K24" s="1798">
        <v>7.8176959015528542</v>
      </c>
      <c r="L24" s="1618">
        <v>13.035214192831745</v>
      </c>
      <c r="M24" s="1056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28" ht="15" x14ac:dyDescent="0.25">
      <c r="A25" s="979">
        <v>2012</v>
      </c>
      <c r="B25" s="1068">
        <v>11.813141103914758</v>
      </c>
      <c r="C25" s="1069">
        <v>8.1031305793669972</v>
      </c>
      <c r="D25" s="1070">
        <v>7.8620771110833036</v>
      </c>
      <c r="E25" s="1071">
        <v>7.4599059013202789</v>
      </c>
      <c r="F25" s="1072">
        <v>8.2676632349841039</v>
      </c>
      <c r="G25" s="1071"/>
      <c r="H25" s="1069">
        <v>12.201537385477197</v>
      </c>
      <c r="I25" s="1072">
        <v>7.5899025605832673</v>
      </c>
      <c r="J25" s="1071">
        <v>7.6868708919870352</v>
      </c>
      <c r="K25" s="1072">
        <v>8.7191769045321177</v>
      </c>
      <c r="L25" s="500">
        <v>14.308465946084775</v>
      </c>
      <c r="M25" s="1134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28" ht="15" x14ac:dyDescent="0.25">
      <c r="A26" s="1685">
        <v>2013</v>
      </c>
      <c r="B26" s="1797">
        <v>11.933029674417638</v>
      </c>
      <c r="C26" s="1807">
        <v>9.0206498419619479</v>
      </c>
      <c r="D26" s="1808">
        <v>8.9552120707181491</v>
      </c>
      <c r="E26" s="1799">
        <v>8.3610820115130515</v>
      </c>
      <c r="F26" s="1798">
        <v>9.1903877577553654</v>
      </c>
      <c r="G26" s="1799"/>
      <c r="H26" s="1807">
        <v>12.233886288512146</v>
      </c>
      <c r="I26" s="1798">
        <v>7.8660990693172526</v>
      </c>
      <c r="J26" s="1799">
        <v>7.9887123346607378</v>
      </c>
      <c r="K26" s="1798">
        <v>8.8221724698913473</v>
      </c>
      <c r="L26" s="1618">
        <v>14.297434483120641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28" ht="15" x14ac:dyDescent="0.25">
      <c r="A27" s="979">
        <v>2014</v>
      </c>
      <c r="B27" s="1068">
        <v>13.055122860006383</v>
      </c>
      <c r="C27" s="1068">
        <v>9.1953187125424485</v>
      </c>
      <c r="D27" s="1135">
        <v>8.7599072322388523</v>
      </c>
      <c r="E27" s="1136">
        <v>8.8508014952635836</v>
      </c>
      <c r="F27" s="1137">
        <v>9.3067242906552767</v>
      </c>
      <c r="G27" s="1138"/>
      <c r="H27" s="1068">
        <v>13.430247970776314</v>
      </c>
      <c r="I27" s="1135">
        <v>7.9369762482185662</v>
      </c>
      <c r="J27" s="1136">
        <v>8.5036534526531042</v>
      </c>
      <c r="K27" s="1136">
        <v>9.6528525716516054</v>
      </c>
      <c r="L27" s="1137">
        <v>15.782830724360362</v>
      </c>
      <c r="M27" s="1134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28" ht="12.75" customHeight="1" x14ac:dyDescent="0.2">
      <c r="A28" s="1685" t="s">
        <v>136</v>
      </c>
      <c r="B28" s="1797">
        <v>13.306050232825701</v>
      </c>
      <c r="C28" s="1807">
        <v>9.4866635763911997</v>
      </c>
      <c r="D28" s="1808">
        <v>8.9101032686475303</v>
      </c>
      <c r="E28" s="1799">
        <v>9.1525005833928503</v>
      </c>
      <c r="F28" s="1798">
        <v>9.6011968771332104</v>
      </c>
      <c r="G28" s="1799"/>
      <c r="H28" s="1807">
        <v>13.6635187699158</v>
      </c>
      <c r="I28" s="1798">
        <v>7.9400990693172497</v>
      </c>
      <c r="J28" s="1799">
        <v>8.8920639587361503</v>
      </c>
      <c r="K28" s="1798">
        <v>10.4954340383733</v>
      </c>
      <c r="L28" s="1618">
        <v>15.6039988123283</v>
      </c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8" ht="18.75" customHeight="1" thickBot="1" x14ac:dyDescent="0.25">
      <c r="A29" s="1139"/>
      <c r="B29" s="1140"/>
      <c r="C29" s="1141"/>
      <c r="D29" s="1142"/>
      <c r="E29" s="1143"/>
      <c r="F29" s="1144"/>
      <c r="G29" s="1143"/>
      <c r="H29" s="1141"/>
      <c r="I29" s="1144"/>
      <c r="J29" s="1143"/>
      <c r="K29" s="1144"/>
      <c r="L29" s="1145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8" ht="18.75" customHeight="1" x14ac:dyDescent="0.2">
      <c r="A30" s="1695" t="s">
        <v>137</v>
      </c>
      <c r="B30" s="1809">
        <f>(B28/B27)-1</f>
        <v>1.9220606003488516E-2</v>
      </c>
      <c r="C30" s="1803">
        <f t="shared" ref="C30:J30" si="0">(C28/C27)-1</f>
        <v>3.1684041951841824E-2</v>
      </c>
      <c r="D30" s="609">
        <f t="shared" si="0"/>
        <v>1.7145847829976413E-2</v>
      </c>
      <c r="E30" s="1605">
        <f t="shared" si="0"/>
        <v>3.4087205355437966E-2</v>
      </c>
      <c r="F30" s="609">
        <f t="shared" si="0"/>
        <v>3.1640841318745005E-2</v>
      </c>
      <c r="G30" s="1818" t="s">
        <v>109</v>
      </c>
      <c r="H30" s="1803">
        <f>(H28/H27)-1</f>
        <v>1.7369061215182002E-2</v>
      </c>
      <c r="I30" s="609" t="s">
        <v>109</v>
      </c>
      <c r="J30" s="1605">
        <f t="shared" si="0"/>
        <v>4.5675721411467363E-2</v>
      </c>
      <c r="K30" s="609">
        <f>(K28/K27)-1</f>
        <v>8.7288338909907282E-2</v>
      </c>
      <c r="L30" s="1819">
        <f>(L28/L27)-1</f>
        <v>-1.1330788193529839E-2</v>
      </c>
      <c r="M30" s="61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8" ht="18.75" customHeight="1" x14ac:dyDescent="0.2">
      <c r="A31" s="1147" t="s">
        <v>138</v>
      </c>
      <c r="B31" s="1148">
        <f>((B28/B23)^(1/5))-1</f>
        <v>5.6297193364783338E-2</v>
      </c>
      <c r="C31" s="1149">
        <f t="shared" ref="C31:L31" si="1">((C28/C23)^(1/5))-1</f>
        <v>6.4407823752685944E-2</v>
      </c>
      <c r="D31" s="613">
        <f t="shared" si="1"/>
        <v>0.11904650203054845</v>
      </c>
      <c r="E31" s="1150">
        <f t="shared" si="1"/>
        <v>7.5375284547799515E-2</v>
      </c>
      <c r="F31" s="613">
        <f t="shared" si="1"/>
        <v>6.3871532522956409E-2</v>
      </c>
      <c r="G31" s="1146" t="s">
        <v>109</v>
      </c>
      <c r="H31" s="1149">
        <f t="shared" si="1"/>
        <v>5.4897103549041759E-2</v>
      </c>
      <c r="I31" s="613" t="s">
        <v>109</v>
      </c>
      <c r="J31" s="1150">
        <f t="shared" si="1"/>
        <v>6.4560255886818352E-2</v>
      </c>
      <c r="K31" s="613">
        <f t="shared" si="1"/>
        <v>7.5794918019282731E-2</v>
      </c>
      <c r="L31" s="1146">
        <f t="shared" si="1"/>
        <v>4.9741519585520422E-2</v>
      </c>
      <c r="M31" s="1151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8" ht="18.75" customHeight="1" x14ac:dyDescent="0.2">
      <c r="A32" s="1697" t="s">
        <v>144</v>
      </c>
      <c r="B32" s="1810">
        <f>(B28/B18)-1</f>
        <v>0.49699758314798781</v>
      </c>
      <c r="C32" s="1804">
        <f t="shared" ref="C32:K32" si="2">(C28/C18)-1</f>
        <v>0.67884708114437253</v>
      </c>
      <c r="D32" s="1805">
        <f t="shared" si="2"/>
        <v>0.91261729776942757</v>
      </c>
      <c r="E32" s="1806">
        <f t="shared" si="2"/>
        <v>0.94805806462096887</v>
      </c>
      <c r="F32" s="1805">
        <f t="shared" si="2"/>
        <v>0.60991537896895687</v>
      </c>
      <c r="G32" s="1820" t="s">
        <v>109</v>
      </c>
      <c r="H32" s="1804">
        <f t="shared" si="2"/>
        <v>0.45344556032751893</v>
      </c>
      <c r="I32" s="1805" t="s">
        <v>109</v>
      </c>
      <c r="J32" s="1806">
        <f t="shared" si="2"/>
        <v>0.46676932089899181</v>
      </c>
      <c r="K32" s="1805">
        <f t="shared" si="2"/>
        <v>0.61220055673809326</v>
      </c>
      <c r="L32" s="1820">
        <f>(L28/L18)-1</f>
        <v>0.45300644060232176</v>
      </c>
      <c r="M32" s="1152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ht="18.75" customHeight="1" thickBot="1" x14ac:dyDescent="0.25">
      <c r="A33" s="1153" t="s">
        <v>140</v>
      </c>
      <c r="B33" s="1154">
        <f>((B28/B18)^(1/10))-1</f>
        <v>4.1171112264043019E-2</v>
      </c>
      <c r="C33" s="1155">
        <f t="shared" ref="C33:K33" si="3">((C28/C18)^(1/10))-1</f>
        <v>5.3176388595609358E-2</v>
      </c>
      <c r="D33" s="627">
        <f t="shared" si="3"/>
        <v>6.6996040776730714E-2</v>
      </c>
      <c r="E33" s="1156">
        <f t="shared" si="3"/>
        <v>6.895688720649229E-2</v>
      </c>
      <c r="F33" s="627">
        <f t="shared" si="3"/>
        <v>4.8770118361662451E-2</v>
      </c>
      <c r="G33" s="1157" t="s">
        <v>109</v>
      </c>
      <c r="H33" s="1155">
        <f t="shared" si="3"/>
        <v>3.810163957121393E-2</v>
      </c>
      <c r="I33" s="627" t="s">
        <v>109</v>
      </c>
      <c r="J33" s="1156">
        <f t="shared" si="3"/>
        <v>3.9049366157144494E-2</v>
      </c>
      <c r="K33" s="627">
        <f t="shared" si="3"/>
        <v>4.891888995088145E-2</v>
      </c>
      <c r="L33" s="1157">
        <f>((L28/L18)^(1/10))-1</f>
        <v>3.8070271840187297E-2</v>
      </c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x14ac:dyDescent="0.2">
      <c r="A34" s="1004" t="s">
        <v>290</v>
      </c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x14ac:dyDescent="0.2">
      <c r="A35" s="349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x14ac:dyDescent="0.2">
      <c r="M36" s="33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</row>
    <row r="37" spans="1:25" ht="15.75" x14ac:dyDescent="0.25">
      <c r="A37" s="350" t="s">
        <v>287</v>
      </c>
      <c r="F37" s="350" t="s">
        <v>285</v>
      </c>
      <c r="M37" s="33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</row>
    <row r="38" spans="1:25" x14ac:dyDescent="0.2">
      <c r="A38" s="349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</row>
    <row r="39" spans="1:25" ht="13.5" thickBot="1" x14ac:dyDescent="0.25">
      <c r="H39" s="202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</row>
    <row r="40" spans="1:25" x14ac:dyDescent="0.2">
      <c r="A40" s="1046" t="s">
        <v>132</v>
      </c>
      <c r="B40" s="482" t="s">
        <v>199</v>
      </c>
      <c r="C40" s="1406" t="s">
        <v>266</v>
      </c>
      <c r="D40" s="1375"/>
      <c r="E40" s="1375"/>
      <c r="F40" s="1379"/>
      <c r="H40" s="202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</row>
    <row r="41" spans="1:25" ht="13.5" thickBot="1" x14ac:dyDescent="0.25">
      <c r="A41" s="829"/>
      <c r="B41" s="484"/>
      <c r="C41" s="864" t="s">
        <v>268</v>
      </c>
      <c r="D41" s="863" t="s">
        <v>269</v>
      </c>
      <c r="E41" s="485" t="s">
        <v>270</v>
      </c>
      <c r="F41" s="865" t="s">
        <v>271</v>
      </c>
      <c r="H41" s="202"/>
      <c r="I41" s="421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</row>
    <row r="42" spans="1:25" x14ac:dyDescent="0.2">
      <c r="A42" s="358"/>
      <c r="B42" s="489"/>
      <c r="C42" s="648"/>
      <c r="D42" s="363"/>
      <c r="E42" s="360"/>
      <c r="F42" s="649"/>
      <c r="H42" s="202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</row>
    <row r="43" spans="1:25" x14ac:dyDescent="0.2">
      <c r="A43" s="1222">
        <v>1995</v>
      </c>
      <c r="B43" s="1811">
        <v>4.2445573090579085</v>
      </c>
      <c r="C43" s="1812">
        <v>2.6254026539122854</v>
      </c>
      <c r="D43" s="1799">
        <v>4.1124728445652465</v>
      </c>
      <c r="E43" s="1798">
        <v>5.2352863032107129</v>
      </c>
      <c r="F43" s="1618">
        <v>12.259609384109694</v>
      </c>
      <c r="H43" s="202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</row>
    <row r="44" spans="1:25" x14ac:dyDescent="0.2">
      <c r="A44" s="796">
        <v>1996</v>
      </c>
      <c r="B44" s="1091">
        <v>4.5448535324028105</v>
      </c>
      <c r="C44" s="1092">
        <v>3.7768727572804659</v>
      </c>
      <c r="D44" s="1056">
        <v>4.5741091225801114</v>
      </c>
      <c r="E44" s="1057">
        <v>5.6686250845948596</v>
      </c>
      <c r="F44" s="496">
        <v>13.881026594056561</v>
      </c>
      <c r="H44" s="202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</row>
    <row r="45" spans="1:25" x14ac:dyDescent="0.2">
      <c r="A45" s="1685">
        <v>1997</v>
      </c>
      <c r="B45" s="1811">
        <v>5.2121175208150961</v>
      </c>
      <c r="C45" s="1812">
        <v>5.9352964720055166</v>
      </c>
      <c r="D45" s="1799">
        <v>3.2955094233420139</v>
      </c>
      <c r="E45" s="1798">
        <v>5.5194898315321606</v>
      </c>
      <c r="F45" s="1618">
        <v>14.760000153121288</v>
      </c>
      <c r="H45" s="202"/>
      <c r="I45" s="421"/>
      <c r="M45" s="1158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</row>
    <row r="46" spans="1:25" x14ac:dyDescent="0.2">
      <c r="A46" s="796">
        <v>1998</v>
      </c>
      <c r="B46" s="1091">
        <v>4.8931747664703975</v>
      </c>
      <c r="C46" s="1092">
        <v>5.197759403402463</v>
      </c>
      <c r="D46" s="1056">
        <v>4.360861696640618</v>
      </c>
      <c r="E46" s="1057">
        <v>4.8545284988403408</v>
      </c>
      <c r="F46" s="496">
        <v>16.277139183782836</v>
      </c>
      <c r="H46" s="202"/>
      <c r="M46" s="1158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</row>
    <row r="47" spans="1:25" x14ac:dyDescent="0.2">
      <c r="A47" s="1685">
        <v>1999</v>
      </c>
      <c r="B47" s="1811">
        <v>4.8616026075361827</v>
      </c>
      <c r="C47" s="1812">
        <v>5.3303750546254793</v>
      </c>
      <c r="D47" s="1799">
        <v>4.4815124516309828</v>
      </c>
      <c r="E47" s="1798">
        <v>4.2671826506889809</v>
      </c>
      <c r="F47" s="1618" t="s">
        <v>291</v>
      </c>
      <c r="H47" s="202"/>
      <c r="M47" s="1158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</row>
    <row r="48" spans="1:25" x14ac:dyDescent="0.2">
      <c r="A48" s="796">
        <v>2000</v>
      </c>
      <c r="B48" s="1091">
        <v>5.1647954842633439</v>
      </c>
      <c r="C48" s="1092">
        <v>5.6804671173079235</v>
      </c>
      <c r="D48" s="1056">
        <v>4.7370595289108275</v>
      </c>
      <c r="E48" s="1057">
        <v>4.6200914161573321</v>
      </c>
      <c r="F48" s="496" t="s">
        <v>291</v>
      </c>
      <c r="H48" s="202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</row>
    <row r="49" spans="1:25" x14ac:dyDescent="0.2">
      <c r="A49" s="1685">
        <v>2001</v>
      </c>
      <c r="B49" s="1811">
        <v>4.5317559390314024</v>
      </c>
      <c r="C49" s="1812">
        <v>4.7881266229983108</v>
      </c>
      <c r="D49" s="1799">
        <v>4.2330881206493487</v>
      </c>
      <c r="E49" s="1798">
        <v>4.2234818564365559</v>
      </c>
      <c r="F49" s="1618" t="s">
        <v>291</v>
      </c>
      <c r="H49" s="202"/>
      <c r="I49" s="202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</row>
    <row r="50" spans="1:25" x14ac:dyDescent="0.2">
      <c r="A50" s="796">
        <v>2002</v>
      </c>
      <c r="B50" s="1091">
        <v>4.5417296862557039</v>
      </c>
      <c r="C50" s="1092">
        <v>4.7789209585185777</v>
      </c>
      <c r="D50" s="1056">
        <v>4.0982508214293567</v>
      </c>
      <c r="E50" s="1057">
        <v>4.1599420718219955</v>
      </c>
      <c r="F50" s="496" t="s">
        <v>291</v>
      </c>
      <c r="H50" s="202"/>
      <c r="I50" s="202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</row>
    <row r="51" spans="1:25" x14ac:dyDescent="0.2">
      <c r="A51" s="1685">
        <v>2003</v>
      </c>
      <c r="B51" s="1811">
        <v>4.4701131993241967</v>
      </c>
      <c r="C51" s="1812">
        <v>4.6662766956309749</v>
      </c>
      <c r="D51" s="1799">
        <v>4.040412748083277</v>
      </c>
      <c r="E51" s="1798">
        <v>4.1973905353654413</v>
      </c>
      <c r="F51" s="1618" t="s">
        <v>291</v>
      </c>
      <c r="H51" s="202"/>
      <c r="I51" s="202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5" x14ac:dyDescent="0.2">
      <c r="A52" s="796">
        <v>2004</v>
      </c>
      <c r="B52" s="1091">
        <v>5.1762271900611463</v>
      </c>
      <c r="C52" s="1092">
        <v>5.7212517337230357</v>
      </c>
      <c r="D52" s="1056">
        <v>3.9424948306489789</v>
      </c>
      <c r="E52" s="1057">
        <v>4.7962856152132289</v>
      </c>
      <c r="F52" s="496"/>
      <c r="H52" s="202"/>
      <c r="I52" s="202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</row>
    <row r="53" spans="1:25" x14ac:dyDescent="0.2">
      <c r="A53" s="1685">
        <v>2005</v>
      </c>
      <c r="B53" s="1811">
        <v>5.5416076080909722</v>
      </c>
      <c r="C53" s="1812">
        <v>5.9483283221890026</v>
      </c>
      <c r="D53" s="1799">
        <v>4.1719696704229188</v>
      </c>
      <c r="E53" s="1798">
        <v>5.6430156113693268</v>
      </c>
      <c r="F53" s="1618"/>
      <c r="H53" s="202"/>
      <c r="I53" s="202"/>
      <c r="M53" s="1158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</row>
    <row r="54" spans="1:25" x14ac:dyDescent="0.2">
      <c r="A54" s="796">
        <v>2006</v>
      </c>
      <c r="B54" s="1091">
        <v>5.581447756240201</v>
      </c>
      <c r="C54" s="1092">
        <v>5.8805100803549655</v>
      </c>
      <c r="D54" s="1056">
        <v>4.5005714095885994</v>
      </c>
      <c r="E54" s="1057">
        <v>5.7438256087318473</v>
      </c>
      <c r="F54" s="496"/>
      <c r="H54" s="202"/>
      <c r="I54" s="202"/>
      <c r="M54" s="1158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</row>
    <row r="55" spans="1:25" x14ac:dyDescent="0.2">
      <c r="A55" s="1685">
        <v>2007</v>
      </c>
      <c r="B55" s="1811">
        <v>5.4200951405339648</v>
      </c>
      <c r="C55" s="1812">
        <v>5.8108938647897581</v>
      </c>
      <c r="D55" s="1799">
        <v>4.3728383314935604</v>
      </c>
      <c r="E55" s="1798">
        <v>5.0741491324005645</v>
      </c>
      <c r="F55" s="1618"/>
      <c r="H55" s="202"/>
      <c r="I55" s="202"/>
      <c r="M55" s="1158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</row>
    <row r="56" spans="1:25" x14ac:dyDescent="0.2">
      <c r="A56" s="796">
        <v>2008</v>
      </c>
      <c r="B56" s="1091">
        <v>6.703677483775019</v>
      </c>
      <c r="C56" s="1092">
        <v>6.9485352671160685</v>
      </c>
      <c r="D56" s="1056">
        <v>5.8577907414449886</v>
      </c>
      <c r="E56" s="1057">
        <v>6.6411157523875675</v>
      </c>
      <c r="F56" s="496"/>
      <c r="H56" s="202"/>
      <c r="I56" s="202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</row>
    <row r="57" spans="1:25" x14ac:dyDescent="0.2">
      <c r="A57" s="1685">
        <v>2009</v>
      </c>
      <c r="B57" s="1811">
        <v>5.6537603270098931</v>
      </c>
      <c r="C57" s="1812">
        <v>5.6173569637886764</v>
      </c>
      <c r="D57" s="1799">
        <v>5.4931140679276993</v>
      </c>
      <c r="E57" s="1798">
        <v>5.9368366818805587</v>
      </c>
      <c r="F57" s="1618"/>
      <c r="H57" s="202"/>
      <c r="I57" s="202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</row>
    <row r="58" spans="1:25" x14ac:dyDescent="0.2">
      <c r="A58" s="796">
        <v>2010</v>
      </c>
      <c r="B58" s="1091">
        <v>5.4037809461686521</v>
      </c>
      <c r="C58" s="1092">
        <v>5.2888251099349493</v>
      </c>
      <c r="D58" s="1056">
        <v>5.8273601811437308</v>
      </c>
      <c r="E58" s="1057">
        <v>5.639009013480945</v>
      </c>
      <c r="F58" s="496"/>
      <c r="H58" s="202"/>
      <c r="I58" s="202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</row>
    <row r="59" spans="1:25" ht="23.25" x14ac:dyDescent="0.35">
      <c r="A59" s="1685">
        <v>2011</v>
      </c>
      <c r="B59" s="1813"/>
      <c r="C59" s="1812">
        <v>5.9853277935379676</v>
      </c>
      <c r="D59" s="1799">
        <v>6.2505467652657982</v>
      </c>
      <c r="E59" s="1798">
        <v>6.1476994937577381</v>
      </c>
      <c r="F59" s="1618"/>
      <c r="H59" s="202"/>
      <c r="I59" s="202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</row>
    <row r="60" spans="1:25" x14ac:dyDescent="0.2">
      <c r="A60" s="796">
        <v>2012</v>
      </c>
      <c r="B60" s="1091">
        <v>6.4923946475231222</v>
      </c>
      <c r="C60" s="1092">
        <v>6.5558860721943599</v>
      </c>
      <c r="D60" s="1056">
        <v>6.3455598627479617</v>
      </c>
      <c r="E60" s="1057">
        <v>6.3528142828844745</v>
      </c>
      <c r="F60" s="496"/>
      <c r="H60" s="202"/>
      <c r="I60" s="202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</row>
    <row r="61" spans="1:25" x14ac:dyDescent="0.2">
      <c r="A61" s="1685">
        <v>2013</v>
      </c>
      <c r="B61" s="1811">
        <v>6.7174837111051282</v>
      </c>
      <c r="C61" s="1812">
        <v>6.8850184474905243</v>
      </c>
      <c r="D61" s="1799">
        <v>6.0765233294310175</v>
      </c>
      <c r="E61" s="1798">
        <v>6.7409806242385031</v>
      </c>
      <c r="F61" s="1618"/>
      <c r="H61" s="202"/>
      <c r="I61" s="202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</row>
    <row r="62" spans="1:25" ht="12.75" customHeight="1" x14ac:dyDescent="0.2">
      <c r="A62" s="796">
        <v>2014</v>
      </c>
      <c r="B62" s="1091">
        <v>7.2263562019802521</v>
      </c>
      <c r="C62" s="1092">
        <f>6.94812358419885+0.1</f>
        <v>7.0481235841988497</v>
      </c>
      <c r="D62" s="1056">
        <v>6.4712731906961114</v>
      </c>
      <c r="E62" s="1057">
        <v>6.9107856998223074</v>
      </c>
      <c r="F62" s="496"/>
      <c r="H62" s="202"/>
      <c r="I62" s="202"/>
      <c r="M62" s="1158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</row>
    <row r="63" spans="1:25" ht="14.25" customHeight="1" x14ac:dyDescent="0.2">
      <c r="A63" s="1685" t="s">
        <v>136</v>
      </c>
      <c r="B63" s="1811">
        <v>6.9968602657648633</v>
      </c>
      <c r="C63" s="1812">
        <v>7.0963427012945797</v>
      </c>
      <c r="D63" s="1799">
        <v>6.3977854609583602</v>
      </c>
      <c r="E63" s="1798">
        <v>7.0258831620304099</v>
      </c>
      <c r="F63" s="1618"/>
      <c r="H63" s="202"/>
      <c r="I63" s="202"/>
      <c r="M63" s="1158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</row>
    <row r="64" spans="1:25" ht="18.75" customHeight="1" thickBot="1" x14ac:dyDescent="0.25">
      <c r="A64" s="1139"/>
      <c r="B64" s="1159"/>
      <c r="C64" s="1160"/>
      <c r="D64" s="1143"/>
      <c r="E64" s="1144"/>
      <c r="F64" s="1145"/>
      <c r="M64" s="1158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</row>
    <row r="65" spans="1:25" ht="18.75" customHeight="1" x14ac:dyDescent="0.2">
      <c r="A65" s="1814" t="s">
        <v>137</v>
      </c>
      <c r="B65" s="1791">
        <f>(B63/B62)-1</f>
        <v>-3.1758182104626886E-2</v>
      </c>
      <c r="C65" s="1792">
        <f>(C63/C62)-1</f>
        <v>6.8414119757820302E-3</v>
      </c>
      <c r="D65" s="1793">
        <f>(D63/D62)-1</f>
        <v>-1.1355992487445343E-2</v>
      </c>
      <c r="E65" s="1793">
        <f>(E63/E62)-1</f>
        <v>1.6654757824578814E-2</v>
      </c>
      <c r="F65" s="1815" t="s">
        <v>109</v>
      </c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</row>
    <row r="66" spans="1:25" ht="18.75" customHeight="1" x14ac:dyDescent="0.2">
      <c r="A66" s="1161" t="s">
        <v>138</v>
      </c>
      <c r="B66" s="1148">
        <f>((B63/B58)^(1/5))-1</f>
        <v>5.3030846072270377E-2</v>
      </c>
      <c r="C66" s="1150">
        <f>((C63/C58)^(1/5))-1</f>
        <v>6.0559588823664301E-2</v>
      </c>
      <c r="D66" s="613">
        <f>((D63/D58)^(1/5))-1</f>
        <v>1.8853078711946303E-2</v>
      </c>
      <c r="E66" s="613">
        <f>((E63/E58)^(1/5))-1</f>
        <v>4.4959904956701768E-2</v>
      </c>
      <c r="F66" s="1162" t="s">
        <v>109</v>
      </c>
      <c r="H66" s="1163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</row>
    <row r="67" spans="1:25" ht="19.5" customHeight="1" x14ac:dyDescent="0.2">
      <c r="A67" s="1816" t="s">
        <v>144</v>
      </c>
      <c r="B67" s="1794">
        <f>(B63/B53)-1</f>
        <v>0.26260478196781079</v>
      </c>
      <c r="C67" s="1795">
        <f>(C63/C53)-1</f>
        <v>0.19299781668458826</v>
      </c>
      <c r="D67" s="1796">
        <f>(D63/D53)-1</f>
        <v>0.53351677178175816</v>
      </c>
      <c r="E67" s="1796">
        <f>(E63/E53)-1</f>
        <v>0.24505825358252342</v>
      </c>
      <c r="F67" s="1817" t="s">
        <v>109</v>
      </c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</row>
    <row r="68" spans="1:25" ht="13.5" thickBot="1" x14ac:dyDescent="0.25">
      <c r="A68" s="1164" t="s">
        <v>140</v>
      </c>
      <c r="B68" s="1165">
        <f>((B63/B53)^(1/10))-1</f>
        <v>2.359167011083052E-2</v>
      </c>
      <c r="C68" s="1127">
        <f>((C63/C53)^(1/10))-1</f>
        <v>1.7803558365606875E-2</v>
      </c>
      <c r="D68" s="1126">
        <f>((D63/D53)^(1/10))-1</f>
        <v>4.3683585128950542E-2</v>
      </c>
      <c r="E68" s="1126">
        <f>((E63/E53)^(1/10))-1</f>
        <v>2.2160200940205543E-2</v>
      </c>
      <c r="F68" s="1166" t="s">
        <v>109</v>
      </c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</row>
    <row r="69" spans="1:25" x14ac:dyDescent="0.2">
      <c r="A69" s="1004" t="s">
        <v>290</v>
      </c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</row>
    <row r="70" spans="1:25" x14ac:dyDescent="0.2">
      <c r="A70" s="349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</row>
    <row r="97" spans="24:39" x14ac:dyDescent="0.2">
      <c r="X97" s="1167"/>
      <c r="Y97" s="1167"/>
      <c r="Z97" s="1167"/>
      <c r="AA97" s="1168"/>
      <c r="AB97" s="1169"/>
      <c r="AC97" s="1170"/>
      <c r="AD97" s="1171">
        <v>945581.9160000002</v>
      </c>
      <c r="AE97" s="1172">
        <v>93.978999999999985</v>
      </c>
      <c r="AF97" s="1171">
        <v>945675.89500000025</v>
      </c>
      <c r="AG97" s="1171">
        <v>288970.27599999995</v>
      </c>
      <c r="AH97" s="1172">
        <v>119.90900000000001</v>
      </c>
      <c r="AI97" s="1171">
        <v>289090.18499999994</v>
      </c>
      <c r="AJ97" s="1171">
        <v>1388656.3689999997</v>
      </c>
      <c r="AK97" s="1172">
        <v>60944.434999999998</v>
      </c>
      <c r="AL97" s="1171">
        <v>1449600.8039999998</v>
      </c>
      <c r="AM97" s="1173">
        <v>2684366.8840000001</v>
      </c>
    </row>
    <row r="98" spans="24:39" x14ac:dyDescent="0.2">
      <c r="X98" s="1167"/>
      <c r="Y98" s="1167"/>
      <c r="Z98" s="1167"/>
      <c r="AA98" s="1168"/>
      <c r="AB98" s="1169"/>
      <c r="AC98" s="1170"/>
      <c r="AD98" s="1171">
        <v>1067124.0049999999</v>
      </c>
      <c r="AE98" s="1172">
        <v>97.435000000000002</v>
      </c>
      <c r="AF98" s="1171">
        <v>1067221.44</v>
      </c>
      <c r="AG98" s="1171">
        <v>322223.28000000003</v>
      </c>
      <c r="AH98" s="1172">
        <v>120.273</v>
      </c>
      <c r="AI98" s="1171">
        <v>322343.55299999996</v>
      </c>
      <c r="AJ98" s="1171">
        <v>1429897.6949999998</v>
      </c>
      <c r="AK98" s="1172">
        <v>66000.584999999992</v>
      </c>
      <c r="AL98" s="1171">
        <v>1495898.28</v>
      </c>
      <c r="AM98" s="1173">
        <v>2885463.273</v>
      </c>
    </row>
    <row r="99" spans="24:39" x14ac:dyDescent="0.2">
      <c r="X99" s="1167"/>
      <c r="Y99" s="1167"/>
      <c r="Z99" s="1167"/>
      <c r="AA99" s="1168"/>
      <c r="AB99" s="1169"/>
      <c r="AC99" s="1170"/>
      <c r="AD99" s="1171">
        <v>1052792.0250000004</v>
      </c>
      <c r="AE99" s="1172">
        <v>91.210999999999999</v>
      </c>
      <c r="AF99" s="1171">
        <v>1052883.2360000003</v>
      </c>
      <c r="AG99" s="1171">
        <v>321630.63800000004</v>
      </c>
      <c r="AH99" s="1172">
        <v>124.90900000000001</v>
      </c>
      <c r="AI99" s="1171">
        <v>321755.54700000002</v>
      </c>
      <c r="AJ99" s="1171">
        <v>1435527.5689999997</v>
      </c>
      <c r="AK99" s="1172">
        <v>65604.203999999998</v>
      </c>
      <c r="AL99" s="1171">
        <v>1501131.7729999996</v>
      </c>
      <c r="AM99" s="1173">
        <v>2875770.5559999999</v>
      </c>
    </row>
    <row r="100" spans="24:39" x14ac:dyDescent="0.2">
      <c r="X100" s="1167"/>
      <c r="Y100" s="1167"/>
      <c r="Z100" s="1167"/>
      <c r="AA100" s="1168"/>
      <c r="AB100" s="1169"/>
      <c r="AC100" s="1170"/>
      <c r="AD100" s="1171">
        <v>1069230.7290000001</v>
      </c>
      <c r="AE100" s="1172">
        <v>39.456000000000003</v>
      </c>
      <c r="AF100" s="1171">
        <v>1069270.1850000001</v>
      </c>
      <c r="AG100" s="1171">
        <v>332738.13199999998</v>
      </c>
      <c r="AH100" s="1172">
        <v>143.09100000000001</v>
      </c>
      <c r="AI100" s="1171">
        <v>332881.223</v>
      </c>
      <c r="AJ100" s="1171">
        <v>1437947.8660000004</v>
      </c>
      <c r="AK100" s="1172">
        <v>68065.862082109801</v>
      </c>
      <c r="AL100" s="1171">
        <v>1506013.7280821102</v>
      </c>
      <c r="AM100" s="1173">
        <v>2908165.13608211</v>
      </c>
    </row>
    <row r="101" spans="24:39" x14ac:dyDescent="0.2">
      <c r="X101" s="1167"/>
      <c r="Y101" s="1167"/>
      <c r="Z101" s="1167"/>
      <c r="AA101" s="1168"/>
      <c r="AB101" s="1169"/>
      <c r="AC101" s="1170"/>
      <c r="AD101" s="1171">
        <v>996453.78500000003</v>
      </c>
      <c r="AE101" s="1172">
        <v>7.5449999999999999</v>
      </c>
      <c r="AF101" s="1171">
        <v>996461.33</v>
      </c>
      <c r="AG101" s="1171">
        <v>317904.19400000002</v>
      </c>
      <c r="AH101" s="1172">
        <v>120.09099999999999</v>
      </c>
      <c r="AI101" s="1171">
        <v>318024.28500000003</v>
      </c>
      <c r="AJ101" s="1171">
        <v>1401029.9340000006</v>
      </c>
      <c r="AK101" s="1172">
        <v>64413.865437052373</v>
      </c>
      <c r="AL101" s="1171">
        <v>1465443.799437053</v>
      </c>
      <c r="AM101" s="1173">
        <v>2779929.4144370528</v>
      </c>
    </row>
    <row r="102" spans="24:39" x14ac:dyDescent="0.2">
      <c r="X102" s="1167"/>
      <c r="Y102" s="1167"/>
      <c r="Z102" s="1167"/>
      <c r="AA102" s="1168"/>
      <c r="AB102" s="1169"/>
      <c r="AC102" s="1170"/>
      <c r="AD102" s="1171">
        <v>1033516.6749999998</v>
      </c>
      <c r="AE102" s="1172">
        <v>7.5470000000000006</v>
      </c>
      <c r="AF102" s="1171">
        <v>1033524.2219999998</v>
      </c>
      <c r="AG102" s="1171">
        <v>322782.90599999996</v>
      </c>
      <c r="AH102" s="1172">
        <v>114.09099999999999</v>
      </c>
      <c r="AI102" s="1171">
        <v>322896.99699999997</v>
      </c>
      <c r="AJ102" s="1171">
        <v>1415044.5742875563</v>
      </c>
      <c r="AK102" s="1172">
        <v>66178.702964972166</v>
      </c>
      <c r="AL102" s="1171">
        <v>1481223.2772525286</v>
      </c>
      <c r="AM102" s="1173">
        <v>2837644.4962525284</v>
      </c>
    </row>
    <row r="103" spans="24:39" x14ac:dyDescent="0.2">
      <c r="X103" s="1167"/>
      <c r="Y103" s="1167"/>
      <c r="Z103" s="1167"/>
      <c r="AA103" s="1168"/>
      <c r="AB103" s="1169"/>
      <c r="AC103" s="1170"/>
      <c r="AD103" s="1171">
        <v>1044628.1639999995</v>
      </c>
      <c r="AE103" s="1172">
        <v>8.0069999999999997</v>
      </c>
      <c r="AF103" s="1171">
        <v>1044636.1709999995</v>
      </c>
      <c r="AG103" s="1171">
        <v>312335.353</v>
      </c>
      <c r="AH103" s="1172">
        <v>108.90900000000001</v>
      </c>
      <c r="AI103" s="1171">
        <v>312444.26199999999</v>
      </c>
      <c r="AJ103" s="1171">
        <v>1426709.9548727721</v>
      </c>
      <c r="AK103" s="1172">
        <v>61067.828304711198</v>
      </c>
      <c r="AL103" s="1171">
        <v>1487777.7831774834</v>
      </c>
      <c r="AM103" s="1173">
        <v>2844858.2161774826</v>
      </c>
    </row>
    <row r="104" spans="24:39" x14ac:dyDescent="0.2">
      <c r="X104" s="1167"/>
      <c r="Y104" s="1167"/>
      <c r="Z104" s="1167"/>
      <c r="AA104" s="1168"/>
      <c r="AB104" s="1169"/>
      <c r="AC104" s="1170"/>
      <c r="AD104" s="1171">
        <v>1087489.3509999998</v>
      </c>
      <c r="AE104" s="1172">
        <v>7.343</v>
      </c>
      <c r="AF104" s="1171">
        <v>1087496.6939999999</v>
      </c>
      <c r="AG104" s="1171">
        <v>307009.46737500007</v>
      </c>
      <c r="AH104" s="1172">
        <v>0</v>
      </c>
      <c r="AI104" s="1171">
        <v>307009.46737500007</v>
      </c>
      <c r="AJ104" s="1171">
        <v>1434257.7606533286</v>
      </c>
      <c r="AK104" s="1172">
        <v>65178.193113212088</v>
      </c>
      <c r="AL104" s="1171">
        <v>1499435.9537665406</v>
      </c>
      <c r="AM104" s="1173">
        <v>2893942.1151415403</v>
      </c>
    </row>
    <row r="105" spans="24:39" x14ac:dyDescent="0.2">
      <c r="X105" s="1167"/>
      <c r="Y105" s="1167"/>
      <c r="Z105" s="1167"/>
      <c r="AA105" s="1168"/>
      <c r="AB105" s="1169"/>
      <c r="AC105" s="1174"/>
      <c r="AD105" s="1175">
        <v>9344147.0650000013</v>
      </c>
      <c r="AE105" s="1176">
        <v>477.69600000000003</v>
      </c>
      <c r="AF105" s="1175">
        <v>9344624.7610000018</v>
      </c>
      <c r="AG105" s="1175">
        <v>2822578.3433750002</v>
      </c>
      <c r="AH105" s="1176">
        <v>986</v>
      </c>
      <c r="AI105" s="1175">
        <v>2823564.3433750002</v>
      </c>
      <c r="AJ105" s="1175">
        <v>12784131.000813657</v>
      </c>
      <c r="AK105" s="1176">
        <v>583370.87390205765</v>
      </c>
      <c r="AL105" s="1175">
        <v>13367501.874715716</v>
      </c>
      <c r="AM105" s="1177">
        <v>25535690.979090717</v>
      </c>
    </row>
    <row r="106" spans="24:39" ht="15" x14ac:dyDescent="0.25">
      <c r="X106" s="1167"/>
      <c r="Y106" s="1167"/>
      <c r="Z106" s="1178"/>
      <c r="AA106" s="1179"/>
      <c r="AB106" s="1169"/>
      <c r="AC106" s="1180"/>
      <c r="AD106" s="1181">
        <f>+AD105/AF105</f>
        <v>0.99994888013031902</v>
      </c>
      <c r="AE106" s="1181">
        <f>+AE105/AF105</f>
        <v>5.1119869680982255E-5</v>
      </c>
      <c r="AF106" s="1181"/>
      <c r="AG106" s="1181">
        <f>+AG105/AI105</f>
        <v>0.99965079598688322</v>
      </c>
      <c r="AH106" s="1181">
        <f>+AH105/AI105</f>
        <v>3.4920401311678146E-4</v>
      </c>
      <c r="AI106" s="1181"/>
      <c r="AJ106" s="1181">
        <f>+AJ105/AL105</f>
        <v>0.95635902060313238</v>
      </c>
      <c r="AK106" s="1181">
        <f>+AK105/AL105</f>
        <v>4.3640979396867605E-2</v>
      </c>
      <c r="AL106" s="1178"/>
      <c r="AM106" s="1179"/>
    </row>
  </sheetData>
  <autoFilter ref="A2:A106"/>
  <mergeCells count="3">
    <mergeCell ref="C40:F40"/>
    <mergeCell ref="C5:G5"/>
    <mergeCell ref="H5:L5"/>
  </mergeCells>
  <printOptions horizontalCentered="1"/>
  <pageMargins left="0.35433070866141736" right="0.23622047244094491" top="0.62992125984251968" bottom="0.39370078740157483" header="0" footer="0"/>
  <pageSetup paperSize="9" scale="5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view="pageBreakPreview" zoomScaleNormal="100" zoomScaleSheetLayoutView="100" workbookViewId="0">
      <selection activeCell="C32" sqref="C32"/>
    </sheetView>
  </sheetViews>
  <sheetFormatPr baseColWidth="10" defaultRowHeight="12.75" x14ac:dyDescent="0.2"/>
  <cols>
    <col min="1" max="1" width="7.28515625" style="573" customWidth="1"/>
    <col min="2" max="2" width="26.7109375" style="157" customWidth="1"/>
    <col min="3" max="3" width="25.7109375" style="157" customWidth="1"/>
    <col min="4" max="4" width="14.42578125" style="573" customWidth="1"/>
    <col min="5" max="5" width="18.7109375" style="573" customWidth="1"/>
    <col min="6" max="7" width="11.42578125" style="573"/>
    <col min="8" max="8" width="4.42578125" style="573" customWidth="1"/>
    <col min="9" max="256" width="11.42578125" style="157"/>
    <col min="257" max="257" width="7.28515625" style="157" customWidth="1"/>
    <col min="258" max="258" width="26.7109375" style="157" customWidth="1"/>
    <col min="259" max="259" width="25.7109375" style="157" customWidth="1"/>
    <col min="260" max="260" width="14.42578125" style="157" customWidth="1"/>
    <col min="261" max="261" width="18.7109375" style="157" customWidth="1"/>
    <col min="262" max="263" width="11.42578125" style="157"/>
    <col min="264" max="264" width="4.42578125" style="157" customWidth="1"/>
    <col min="265" max="512" width="11.42578125" style="157"/>
    <col min="513" max="513" width="7.28515625" style="157" customWidth="1"/>
    <col min="514" max="514" width="26.7109375" style="157" customWidth="1"/>
    <col min="515" max="515" width="25.7109375" style="157" customWidth="1"/>
    <col min="516" max="516" width="14.42578125" style="157" customWidth="1"/>
    <col min="517" max="517" width="18.7109375" style="157" customWidth="1"/>
    <col min="518" max="519" width="11.42578125" style="157"/>
    <col min="520" max="520" width="4.42578125" style="157" customWidth="1"/>
    <col min="521" max="768" width="11.42578125" style="157"/>
    <col min="769" max="769" width="7.28515625" style="157" customWidth="1"/>
    <col min="770" max="770" width="26.7109375" style="157" customWidth="1"/>
    <col min="771" max="771" width="25.7109375" style="157" customWidth="1"/>
    <col min="772" max="772" width="14.42578125" style="157" customWidth="1"/>
    <col min="773" max="773" width="18.7109375" style="157" customWidth="1"/>
    <col min="774" max="775" width="11.42578125" style="157"/>
    <col min="776" max="776" width="4.42578125" style="157" customWidth="1"/>
    <col min="777" max="1024" width="11.42578125" style="157"/>
    <col min="1025" max="1025" width="7.28515625" style="157" customWidth="1"/>
    <col min="1026" max="1026" width="26.7109375" style="157" customWidth="1"/>
    <col min="1027" max="1027" width="25.7109375" style="157" customWidth="1"/>
    <col min="1028" max="1028" width="14.42578125" style="157" customWidth="1"/>
    <col min="1029" max="1029" width="18.7109375" style="157" customWidth="1"/>
    <col min="1030" max="1031" width="11.42578125" style="157"/>
    <col min="1032" max="1032" width="4.42578125" style="157" customWidth="1"/>
    <col min="1033" max="1280" width="11.42578125" style="157"/>
    <col min="1281" max="1281" width="7.28515625" style="157" customWidth="1"/>
    <col min="1282" max="1282" width="26.7109375" style="157" customWidth="1"/>
    <col min="1283" max="1283" width="25.7109375" style="157" customWidth="1"/>
    <col min="1284" max="1284" width="14.42578125" style="157" customWidth="1"/>
    <col min="1285" max="1285" width="18.7109375" style="157" customWidth="1"/>
    <col min="1286" max="1287" width="11.42578125" style="157"/>
    <col min="1288" max="1288" width="4.42578125" style="157" customWidth="1"/>
    <col min="1289" max="1536" width="11.42578125" style="157"/>
    <col min="1537" max="1537" width="7.28515625" style="157" customWidth="1"/>
    <col min="1538" max="1538" width="26.7109375" style="157" customWidth="1"/>
    <col min="1539" max="1539" width="25.7109375" style="157" customWidth="1"/>
    <col min="1540" max="1540" width="14.42578125" style="157" customWidth="1"/>
    <col min="1541" max="1541" width="18.7109375" style="157" customWidth="1"/>
    <col min="1542" max="1543" width="11.42578125" style="157"/>
    <col min="1544" max="1544" width="4.42578125" style="157" customWidth="1"/>
    <col min="1545" max="1792" width="11.42578125" style="157"/>
    <col min="1793" max="1793" width="7.28515625" style="157" customWidth="1"/>
    <col min="1794" max="1794" width="26.7109375" style="157" customWidth="1"/>
    <col min="1795" max="1795" width="25.7109375" style="157" customWidth="1"/>
    <col min="1796" max="1796" width="14.42578125" style="157" customWidth="1"/>
    <col min="1797" max="1797" width="18.7109375" style="157" customWidth="1"/>
    <col min="1798" max="1799" width="11.42578125" style="157"/>
    <col min="1800" max="1800" width="4.42578125" style="157" customWidth="1"/>
    <col min="1801" max="2048" width="11.42578125" style="157"/>
    <col min="2049" max="2049" width="7.28515625" style="157" customWidth="1"/>
    <col min="2050" max="2050" width="26.7109375" style="157" customWidth="1"/>
    <col min="2051" max="2051" width="25.7109375" style="157" customWidth="1"/>
    <col min="2052" max="2052" width="14.42578125" style="157" customWidth="1"/>
    <col min="2053" max="2053" width="18.7109375" style="157" customWidth="1"/>
    <col min="2054" max="2055" width="11.42578125" style="157"/>
    <col min="2056" max="2056" width="4.42578125" style="157" customWidth="1"/>
    <col min="2057" max="2304" width="11.42578125" style="157"/>
    <col min="2305" max="2305" width="7.28515625" style="157" customWidth="1"/>
    <col min="2306" max="2306" width="26.7109375" style="157" customWidth="1"/>
    <col min="2307" max="2307" width="25.7109375" style="157" customWidth="1"/>
    <col min="2308" max="2308" width="14.42578125" style="157" customWidth="1"/>
    <col min="2309" max="2309" width="18.7109375" style="157" customWidth="1"/>
    <col min="2310" max="2311" width="11.42578125" style="157"/>
    <col min="2312" max="2312" width="4.42578125" style="157" customWidth="1"/>
    <col min="2313" max="2560" width="11.42578125" style="157"/>
    <col min="2561" max="2561" width="7.28515625" style="157" customWidth="1"/>
    <col min="2562" max="2562" width="26.7109375" style="157" customWidth="1"/>
    <col min="2563" max="2563" width="25.7109375" style="157" customWidth="1"/>
    <col min="2564" max="2564" width="14.42578125" style="157" customWidth="1"/>
    <col min="2565" max="2565" width="18.7109375" style="157" customWidth="1"/>
    <col min="2566" max="2567" width="11.42578125" style="157"/>
    <col min="2568" max="2568" width="4.42578125" style="157" customWidth="1"/>
    <col min="2569" max="2816" width="11.42578125" style="157"/>
    <col min="2817" max="2817" width="7.28515625" style="157" customWidth="1"/>
    <col min="2818" max="2818" width="26.7109375" style="157" customWidth="1"/>
    <col min="2819" max="2819" width="25.7109375" style="157" customWidth="1"/>
    <col min="2820" max="2820" width="14.42578125" style="157" customWidth="1"/>
    <col min="2821" max="2821" width="18.7109375" style="157" customWidth="1"/>
    <col min="2822" max="2823" width="11.42578125" style="157"/>
    <col min="2824" max="2824" width="4.42578125" style="157" customWidth="1"/>
    <col min="2825" max="3072" width="11.42578125" style="157"/>
    <col min="3073" max="3073" width="7.28515625" style="157" customWidth="1"/>
    <col min="3074" max="3074" width="26.7109375" style="157" customWidth="1"/>
    <col min="3075" max="3075" width="25.7109375" style="157" customWidth="1"/>
    <col min="3076" max="3076" width="14.42578125" style="157" customWidth="1"/>
    <col min="3077" max="3077" width="18.7109375" style="157" customWidth="1"/>
    <col min="3078" max="3079" width="11.42578125" style="157"/>
    <col min="3080" max="3080" width="4.42578125" style="157" customWidth="1"/>
    <col min="3081" max="3328" width="11.42578125" style="157"/>
    <col min="3329" max="3329" width="7.28515625" style="157" customWidth="1"/>
    <col min="3330" max="3330" width="26.7109375" style="157" customWidth="1"/>
    <col min="3331" max="3331" width="25.7109375" style="157" customWidth="1"/>
    <col min="3332" max="3332" width="14.42578125" style="157" customWidth="1"/>
    <col min="3333" max="3333" width="18.7109375" style="157" customWidth="1"/>
    <col min="3334" max="3335" width="11.42578125" style="157"/>
    <col min="3336" max="3336" width="4.42578125" style="157" customWidth="1"/>
    <col min="3337" max="3584" width="11.42578125" style="157"/>
    <col min="3585" max="3585" width="7.28515625" style="157" customWidth="1"/>
    <col min="3586" max="3586" width="26.7109375" style="157" customWidth="1"/>
    <col min="3587" max="3587" width="25.7109375" style="157" customWidth="1"/>
    <col min="3588" max="3588" width="14.42578125" style="157" customWidth="1"/>
    <col min="3589" max="3589" width="18.7109375" style="157" customWidth="1"/>
    <col min="3590" max="3591" width="11.42578125" style="157"/>
    <col min="3592" max="3592" width="4.42578125" style="157" customWidth="1"/>
    <col min="3593" max="3840" width="11.42578125" style="157"/>
    <col min="3841" max="3841" width="7.28515625" style="157" customWidth="1"/>
    <col min="3842" max="3842" width="26.7109375" style="157" customWidth="1"/>
    <col min="3843" max="3843" width="25.7109375" style="157" customWidth="1"/>
    <col min="3844" max="3844" width="14.42578125" style="157" customWidth="1"/>
    <col min="3845" max="3845" width="18.7109375" style="157" customWidth="1"/>
    <col min="3846" max="3847" width="11.42578125" style="157"/>
    <col min="3848" max="3848" width="4.42578125" style="157" customWidth="1"/>
    <col min="3849" max="4096" width="11.42578125" style="157"/>
    <col min="4097" max="4097" width="7.28515625" style="157" customWidth="1"/>
    <col min="4098" max="4098" width="26.7109375" style="157" customWidth="1"/>
    <col min="4099" max="4099" width="25.7109375" style="157" customWidth="1"/>
    <col min="4100" max="4100" width="14.42578125" style="157" customWidth="1"/>
    <col min="4101" max="4101" width="18.7109375" style="157" customWidth="1"/>
    <col min="4102" max="4103" width="11.42578125" style="157"/>
    <col min="4104" max="4104" width="4.42578125" style="157" customWidth="1"/>
    <col min="4105" max="4352" width="11.42578125" style="157"/>
    <col min="4353" max="4353" width="7.28515625" style="157" customWidth="1"/>
    <col min="4354" max="4354" width="26.7109375" style="157" customWidth="1"/>
    <col min="4355" max="4355" width="25.7109375" style="157" customWidth="1"/>
    <col min="4356" max="4356" width="14.42578125" style="157" customWidth="1"/>
    <col min="4357" max="4357" width="18.7109375" style="157" customWidth="1"/>
    <col min="4358" max="4359" width="11.42578125" style="157"/>
    <col min="4360" max="4360" width="4.42578125" style="157" customWidth="1"/>
    <col min="4361" max="4608" width="11.42578125" style="157"/>
    <col min="4609" max="4609" width="7.28515625" style="157" customWidth="1"/>
    <col min="4610" max="4610" width="26.7109375" style="157" customWidth="1"/>
    <col min="4611" max="4611" width="25.7109375" style="157" customWidth="1"/>
    <col min="4612" max="4612" width="14.42578125" style="157" customWidth="1"/>
    <col min="4613" max="4613" width="18.7109375" style="157" customWidth="1"/>
    <col min="4614" max="4615" width="11.42578125" style="157"/>
    <col min="4616" max="4616" width="4.42578125" style="157" customWidth="1"/>
    <col min="4617" max="4864" width="11.42578125" style="157"/>
    <col min="4865" max="4865" width="7.28515625" style="157" customWidth="1"/>
    <col min="4866" max="4866" width="26.7109375" style="157" customWidth="1"/>
    <col min="4867" max="4867" width="25.7109375" style="157" customWidth="1"/>
    <col min="4868" max="4868" width="14.42578125" style="157" customWidth="1"/>
    <col min="4869" max="4869" width="18.7109375" style="157" customWidth="1"/>
    <col min="4870" max="4871" width="11.42578125" style="157"/>
    <col min="4872" max="4872" width="4.42578125" style="157" customWidth="1"/>
    <col min="4873" max="5120" width="11.42578125" style="157"/>
    <col min="5121" max="5121" width="7.28515625" style="157" customWidth="1"/>
    <col min="5122" max="5122" width="26.7109375" style="157" customWidth="1"/>
    <col min="5123" max="5123" width="25.7109375" style="157" customWidth="1"/>
    <col min="5124" max="5124" width="14.42578125" style="157" customWidth="1"/>
    <col min="5125" max="5125" width="18.7109375" style="157" customWidth="1"/>
    <col min="5126" max="5127" width="11.42578125" style="157"/>
    <col min="5128" max="5128" width="4.42578125" style="157" customWidth="1"/>
    <col min="5129" max="5376" width="11.42578125" style="157"/>
    <col min="5377" max="5377" width="7.28515625" style="157" customWidth="1"/>
    <col min="5378" max="5378" width="26.7109375" style="157" customWidth="1"/>
    <col min="5379" max="5379" width="25.7109375" style="157" customWidth="1"/>
    <col min="5380" max="5380" width="14.42578125" style="157" customWidth="1"/>
    <col min="5381" max="5381" width="18.7109375" style="157" customWidth="1"/>
    <col min="5382" max="5383" width="11.42578125" style="157"/>
    <col min="5384" max="5384" width="4.42578125" style="157" customWidth="1"/>
    <col min="5385" max="5632" width="11.42578125" style="157"/>
    <col min="5633" max="5633" width="7.28515625" style="157" customWidth="1"/>
    <col min="5634" max="5634" width="26.7109375" style="157" customWidth="1"/>
    <col min="5635" max="5635" width="25.7109375" style="157" customWidth="1"/>
    <col min="5636" max="5636" width="14.42578125" style="157" customWidth="1"/>
    <col min="5637" max="5637" width="18.7109375" style="157" customWidth="1"/>
    <col min="5638" max="5639" width="11.42578125" style="157"/>
    <col min="5640" max="5640" width="4.42578125" style="157" customWidth="1"/>
    <col min="5641" max="5888" width="11.42578125" style="157"/>
    <col min="5889" max="5889" width="7.28515625" style="157" customWidth="1"/>
    <col min="5890" max="5890" width="26.7109375" style="157" customWidth="1"/>
    <col min="5891" max="5891" width="25.7109375" style="157" customWidth="1"/>
    <col min="5892" max="5892" width="14.42578125" style="157" customWidth="1"/>
    <col min="5893" max="5893" width="18.7109375" style="157" customWidth="1"/>
    <col min="5894" max="5895" width="11.42578125" style="157"/>
    <col min="5896" max="5896" width="4.42578125" style="157" customWidth="1"/>
    <col min="5897" max="6144" width="11.42578125" style="157"/>
    <col min="6145" max="6145" width="7.28515625" style="157" customWidth="1"/>
    <col min="6146" max="6146" width="26.7109375" style="157" customWidth="1"/>
    <col min="6147" max="6147" width="25.7109375" style="157" customWidth="1"/>
    <col min="6148" max="6148" width="14.42578125" style="157" customWidth="1"/>
    <col min="6149" max="6149" width="18.7109375" style="157" customWidth="1"/>
    <col min="6150" max="6151" width="11.42578125" style="157"/>
    <col min="6152" max="6152" width="4.42578125" style="157" customWidth="1"/>
    <col min="6153" max="6400" width="11.42578125" style="157"/>
    <col min="6401" max="6401" width="7.28515625" style="157" customWidth="1"/>
    <col min="6402" max="6402" width="26.7109375" style="157" customWidth="1"/>
    <col min="6403" max="6403" width="25.7109375" style="157" customWidth="1"/>
    <col min="6404" max="6404" width="14.42578125" style="157" customWidth="1"/>
    <col min="6405" max="6405" width="18.7109375" style="157" customWidth="1"/>
    <col min="6406" max="6407" width="11.42578125" style="157"/>
    <col min="6408" max="6408" width="4.42578125" style="157" customWidth="1"/>
    <col min="6409" max="6656" width="11.42578125" style="157"/>
    <col min="6657" max="6657" width="7.28515625" style="157" customWidth="1"/>
    <col min="6658" max="6658" width="26.7109375" style="157" customWidth="1"/>
    <col min="6659" max="6659" width="25.7109375" style="157" customWidth="1"/>
    <col min="6660" max="6660" width="14.42578125" style="157" customWidth="1"/>
    <col min="6661" max="6661" width="18.7109375" style="157" customWidth="1"/>
    <col min="6662" max="6663" width="11.42578125" style="157"/>
    <col min="6664" max="6664" width="4.42578125" style="157" customWidth="1"/>
    <col min="6665" max="6912" width="11.42578125" style="157"/>
    <col min="6913" max="6913" width="7.28515625" style="157" customWidth="1"/>
    <col min="6914" max="6914" width="26.7109375" style="157" customWidth="1"/>
    <col min="6915" max="6915" width="25.7109375" style="157" customWidth="1"/>
    <col min="6916" max="6916" width="14.42578125" style="157" customWidth="1"/>
    <col min="6917" max="6917" width="18.7109375" style="157" customWidth="1"/>
    <col min="6918" max="6919" width="11.42578125" style="157"/>
    <col min="6920" max="6920" width="4.42578125" style="157" customWidth="1"/>
    <col min="6921" max="7168" width="11.42578125" style="157"/>
    <col min="7169" max="7169" width="7.28515625" style="157" customWidth="1"/>
    <col min="7170" max="7170" width="26.7109375" style="157" customWidth="1"/>
    <col min="7171" max="7171" width="25.7109375" style="157" customWidth="1"/>
    <col min="7172" max="7172" width="14.42578125" style="157" customWidth="1"/>
    <col min="7173" max="7173" width="18.7109375" style="157" customWidth="1"/>
    <col min="7174" max="7175" width="11.42578125" style="157"/>
    <col min="7176" max="7176" width="4.42578125" style="157" customWidth="1"/>
    <col min="7177" max="7424" width="11.42578125" style="157"/>
    <col min="7425" max="7425" width="7.28515625" style="157" customWidth="1"/>
    <col min="7426" max="7426" width="26.7109375" style="157" customWidth="1"/>
    <col min="7427" max="7427" width="25.7109375" style="157" customWidth="1"/>
    <col min="7428" max="7428" width="14.42578125" style="157" customWidth="1"/>
    <col min="7429" max="7429" width="18.7109375" style="157" customWidth="1"/>
    <col min="7430" max="7431" width="11.42578125" style="157"/>
    <col min="7432" max="7432" width="4.42578125" style="157" customWidth="1"/>
    <col min="7433" max="7680" width="11.42578125" style="157"/>
    <col min="7681" max="7681" width="7.28515625" style="157" customWidth="1"/>
    <col min="7682" max="7682" width="26.7109375" style="157" customWidth="1"/>
    <col min="7683" max="7683" width="25.7109375" style="157" customWidth="1"/>
    <col min="7684" max="7684" width="14.42578125" style="157" customWidth="1"/>
    <col min="7685" max="7685" width="18.7109375" style="157" customWidth="1"/>
    <col min="7686" max="7687" width="11.42578125" style="157"/>
    <col min="7688" max="7688" width="4.42578125" style="157" customWidth="1"/>
    <col min="7689" max="7936" width="11.42578125" style="157"/>
    <col min="7937" max="7937" width="7.28515625" style="157" customWidth="1"/>
    <col min="7938" max="7938" width="26.7109375" style="157" customWidth="1"/>
    <col min="7939" max="7939" width="25.7109375" style="157" customWidth="1"/>
    <col min="7940" max="7940" width="14.42578125" style="157" customWidth="1"/>
    <col min="7941" max="7941" width="18.7109375" style="157" customWidth="1"/>
    <col min="7942" max="7943" width="11.42578125" style="157"/>
    <col min="7944" max="7944" width="4.42578125" style="157" customWidth="1"/>
    <col min="7945" max="8192" width="11.42578125" style="157"/>
    <col min="8193" max="8193" width="7.28515625" style="157" customWidth="1"/>
    <col min="8194" max="8194" width="26.7109375" style="157" customWidth="1"/>
    <col min="8195" max="8195" width="25.7109375" style="157" customWidth="1"/>
    <col min="8196" max="8196" width="14.42578125" style="157" customWidth="1"/>
    <col min="8197" max="8197" width="18.7109375" style="157" customWidth="1"/>
    <col min="8198" max="8199" width="11.42578125" style="157"/>
    <col min="8200" max="8200" width="4.42578125" style="157" customWidth="1"/>
    <col min="8201" max="8448" width="11.42578125" style="157"/>
    <col min="8449" max="8449" width="7.28515625" style="157" customWidth="1"/>
    <col min="8450" max="8450" width="26.7109375" style="157" customWidth="1"/>
    <col min="8451" max="8451" width="25.7109375" style="157" customWidth="1"/>
    <col min="8452" max="8452" width="14.42578125" style="157" customWidth="1"/>
    <col min="8453" max="8453" width="18.7109375" style="157" customWidth="1"/>
    <col min="8454" max="8455" width="11.42578125" style="157"/>
    <col min="8456" max="8456" width="4.42578125" style="157" customWidth="1"/>
    <col min="8457" max="8704" width="11.42578125" style="157"/>
    <col min="8705" max="8705" width="7.28515625" style="157" customWidth="1"/>
    <col min="8706" max="8706" width="26.7109375" style="157" customWidth="1"/>
    <col min="8707" max="8707" width="25.7109375" style="157" customWidth="1"/>
    <col min="8708" max="8708" width="14.42578125" style="157" customWidth="1"/>
    <col min="8709" max="8709" width="18.7109375" style="157" customWidth="1"/>
    <col min="8710" max="8711" width="11.42578125" style="157"/>
    <col min="8712" max="8712" width="4.42578125" style="157" customWidth="1"/>
    <col min="8713" max="8960" width="11.42578125" style="157"/>
    <col min="8961" max="8961" width="7.28515625" style="157" customWidth="1"/>
    <col min="8962" max="8962" width="26.7109375" style="157" customWidth="1"/>
    <col min="8963" max="8963" width="25.7109375" style="157" customWidth="1"/>
    <col min="8964" max="8964" width="14.42578125" style="157" customWidth="1"/>
    <col min="8965" max="8965" width="18.7109375" style="157" customWidth="1"/>
    <col min="8966" max="8967" width="11.42578125" style="157"/>
    <col min="8968" max="8968" width="4.42578125" style="157" customWidth="1"/>
    <col min="8969" max="9216" width="11.42578125" style="157"/>
    <col min="9217" max="9217" width="7.28515625" style="157" customWidth="1"/>
    <col min="9218" max="9218" width="26.7109375" style="157" customWidth="1"/>
    <col min="9219" max="9219" width="25.7109375" style="157" customWidth="1"/>
    <col min="9220" max="9220" width="14.42578125" style="157" customWidth="1"/>
    <col min="9221" max="9221" width="18.7109375" style="157" customWidth="1"/>
    <col min="9222" max="9223" width="11.42578125" style="157"/>
    <col min="9224" max="9224" width="4.42578125" style="157" customWidth="1"/>
    <col min="9225" max="9472" width="11.42578125" style="157"/>
    <col min="9473" max="9473" width="7.28515625" style="157" customWidth="1"/>
    <col min="9474" max="9474" width="26.7109375" style="157" customWidth="1"/>
    <col min="9475" max="9475" width="25.7109375" style="157" customWidth="1"/>
    <col min="9476" max="9476" width="14.42578125" style="157" customWidth="1"/>
    <col min="9477" max="9477" width="18.7109375" style="157" customWidth="1"/>
    <col min="9478" max="9479" width="11.42578125" style="157"/>
    <col min="9480" max="9480" width="4.42578125" style="157" customWidth="1"/>
    <col min="9481" max="9728" width="11.42578125" style="157"/>
    <col min="9729" max="9729" width="7.28515625" style="157" customWidth="1"/>
    <col min="9730" max="9730" width="26.7109375" style="157" customWidth="1"/>
    <col min="9731" max="9731" width="25.7109375" style="157" customWidth="1"/>
    <col min="9732" max="9732" width="14.42578125" style="157" customWidth="1"/>
    <col min="9733" max="9733" width="18.7109375" style="157" customWidth="1"/>
    <col min="9734" max="9735" width="11.42578125" style="157"/>
    <col min="9736" max="9736" width="4.42578125" style="157" customWidth="1"/>
    <col min="9737" max="9984" width="11.42578125" style="157"/>
    <col min="9985" max="9985" width="7.28515625" style="157" customWidth="1"/>
    <col min="9986" max="9986" width="26.7109375" style="157" customWidth="1"/>
    <col min="9987" max="9987" width="25.7109375" style="157" customWidth="1"/>
    <col min="9988" max="9988" width="14.42578125" style="157" customWidth="1"/>
    <col min="9989" max="9989" width="18.7109375" style="157" customWidth="1"/>
    <col min="9990" max="9991" width="11.42578125" style="157"/>
    <col min="9992" max="9992" width="4.42578125" style="157" customWidth="1"/>
    <col min="9993" max="10240" width="11.42578125" style="157"/>
    <col min="10241" max="10241" width="7.28515625" style="157" customWidth="1"/>
    <col min="10242" max="10242" width="26.7109375" style="157" customWidth="1"/>
    <col min="10243" max="10243" width="25.7109375" style="157" customWidth="1"/>
    <col min="10244" max="10244" width="14.42578125" style="157" customWidth="1"/>
    <col min="10245" max="10245" width="18.7109375" style="157" customWidth="1"/>
    <col min="10246" max="10247" width="11.42578125" style="157"/>
    <col min="10248" max="10248" width="4.42578125" style="157" customWidth="1"/>
    <col min="10249" max="10496" width="11.42578125" style="157"/>
    <col min="10497" max="10497" width="7.28515625" style="157" customWidth="1"/>
    <col min="10498" max="10498" width="26.7109375" style="157" customWidth="1"/>
    <col min="10499" max="10499" width="25.7109375" style="157" customWidth="1"/>
    <col min="10500" max="10500" width="14.42578125" style="157" customWidth="1"/>
    <col min="10501" max="10501" width="18.7109375" style="157" customWidth="1"/>
    <col min="10502" max="10503" width="11.42578125" style="157"/>
    <col min="10504" max="10504" width="4.42578125" style="157" customWidth="1"/>
    <col min="10505" max="10752" width="11.42578125" style="157"/>
    <col min="10753" max="10753" width="7.28515625" style="157" customWidth="1"/>
    <col min="10754" max="10754" width="26.7109375" style="157" customWidth="1"/>
    <col min="10755" max="10755" width="25.7109375" style="157" customWidth="1"/>
    <col min="10756" max="10756" width="14.42578125" style="157" customWidth="1"/>
    <col min="10757" max="10757" width="18.7109375" style="157" customWidth="1"/>
    <col min="10758" max="10759" width="11.42578125" style="157"/>
    <col min="10760" max="10760" width="4.42578125" style="157" customWidth="1"/>
    <col min="10761" max="11008" width="11.42578125" style="157"/>
    <col min="11009" max="11009" width="7.28515625" style="157" customWidth="1"/>
    <col min="11010" max="11010" width="26.7109375" style="157" customWidth="1"/>
    <col min="11011" max="11011" width="25.7109375" style="157" customWidth="1"/>
    <col min="11012" max="11012" width="14.42578125" style="157" customWidth="1"/>
    <col min="11013" max="11013" width="18.7109375" style="157" customWidth="1"/>
    <col min="11014" max="11015" width="11.42578125" style="157"/>
    <col min="11016" max="11016" width="4.42578125" style="157" customWidth="1"/>
    <col min="11017" max="11264" width="11.42578125" style="157"/>
    <col min="11265" max="11265" width="7.28515625" style="157" customWidth="1"/>
    <col min="11266" max="11266" width="26.7109375" style="157" customWidth="1"/>
    <col min="11267" max="11267" width="25.7109375" style="157" customWidth="1"/>
    <col min="11268" max="11268" width="14.42578125" style="157" customWidth="1"/>
    <col min="11269" max="11269" width="18.7109375" style="157" customWidth="1"/>
    <col min="11270" max="11271" width="11.42578125" style="157"/>
    <col min="11272" max="11272" width="4.42578125" style="157" customWidth="1"/>
    <col min="11273" max="11520" width="11.42578125" style="157"/>
    <col min="11521" max="11521" width="7.28515625" style="157" customWidth="1"/>
    <col min="11522" max="11522" width="26.7109375" style="157" customWidth="1"/>
    <col min="11523" max="11523" width="25.7109375" style="157" customWidth="1"/>
    <col min="11524" max="11524" width="14.42578125" style="157" customWidth="1"/>
    <col min="11525" max="11525" width="18.7109375" style="157" customWidth="1"/>
    <col min="11526" max="11527" width="11.42578125" style="157"/>
    <col min="11528" max="11528" width="4.42578125" style="157" customWidth="1"/>
    <col min="11529" max="11776" width="11.42578125" style="157"/>
    <col min="11777" max="11777" width="7.28515625" style="157" customWidth="1"/>
    <col min="11778" max="11778" width="26.7109375" style="157" customWidth="1"/>
    <col min="11779" max="11779" width="25.7109375" style="157" customWidth="1"/>
    <col min="11780" max="11780" width="14.42578125" style="157" customWidth="1"/>
    <col min="11781" max="11781" width="18.7109375" style="157" customWidth="1"/>
    <col min="11782" max="11783" width="11.42578125" style="157"/>
    <col min="11784" max="11784" width="4.42578125" style="157" customWidth="1"/>
    <col min="11785" max="12032" width="11.42578125" style="157"/>
    <col min="12033" max="12033" width="7.28515625" style="157" customWidth="1"/>
    <col min="12034" max="12034" width="26.7109375" style="157" customWidth="1"/>
    <col min="12035" max="12035" width="25.7109375" style="157" customWidth="1"/>
    <col min="12036" max="12036" width="14.42578125" style="157" customWidth="1"/>
    <col min="12037" max="12037" width="18.7109375" style="157" customWidth="1"/>
    <col min="12038" max="12039" width="11.42578125" style="157"/>
    <col min="12040" max="12040" width="4.42578125" style="157" customWidth="1"/>
    <col min="12041" max="12288" width="11.42578125" style="157"/>
    <col min="12289" max="12289" width="7.28515625" style="157" customWidth="1"/>
    <col min="12290" max="12290" width="26.7109375" style="157" customWidth="1"/>
    <col min="12291" max="12291" width="25.7109375" style="157" customWidth="1"/>
    <col min="12292" max="12292" width="14.42578125" style="157" customWidth="1"/>
    <col min="12293" max="12293" width="18.7109375" style="157" customWidth="1"/>
    <col min="12294" max="12295" width="11.42578125" style="157"/>
    <col min="12296" max="12296" width="4.42578125" style="157" customWidth="1"/>
    <col min="12297" max="12544" width="11.42578125" style="157"/>
    <col min="12545" max="12545" width="7.28515625" style="157" customWidth="1"/>
    <col min="12546" max="12546" width="26.7109375" style="157" customWidth="1"/>
    <col min="12547" max="12547" width="25.7109375" style="157" customWidth="1"/>
    <col min="12548" max="12548" width="14.42578125" style="157" customWidth="1"/>
    <col min="12549" max="12549" width="18.7109375" style="157" customWidth="1"/>
    <col min="12550" max="12551" width="11.42578125" style="157"/>
    <col min="12552" max="12552" width="4.42578125" style="157" customWidth="1"/>
    <col min="12553" max="12800" width="11.42578125" style="157"/>
    <col min="12801" max="12801" width="7.28515625" style="157" customWidth="1"/>
    <col min="12802" max="12802" width="26.7109375" style="157" customWidth="1"/>
    <col min="12803" max="12803" width="25.7109375" style="157" customWidth="1"/>
    <col min="12804" max="12804" width="14.42578125" style="157" customWidth="1"/>
    <col min="12805" max="12805" width="18.7109375" style="157" customWidth="1"/>
    <col min="12806" max="12807" width="11.42578125" style="157"/>
    <col min="12808" max="12808" width="4.42578125" style="157" customWidth="1"/>
    <col min="12809" max="13056" width="11.42578125" style="157"/>
    <col min="13057" max="13057" width="7.28515625" style="157" customWidth="1"/>
    <col min="13058" max="13058" width="26.7109375" style="157" customWidth="1"/>
    <col min="13059" max="13059" width="25.7109375" style="157" customWidth="1"/>
    <col min="13060" max="13060" width="14.42578125" style="157" customWidth="1"/>
    <col min="13061" max="13061" width="18.7109375" style="157" customWidth="1"/>
    <col min="13062" max="13063" width="11.42578125" style="157"/>
    <col min="13064" max="13064" width="4.42578125" style="157" customWidth="1"/>
    <col min="13065" max="13312" width="11.42578125" style="157"/>
    <col min="13313" max="13313" width="7.28515625" style="157" customWidth="1"/>
    <col min="13314" max="13314" width="26.7109375" style="157" customWidth="1"/>
    <col min="13315" max="13315" width="25.7109375" style="157" customWidth="1"/>
    <col min="13316" max="13316" width="14.42578125" style="157" customWidth="1"/>
    <col min="13317" max="13317" width="18.7109375" style="157" customWidth="1"/>
    <col min="13318" max="13319" width="11.42578125" style="157"/>
    <col min="13320" max="13320" width="4.42578125" style="157" customWidth="1"/>
    <col min="13321" max="13568" width="11.42578125" style="157"/>
    <col min="13569" max="13569" width="7.28515625" style="157" customWidth="1"/>
    <col min="13570" max="13570" width="26.7109375" style="157" customWidth="1"/>
    <col min="13571" max="13571" width="25.7109375" style="157" customWidth="1"/>
    <col min="13572" max="13572" width="14.42578125" style="157" customWidth="1"/>
    <col min="13573" max="13573" width="18.7109375" style="157" customWidth="1"/>
    <col min="13574" max="13575" width="11.42578125" style="157"/>
    <col min="13576" max="13576" width="4.42578125" style="157" customWidth="1"/>
    <col min="13577" max="13824" width="11.42578125" style="157"/>
    <col min="13825" max="13825" width="7.28515625" style="157" customWidth="1"/>
    <col min="13826" max="13826" width="26.7109375" style="157" customWidth="1"/>
    <col min="13827" max="13827" width="25.7109375" style="157" customWidth="1"/>
    <col min="13828" max="13828" width="14.42578125" style="157" customWidth="1"/>
    <col min="13829" max="13829" width="18.7109375" style="157" customWidth="1"/>
    <col min="13830" max="13831" width="11.42578125" style="157"/>
    <col min="13832" max="13832" width="4.42578125" style="157" customWidth="1"/>
    <col min="13833" max="14080" width="11.42578125" style="157"/>
    <col min="14081" max="14081" width="7.28515625" style="157" customWidth="1"/>
    <col min="14082" max="14082" width="26.7109375" style="157" customWidth="1"/>
    <col min="14083" max="14083" width="25.7109375" style="157" customWidth="1"/>
    <col min="14084" max="14084" width="14.42578125" style="157" customWidth="1"/>
    <col min="14085" max="14085" width="18.7109375" style="157" customWidth="1"/>
    <col min="14086" max="14087" width="11.42578125" style="157"/>
    <col min="14088" max="14088" width="4.42578125" style="157" customWidth="1"/>
    <col min="14089" max="14336" width="11.42578125" style="157"/>
    <col min="14337" max="14337" width="7.28515625" style="157" customWidth="1"/>
    <col min="14338" max="14338" width="26.7109375" style="157" customWidth="1"/>
    <col min="14339" max="14339" width="25.7109375" style="157" customWidth="1"/>
    <col min="14340" max="14340" width="14.42578125" style="157" customWidth="1"/>
    <col min="14341" max="14341" width="18.7109375" style="157" customWidth="1"/>
    <col min="14342" max="14343" width="11.42578125" style="157"/>
    <col min="14344" max="14344" width="4.42578125" style="157" customWidth="1"/>
    <col min="14345" max="14592" width="11.42578125" style="157"/>
    <col min="14593" max="14593" width="7.28515625" style="157" customWidth="1"/>
    <col min="14594" max="14594" width="26.7109375" style="157" customWidth="1"/>
    <col min="14595" max="14595" width="25.7109375" style="157" customWidth="1"/>
    <col min="14596" max="14596" width="14.42578125" style="157" customWidth="1"/>
    <col min="14597" max="14597" width="18.7109375" style="157" customWidth="1"/>
    <col min="14598" max="14599" width="11.42578125" style="157"/>
    <col min="14600" max="14600" width="4.42578125" style="157" customWidth="1"/>
    <col min="14601" max="14848" width="11.42578125" style="157"/>
    <col min="14849" max="14849" width="7.28515625" style="157" customWidth="1"/>
    <col min="14850" max="14850" width="26.7109375" style="157" customWidth="1"/>
    <col min="14851" max="14851" width="25.7109375" style="157" customWidth="1"/>
    <col min="14852" max="14852" width="14.42578125" style="157" customWidth="1"/>
    <col min="14853" max="14853" width="18.7109375" style="157" customWidth="1"/>
    <col min="14854" max="14855" width="11.42578125" style="157"/>
    <col min="14856" max="14856" width="4.42578125" style="157" customWidth="1"/>
    <col min="14857" max="15104" width="11.42578125" style="157"/>
    <col min="15105" max="15105" width="7.28515625" style="157" customWidth="1"/>
    <col min="15106" max="15106" width="26.7109375" style="157" customWidth="1"/>
    <col min="15107" max="15107" width="25.7109375" style="157" customWidth="1"/>
    <col min="15108" max="15108" width="14.42578125" style="157" customWidth="1"/>
    <col min="15109" max="15109" width="18.7109375" style="157" customWidth="1"/>
    <col min="15110" max="15111" width="11.42578125" style="157"/>
    <col min="15112" max="15112" width="4.42578125" style="157" customWidth="1"/>
    <col min="15113" max="15360" width="11.42578125" style="157"/>
    <col min="15361" max="15361" width="7.28515625" style="157" customWidth="1"/>
    <col min="15362" max="15362" width="26.7109375" style="157" customWidth="1"/>
    <col min="15363" max="15363" width="25.7109375" style="157" customWidth="1"/>
    <col min="15364" max="15364" width="14.42578125" style="157" customWidth="1"/>
    <col min="15365" max="15365" width="18.7109375" style="157" customWidth="1"/>
    <col min="15366" max="15367" width="11.42578125" style="157"/>
    <col min="15368" max="15368" width="4.42578125" style="157" customWidth="1"/>
    <col min="15369" max="15616" width="11.42578125" style="157"/>
    <col min="15617" max="15617" width="7.28515625" style="157" customWidth="1"/>
    <col min="15618" max="15618" width="26.7109375" style="157" customWidth="1"/>
    <col min="15619" max="15619" width="25.7109375" style="157" customWidth="1"/>
    <col min="15620" max="15620" width="14.42578125" style="157" customWidth="1"/>
    <col min="15621" max="15621" width="18.7109375" style="157" customWidth="1"/>
    <col min="15622" max="15623" width="11.42578125" style="157"/>
    <col min="15624" max="15624" width="4.42578125" style="157" customWidth="1"/>
    <col min="15625" max="15872" width="11.42578125" style="157"/>
    <col min="15873" max="15873" width="7.28515625" style="157" customWidth="1"/>
    <col min="15874" max="15874" width="26.7109375" style="157" customWidth="1"/>
    <col min="15875" max="15875" width="25.7109375" style="157" customWidth="1"/>
    <col min="15876" max="15876" width="14.42578125" style="157" customWidth="1"/>
    <col min="15877" max="15877" width="18.7109375" style="157" customWidth="1"/>
    <col min="15878" max="15879" width="11.42578125" style="157"/>
    <col min="15880" max="15880" width="4.42578125" style="157" customWidth="1"/>
    <col min="15881" max="16128" width="11.42578125" style="157"/>
    <col min="16129" max="16129" width="7.28515625" style="157" customWidth="1"/>
    <col min="16130" max="16130" width="26.7109375" style="157" customWidth="1"/>
    <col min="16131" max="16131" width="25.7109375" style="157" customWidth="1"/>
    <col min="16132" max="16132" width="14.42578125" style="157" customWidth="1"/>
    <col min="16133" max="16133" width="18.7109375" style="157" customWidth="1"/>
    <col min="16134" max="16135" width="11.42578125" style="157"/>
    <col min="16136" max="16136" width="4.42578125" style="157" customWidth="1"/>
    <col min="16137" max="16384" width="11.42578125" style="157"/>
  </cols>
  <sheetData>
    <row r="1" spans="1:3" x14ac:dyDescent="0.2">
      <c r="B1" s="573"/>
      <c r="C1" s="573"/>
    </row>
    <row r="2" spans="1:3" x14ac:dyDescent="0.2">
      <c r="B2" s="573"/>
      <c r="C2" s="573"/>
    </row>
    <row r="3" spans="1:3" ht="18" x14ac:dyDescent="0.25">
      <c r="A3" s="570" t="s">
        <v>292</v>
      </c>
      <c r="B3" s="573"/>
      <c r="C3" s="573"/>
    </row>
    <row r="4" spans="1:3" ht="12.75" customHeight="1" x14ac:dyDescent="0.2">
      <c r="B4" s="573"/>
      <c r="C4" s="573"/>
    </row>
    <row r="5" spans="1:3" ht="38.25" customHeight="1" x14ac:dyDescent="0.2">
      <c r="B5" s="809" t="s">
        <v>132</v>
      </c>
      <c r="C5" s="810" t="s">
        <v>293</v>
      </c>
    </row>
    <row r="6" spans="1:3" ht="15" customHeight="1" x14ac:dyDescent="0.2">
      <c r="B6" s="811"/>
      <c r="C6" s="1182"/>
    </row>
    <row r="7" spans="1:3" ht="12.75" customHeight="1" x14ac:dyDescent="0.2">
      <c r="B7" s="1183">
        <v>1995</v>
      </c>
      <c r="C7" s="1184">
        <v>19.7</v>
      </c>
    </row>
    <row r="8" spans="1:3" x14ac:dyDescent="0.2">
      <c r="B8" s="813">
        <v>1996</v>
      </c>
      <c r="C8" s="1185">
        <v>17</v>
      </c>
    </row>
    <row r="9" spans="1:3" x14ac:dyDescent="0.2">
      <c r="B9" s="1183">
        <v>1997</v>
      </c>
      <c r="C9" s="1184">
        <v>14.5</v>
      </c>
    </row>
    <row r="10" spans="1:3" x14ac:dyDescent="0.2">
      <c r="B10" s="813">
        <v>1998</v>
      </c>
      <c r="C10" s="1186">
        <v>12.4</v>
      </c>
    </row>
    <row r="11" spans="1:3" x14ac:dyDescent="0.2">
      <c r="B11" s="1183">
        <v>1999</v>
      </c>
      <c r="C11" s="1184">
        <v>11.3</v>
      </c>
    </row>
    <row r="12" spans="1:3" x14ac:dyDescent="0.2">
      <c r="B12" s="813">
        <v>2000</v>
      </c>
      <c r="C12" s="1186">
        <v>10.4</v>
      </c>
    </row>
    <row r="13" spans="1:3" x14ac:dyDescent="0.2">
      <c r="B13" s="1183">
        <v>2001</v>
      </c>
      <c r="C13" s="1184">
        <v>9.6999999999999993</v>
      </c>
    </row>
    <row r="14" spans="1:3" x14ac:dyDescent="0.2">
      <c r="B14" s="813">
        <v>2002</v>
      </c>
      <c r="C14" s="1185">
        <v>9.1</v>
      </c>
    </row>
    <row r="15" spans="1:3" x14ac:dyDescent="0.2">
      <c r="B15" s="1183">
        <v>2003</v>
      </c>
      <c r="C15" s="1187">
        <v>9.07</v>
      </c>
    </row>
    <row r="16" spans="1:3" x14ac:dyDescent="0.2">
      <c r="B16" s="815">
        <v>2004</v>
      </c>
      <c r="C16" s="1188">
        <v>8.6999999999999993</v>
      </c>
    </row>
    <row r="17" spans="2:3" x14ac:dyDescent="0.2">
      <c r="B17" s="1189">
        <v>2005</v>
      </c>
      <c r="C17" s="1190">
        <v>8.4</v>
      </c>
    </row>
    <row r="18" spans="2:3" x14ac:dyDescent="0.2">
      <c r="B18" s="815">
        <v>2006</v>
      </c>
      <c r="C18" s="1188">
        <v>8.5519999999999996</v>
      </c>
    </row>
    <row r="19" spans="2:3" x14ac:dyDescent="0.2">
      <c r="B19" s="1189">
        <v>2007</v>
      </c>
      <c r="C19" s="1190">
        <v>8.1739999999999995</v>
      </c>
    </row>
    <row r="20" spans="2:3" x14ac:dyDescent="0.2">
      <c r="B20" s="815">
        <v>2008</v>
      </c>
      <c r="C20" s="1188">
        <v>8.0039999999999996</v>
      </c>
    </row>
    <row r="21" spans="2:3" x14ac:dyDescent="0.2">
      <c r="B21" s="1189">
        <v>2009</v>
      </c>
      <c r="C21" s="1190">
        <v>7.85</v>
      </c>
    </row>
    <row r="22" spans="2:3" x14ac:dyDescent="0.2">
      <c r="B22" s="815">
        <v>2010</v>
      </c>
      <c r="C22" s="1188">
        <v>7.81</v>
      </c>
    </row>
    <row r="23" spans="2:3" x14ac:dyDescent="0.2">
      <c r="B23" s="1189">
        <v>2011</v>
      </c>
      <c r="C23" s="1190">
        <v>7.5990000000000002</v>
      </c>
    </row>
    <row r="24" spans="2:3" x14ac:dyDescent="0.2">
      <c r="B24" s="815">
        <v>2012</v>
      </c>
      <c r="C24" s="1188">
        <v>7.7190000000000003</v>
      </c>
    </row>
    <row r="25" spans="2:3" x14ac:dyDescent="0.2">
      <c r="B25" s="1189">
        <v>2013</v>
      </c>
      <c r="C25" s="1190">
        <v>7.468</v>
      </c>
    </row>
    <row r="26" spans="2:3" x14ac:dyDescent="0.2">
      <c r="B26" s="815">
        <v>2014</v>
      </c>
      <c r="C26" s="1188">
        <v>7.4</v>
      </c>
    </row>
    <row r="27" spans="2:3" x14ac:dyDescent="0.2">
      <c r="B27" s="1189" t="s">
        <v>294</v>
      </c>
      <c r="C27" s="1190">
        <v>7.45</v>
      </c>
    </row>
    <row r="28" spans="2:3" ht="13.5" thickBot="1" x14ac:dyDescent="0.25">
      <c r="B28" s="1191"/>
      <c r="C28" s="1192"/>
    </row>
    <row r="29" spans="2:3" ht="18.75" customHeight="1" x14ac:dyDescent="0.2">
      <c r="B29" s="1193" t="s">
        <v>137</v>
      </c>
      <c r="C29" s="1194">
        <f>(C27/C26)-1</f>
        <v>6.7567567567567988E-3</v>
      </c>
    </row>
    <row r="30" spans="2:3" ht="18.75" customHeight="1" x14ac:dyDescent="0.2">
      <c r="B30" s="1195" t="s">
        <v>138</v>
      </c>
      <c r="C30" s="1196">
        <f>((C27/C22)^(1/5))-1</f>
        <v>-9.3937864063762255E-3</v>
      </c>
    </row>
    <row r="31" spans="2:3" ht="18.75" customHeight="1" x14ac:dyDescent="0.2">
      <c r="B31" s="1197" t="s">
        <v>144</v>
      </c>
      <c r="C31" s="1198">
        <f>(C27/C17)-1</f>
        <v>-0.11309523809523814</v>
      </c>
    </row>
    <row r="32" spans="2:3" ht="18.75" customHeight="1" x14ac:dyDescent="0.2">
      <c r="B32" s="1199" t="s">
        <v>140</v>
      </c>
      <c r="C32" s="1200">
        <f>((C27/C17)^(1/10))-1</f>
        <v>-1.1930033400898377E-2</v>
      </c>
    </row>
    <row r="33" spans="2:2" s="573" customFormat="1" x14ac:dyDescent="0.2"/>
    <row r="34" spans="2:2" s="573" customFormat="1" x14ac:dyDescent="0.2">
      <c r="B34" s="643"/>
    </row>
    <row r="35" spans="2:2" s="573" customFormat="1" x14ac:dyDescent="0.2"/>
    <row r="36" spans="2:2" s="573" customFormat="1" x14ac:dyDescent="0.2"/>
    <row r="37" spans="2:2" s="573" customFormat="1" x14ac:dyDescent="0.2"/>
    <row r="38" spans="2:2" s="573" customFormat="1" x14ac:dyDescent="0.2"/>
    <row r="39" spans="2:2" s="573" customFormat="1" x14ac:dyDescent="0.2"/>
    <row r="40" spans="2:2" s="573" customFormat="1" x14ac:dyDescent="0.2"/>
    <row r="41" spans="2:2" s="573" customFormat="1" x14ac:dyDescent="0.2"/>
    <row r="42" spans="2:2" s="573" customFormat="1" x14ac:dyDescent="0.2"/>
    <row r="43" spans="2:2" s="573" customFormat="1" x14ac:dyDescent="0.2"/>
    <row r="44" spans="2:2" s="573" customFormat="1" x14ac:dyDescent="0.2"/>
    <row r="45" spans="2:2" s="573" customFormat="1" x14ac:dyDescent="0.2"/>
    <row r="46" spans="2:2" s="573" customFormat="1" x14ac:dyDescent="0.2"/>
    <row r="47" spans="2:2" s="573" customFormat="1" x14ac:dyDescent="0.2"/>
    <row r="48" spans="2:2" s="573" customFormat="1" x14ac:dyDescent="0.2"/>
    <row r="49" spans="2:2" s="573" customFormat="1" x14ac:dyDescent="0.2"/>
    <row r="50" spans="2:2" s="573" customFormat="1" x14ac:dyDescent="0.2"/>
    <row r="51" spans="2:2" s="573" customFormat="1" x14ac:dyDescent="0.2"/>
    <row r="52" spans="2:2" s="573" customFormat="1" x14ac:dyDescent="0.2"/>
    <row r="53" spans="2:2" s="573" customFormat="1" x14ac:dyDescent="0.2"/>
    <row r="54" spans="2:2" s="573" customFormat="1" x14ac:dyDescent="0.2"/>
    <row r="55" spans="2:2" s="573" customFormat="1" x14ac:dyDescent="0.2"/>
    <row r="56" spans="2:2" s="573" customFormat="1" x14ac:dyDescent="0.2"/>
    <row r="57" spans="2:2" s="573" customFormat="1" x14ac:dyDescent="0.2"/>
    <row r="58" spans="2:2" s="573" customFormat="1" x14ac:dyDescent="0.2"/>
    <row r="59" spans="2:2" s="573" customFormat="1" ht="23.25" x14ac:dyDescent="0.35">
      <c r="B59" s="1425"/>
    </row>
    <row r="63" spans="2:2" x14ac:dyDescent="0.2">
      <c r="B63" s="821"/>
    </row>
  </sheetData>
  <printOptions horizontalCentered="1"/>
  <pageMargins left="0.55118110236220474" right="0.43307086614173229" top="0.39370078740157483" bottom="0.19685039370078741" header="0" footer="0"/>
  <pageSetup paperSize="9" scale="85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9"/>
  <sheetViews>
    <sheetView view="pageBreakPreview" zoomScaleNormal="100" zoomScaleSheetLayoutView="100" workbookViewId="0">
      <selection activeCell="C33" sqref="C33"/>
    </sheetView>
  </sheetViews>
  <sheetFormatPr baseColWidth="10" defaultRowHeight="12.75" x14ac:dyDescent="0.2"/>
  <cols>
    <col min="1" max="1" width="7.28515625" style="157" customWidth="1"/>
    <col min="2" max="2" width="22.42578125" style="157" customWidth="1"/>
    <col min="3" max="7" width="16.140625" style="157" customWidth="1"/>
    <col min="8" max="8" width="16.85546875" style="157" customWidth="1"/>
    <col min="9" max="9" width="13.85546875" style="157" customWidth="1"/>
    <col min="10" max="10" width="15.85546875" style="157" customWidth="1"/>
    <col min="11" max="12" width="13.42578125" style="157" customWidth="1"/>
    <col min="13" max="13" width="12.42578125" style="157" customWidth="1"/>
    <col min="14" max="14" width="12.7109375" style="162" bestFit="1" customWidth="1"/>
    <col min="15" max="15" width="13.42578125" style="157" bestFit="1" customWidth="1"/>
    <col min="16" max="256" width="11.42578125" style="157"/>
    <col min="257" max="257" width="7.28515625" style="157" customWidth="1"/>
    <col min="258" max="258" width="22.42578125" style="157" customWidth="1"/>
    <col min="259" max="263" width="16.140625" style="157" customWidth="1"/>
    <col min="264" max="264" width="16.85546875" style="157" customWidth="1"/>
    <col min="265" max="265" width="13.85546875" style="157" customWidth="1"/>
    <col min="266" max="266" width="15.85546875" style="157" customWidth="1"/>
    <col min="267" max="268" width="13.42578125" style="157" customWidth="1"/>
    <col min="269" max="269" width="12.42578125" style="157" customWidth="1"/>
    <col min="270" max="270" width="12.7109375" style="157" bestFit="1" customWidth="1"/>
    <col min="271" max="271" width="13.42578125" style="157" bestFit="1" customWidth="1"/>
    <col min="272" max="512" width="11.42578125" style="157"/>
    <col min="513" max="513" width="7.28515625" style="157" customWidth="1"/>
    <col min="514" max="514" width="22.42578125" style="157" customWidth="1"/>
    <col min="515" max="519" width="16.140625" style="157" customWidth="1"/>
    <col min="520" max="520" width="16.85546875" style="157" customWidth="1"/>
    <col min="521" max="521" width="13.85546875" style="157" customWidth="1"/>
    <col min="522" max="522" width="15.85546875" style="157" customWidth="1"/>
    <col min="523" max="524" width="13.42578125" style="157" customWidth="1"/>
    <col min="525" max="525" width="12.42578125" style="157" customWidth="1"/>
    <col min="526" max="526" width="12.7109375" style="157" bestFit="1" customWidth="1"/>
    <col min="527" max="527" width="13.42578125" style="157" bestFit="1" customWidth="1"/>
    <col min="528" max="768" width="11.42578125" style="157"/>
    <col min="769" max="769" width="7.28515625" style="157" customWidth="1"/>
    <col min="770" max="770" width="22.42578125" style="157" customWidth="1"/>
    <col min="771" max="775" width="16.140625" style="157" customWidth="1"/>
    <col min="776" max="776" width="16.85546875" style="157" customWidth="1"/>
    <col min="777" max="777" width="13.85546875" style="157" customWidth="1"/>
    <col min="778" max="778" width="15.85546875" style="157" customWidth="1"/>
    <col min="779" max="780" width="13.42578125" style="157" customWidth="1"/>
    <col min="781" max="781" width="12.42578125" style="157" customWidth="1"/>
    <col min="782" max="782" width="12.7109375" style="157" bestFit="1" customWidth="1"/>
    <col min="783" max="783" width="13.42578125" style="157" bestFit="1" customWidth="1"/>
    <col min="784" max="1024" width="11.42578125" style="157"/>
    <col min="1025" max="1025" width="7.28515625" style="157" customWidth="1"/>
    <col min="1026" max="1026" width="22.42578125" style="157" customWidth="1"/>
    <col min="1027" max="1031" width="16.140625" style="157" customWidth="1"/>
    <col min="1032" max="1032" width="16.85546875" style="157" customWidth="1"/>
    <col min="1033" max="1033" width="13.85546875" style="157" customWidth="1"/>
    <col min="1034" max="1034" width="15.85546875" style="157" customWidth="1"/>
    <col min="1035" max="1036" width="13.42578125" style="157" customWidth="1"/>
    <col min="1037" max="1037" width="12.42578125" style="157" customWidth="1"/>
    <col min="1038" max="1038" width="12.7109375" style="157" bestFit="1" customWidth="1"/>
    <col min="1039" max="1039" width="13.42578125" style="157" bestFit="1" customWidth="1"/>
    <col min="1040" max="1280" width="11.42578125" style="157"/>
    <col min="1281" max="1281" width="7.28515625" style="157" customWidth="1"/>
    <col min="1282" max="1282" width="22.42578125" style="157" customWidth="1"/>
    <col min="1283" max="1287" width="16.140625" style="157" customWidth="1"/>
    <col min="1288" max="1288" width="16.85546875" style="157" customWidth="1"/>
    <col min="1289" max="1289" width="13.85546875" style="157" customWidth="1"/>
    <col min="1290" max="1290" width="15.85546875" style="157" customWidth="1"/>
    <col min="1291" max="1292" width="13.42578125" style="157" customWidth="1"/>
    <col min="1293" max="1293" width="12.42578125" style="157" customWidth="1"/>
    <col min="1294" max="1294" width="12.7109375" style="157" bestFit="1" customWidth="1"/>
    <col min="1295" max="1295" width="13.42578125" style="157" bestFit="1" customWidth="1"/>
    <col min="1296" max="1536" width="11.42578125" style="157"/>
    <col min="1537" max="1537" width="7.28515625" style="157" customWidth="1"/>
    <col min="1538" max="1538" width="22.42578125" style="157" customWidth="1"/>
    <col min="1539" max="1543" width="16.140625" style="157" customWidth="1"/>
    <col min="1544" max="1544" width="16.85546875" style="157" customWidth="1"/>
    <col min="1545" max="1545" width="13.85546875" style="157" customWidth="1"/>
    <col min="1546" max="1546" width="15.85546875" style="157" customWidth="1"/>
    <col min="1547" max="1548" width="13.42578125" style="157" customWidth="1"/>
    <col min="1549" max="1549" width="12.42578125" style="157" customWidth="1"/>
    <col min="1550" max="1550" width="12.7109375" style="157" bestFit="1" customWidth="1"/>
    <col min="1551" max="1551" width="13.42578125" style="157" bestFit="1" customWidth="1"/>
    <col min="1552" max="1792" width="11.42578125" style="157"/>
    <col min="1793" max="1793" width="7.28515625" style="157" customWidth="1"/>
    <col min="1794" max="1794" width="22.42578125" style="157" customWidth="1"/>
    <col min="1795" max="1799" width="16.140625" style="157" customWidth="1"/>
    <col min="1800" max="1800" width="16.85546875" style="157" customWidth="1"/>
    <col min="1801" max="1801" width="13.85546875" style="157" customWidth="1"/>
    <col min="1802" max="1802" width="15.85546875" style="157" customWidth="1"/>
    <col min="1803" max="1804" width="13.42578125" style="157" customWidth="1"/>
    <col min="1805" max="1805" width="12.42578125" style="157" customWidth="1"/>
    <col min="1806" max="1806" width="12.7109375" style="157" bestFit="1" customWidth="1"/>
    <col min="1807" max="1807" width="13.42578125" style="157" bestFit="1" customWidth="1"/>
    <col min="1808" max="2048" width="11.42578125" style="157"/>
    <col min="2049" max="2049" width="7.28515625" style="157" customWidth="1"/>
    <col min="2050" max="2050" width="22.42578125" style="157" customWidth="1"/>
    <col min="2051" max="2055" width="16.140625" style="157" customWidth="1"/>
    <col min="2056" max="2056" width="16.85546875" style="157" customWidth="1"/>
    <col min="2057" max="2057" width="13.85546875" style="157" customWidth="1"/>
    <col min="2058" max="2058" width="15.85546875" style="157" customWidth="1"/>
    <col min="2059" max="2060" width="13.42578125" style="157" customWidth="1"/>
    <col min="2061" max="2061" width="12.42578125" style="157" customWidth="1"/>
    <col min="2062" max="2062" width="12.7109375" style="157" bestFit="1" customWidth="1"/>
    <col min="2063" max="2063" width="13.42578125" style="157" bestFit="1" customWidth="1"/>
    <col min="2064" max="2304" width="11.42578125" style="157"/>
    <col min="2305" max="2305" width="7.28515625" style="157" customWidth="1"/>
    <col min="2306" max="2306" width="22.42578125" style="157" customWidth="1"/>
    <col min="2307" max="2311" width="16.140625" style="157" customWidth="1"/>
    <col min="2312" max="2312" width="16.85546875" style="157" customWidth="1"/>
    <col min="2313" max="2313" width="13.85546875" style="157" customWidth="1"/>
    <col min="2314" max="2314" width="15.85546875" style="157" customWidth="1"/>
    <col min="2315" max="2316" width="13.42578125" style="157" customWidth="1"/>
    <col min="2317" max="2317" width="12.42578125" style="157" customWidth="1"/>
    <col min="2318" max="2318" width="12.7109375" style="157" bestFit="1" customWidth="1"/>
    <col min="2319" max="2319" width="13.42578125" style="157" bestFit="1" customWidth="1"/>
    <col min="2320" max="2560" width="11.42578125" style="157"/>
    <col min="2561" max="2561" width="7.28515625" style="157" customWidth="1"/>
    <col min="2562" max="2562" width="22.42578125" style="157" customWidth="1"/>
    <col min="2563" max="2567" width="16.140625" style="157" customWidth="1"/>
    <col min="2568" max="2568" width="16.85546875" style="157" customWidth="1"/>
    <col min="2569" max="2569" width="13.85546875" style="157" customWidth="1"/>
    <col min="2570" max="2570" width="15.85546875" style="157" customWidth="1"/>
    <col min="2571" max="2572" width="13.42578125" style="157" customWidth="1"/>
    <col min="2573" max="2573" width="12.42578125" style="157" customWidth="1"/>
    <col min="2574" max="2574" width="12.7109375" style="157" bestFit="1" customWidth="1"/>
    <col min="2575" max="2575" width="13.42578125" style="157" bestFit="1" customWidth="1"/>
    <col min="2576" max="2816" width="11.42578125" style="157"/>
    <col min="2817" max="2817" width="7.28515625" style="157" customWidth="1"/>
    <col min="2818" max="2818" width="22.42578125" style="157" customWidth="1"/>
    <col min="2819" max="2823" width="16.140625" style="157" customWidth="1"/>
    <col min="2824" max="2824" width="16.85546875" style="157" customWidth="1"/>
    <col min="2825" max="2825" width="13.85546875" style="157" customWidth="1"/>
    <col min="2826" max="2826" width="15.85546875" style="157" customWidth="1"/>
    <col min="2827" max="2828" width="13.42578125" style="157" customWidth="1"/>
    <col min="2829" max="2829" width="12.42578125" style="157" customWidth="1"/>
    <col min="2830" max="2830" width="12.7109375" style="157" bestFit="1" customWidth="1"/>
    <col min="2831" max="2831" width="13.42578125" style="157" bestFit="1" customWidth="1"/>
    <col min="2832" max="3072" width="11.42578125" style="157"/>
    <col min="3073" max="3073" width="7.28515625" style="157" customWidth="1"/>
    <col min="3074" max="3074" width="22.42578125" style="157" customWidth="1"/>
    <col min="3075" max="3079" width="16.140625" style="157" customWidth="1"/>
    <col min="3080" max="3080" width="16.85546875" style="157" customWidth="1"/>
    <col min="3081" max="3081" width="13.85546875" style="157" customWidth="1"/>
    <col min="3082" max="3082" width="15.85546875" style="157" customWidth="1"/>
    <col min="3083" max="3084" width="13.42578125" style="157" customWidth="1"/>
    <col min="3085" max="3085" width="12.42578125" style="157" customWidth="1"/>
    <col min="3086" max="3086" width="12.7109375" style="157" bestFit="1" customWidth="1"/>
    <col min="3087" max="3087" width="13.42578125" style="157" bestFit="1" customWidth="1"/>
    <col min="3088" max="3328" width="11.42578125" style="157"/>
    <col min="3329" max="3329" width="7.28515625" style="157" customWidth="1"/>
    <col min="3330" max="3330" width="22.42578125" style="157" customWidth="1"/>
    <col min="3331" max="3335" width="16.140625" style="157" customWidth="1"/>
    <col min="3336" max="3336" width="16.85546875" style="157" customWidth="1"/>
    <col min="3337" max="3337" width="13.85546875" style="157" customWidth="1"/>
    <col min="3338" max="3338" width="15.85546875" style="157" customWidth="1"/>
    <col min="3339" max="3340" width="13.42578125" style="157" customWidth="1"/>
    <col min="3341" max="3341" width="12.42578125" style="157" customWidth="1"/>
    <col min="3342" max="3342" width="12.7109375" style="157" bestFit="1" customWidth="1"/>
    <col min="3343" max="3343" width="13.42578125" style="157" bestFit="1" customWidth="1"/>
    <col min="3344" max="3584" width="11.42578125" style="157"/>
    <col min="3585" max="3585" width="7.28515625" style="157" customWidth="1"/>
    <col min="3586" max="3586" width="22.42578125" style="157" customWidth="1"/>
    <col min="3587" max="3591" width="16.140625" style="157" customWidth="1"/>
    <col min="3592" max="3592" width="16.85546875" style="157" customWidth="1"/>
    <col min="3593" max="3593" width="13.85546875" style="157" customWidth="1"/>
    <col min="3594" max="3594" width="15.85546875" style="157" customWidth="1"/>
    <col min="3595" max="3596" width="13.42578125" style="157" customWidth="1"/>
    <col min="3597" max="3597" width="12.42578125" style="157" customWidth="1"/>
    <col min="3598" max="3598" width="12.7109375" style="157" bestFit="1" customWidth="1"/>
    <col min="3599" max="3599" width="13.42578125" style="157" bestFit="1" customWidth="1"/>
    <col min="3600" max="3840" width="11.42578125" style="157"/>
    <col min="3841" max="3841" width="7.28515625" style="157" customWidth="1"/>
    <col min="3842" max="3842" width="22.42578125" style="157" customWidth="1"/>
    <col min="3843" max="3847" width="16.140625" style="157" customWidth="1"/>
    <col min="3848" max="3848" width="16.85546875" style="157" customWidth="1"/>
    <col min="3849" max="3849" width="13.85546875" style="157" customWidth="1"/>
    <col min="3850" max="3850" width="15.85546875" style="157" customWidth="1"/>
    <col min="3851" max="3852" width="13.42578125" style="157" customWidth="1"/>
    <col min="3853" max="3853" width="12.42578125" style="157" customWidth="1"/>
    <col min="3854" max="3854" width="12.7109375" style="157" bestFit="1" customWidth="1"/>
    <col min="3855" max="3855" width="13.42578125" style="157" bestFit="1" customWidth="1"/>
    <col min="3856" max="4096" width="11.42578125" style="157"/>
    <col min="4097" max="4097" width="7.28515625" style="157" customWidth="1"/>
    <col min="4098" max="4098" width="22.42578125" style="157" customWidth="1"/>
    <col min="4099" max="4103" width="16.140625" style="157" customWidth="1"/>
    <col min="4104" max="4104" width="16.85546875" style="157" customWidth="1"/>
    <col min="4105" max="4105" width="13.85546875" style="157" customWidth="1"/>
    <col min="4106" max="4106" width="15.85546875" style="157" customWidth="1"/>
    <col min="4107" max="4108" width="13.42578125" style="157" customWidth="1"/>
    <col min="4109" max="4109" width="12.42578125" style="157" customWidth="1"/>
    <col min="4110" max="4110" width="12.7109375" style="157" bestFit="1" customWidth="1"/>
    <col min="4111" max="4111" width="13.42578125" style="157" bestFit="1" customWidth="1"/>
    <col min="4112" max="4352" width="11.42578125" style="157"/>
    <col min="4353" max="4353" width="7.28515625" style="157" customWidth="1"/>
    <col min="4354" max="4354" width="22.42578125" style="157" customWidth="1"/>
    <col min="4355" max="4359" width="16.140625" style="157" customWidth="1"/>
    <col min="4360" max="4360" width="16.85546875" style="157" customWidth="1"/>
    <col min="4361" max="4361" width="13.85546875" style="157" customWidth="1"/>
    <col min="4362" max="4362" width="15.85546875" style="157" customWidth="1"/>
    <col min="4363" max="4364" width="13.42578125" style="157" customWidth="1"/>
    <col min="4365" max="4365" width="12.42578125" style="157" customWidth="1"/>
    <col min="4366" max="4366" width="12.7109375" style="157" bestFit="1" customWidth="1"/>
    <col min="4367" max="4367" width="13.42578125" style="157" bestFit="1" customWidth="1"/>
    <col min="4368" max="4608" width="11.42578125" style="157"/>
    <col min="4609" max="4609" width="7.28515625" style="157" customWidth="1"/>
    <col min="4610" max="4610" width="22.42578125" style="157" customWidth="1"/>
    <col min="4611" max="4615" width="16.140625" style="157" customWidth="1"/>
    <col min="4616" max="4616" width="16.85546875" style="157" customWidth="1"/>
    <col min="4617" max="4617" width="13.85546875" style="157" customWidth="1"/>
    <col min="4618" max="4618" width="15.85546875" style="157" customWidth="1"/>
    <col min="4619" max="4620" width="13.42578125" style="157" customWidth="1"/>
    <col min="4621" max="4621" width="12.42578125" style="157" customWidth="1"/>
    <col min="4622" max="4622" width="12.7109375" style="157" bestFit="1" customWidth="1"/>
    <col min="4623" max="4623" width="13.42578125" style="157" bestFit="1" customWidth="1"/>
    <col min="4624" max="4864" width="11.42578125" style="157"/>
    <col min="4865" max="4865" width="7.28515625" style="157" customWidth="1"/>
    <col min="4866" max="4866" width="22.42578125" style="157" customWidth="1"/>
    <col min="4867" max="4871" width="16.140625" style="157" customWidth="1"/>
    <col min="4872" max="4872" width="16.85546875" style="157" customWidth="1"/>
    <col min="4873" max="4873" width="13.85546875" style="157" customWidth="1"/>
    <col min="4874" max="4874" width="15.85546875" style="157" customWidth="1"/>
    <col min="4875" max="4876" width="13.42578125" style="157" customWidth="1"/>
    <col min="4877" max="4877" width="12.42578125" style="157" customWidth="1"/>
    <col min="4878" max="4878" width="12.7109375" style="157" bestFit="1" customWidth="1"/>
    <col min="4879" max="4879" width="13.42578125" style="157" bestFit="1" customWidth="1"/>
    <col min="4880" max="5120" width="11.42578125" style="157"/>
    <col min="5121" max="5121" width="7.28515625" style="157" customWidth="1"/>
    <col min="5122" max="5122" width="22.42578125" style="157" customWidth="1"/>
    <col min="5123" max="5127" width="16.140625" style="157" customWidth="1"/>
    <col min="5128" max="5128" width="16.85546875" style="157" customWidth="1"/>
    <col min="5129" max="5129" width="13.85546875" style="157" customWidth="1"/>
    <col min="5130" max="5130" width="15.85546875" style="157" customWidth="1"/>
    <col min="5131" max="5132" width="13.42578125" style="157" customWidth="1"/>
    <col min="5133" max="5133" width="12.42578125" style="157" customWidth="1"/>
    <col min="5134" max="5134" width="12.7109375" style="157" bestFit="1" customWidth="1"/>
    <col min="5135" max="5135" width="13.42578125" style="157" bestFit="1" customWidth="1"/>
    <col min="5136" max="5376" width="11.42578125" style="157"/>
    <col min="5377" max="5377" width="7.28515625" style="157" customWidth="1"/>
    <col min="5378" max="5378" width="22.42578125" style="157" customWidth="1"/>
    <col min="5379" max="5383" width="16.140625" style="157" customWidth="1"/>
    <col min="5384" max="5384" width="16.85546875" style="157" customWidth="1"/>
    <col min="5385" max="5385" width="13.85546875" style="157" customWidth="1"/>
    <col min="5386" max="5386" width="15.85546875" style="157" customWidth="1"/>
    <col min="5387" max="5388" width="13.42578125" style="157" customWidth="1"/>
    <col min="5389" max="5389" width="12.42578125" style="157" customWidth="1"/>
    <col min="5390" max="5390" width="12.7109375" style="157" bestFit="1" customWidth="1"/>
    <col min="5391" max="5391" width="13.42578125" style="157" bestFit="1" customWidth="1"/>
    <col min="5392" max="5632" width="11.42578125" style="157"/>
    <col min="5633" max="5633" width="7.28515625" style="157" customWidth="1"/>
    <col min="5634" max="5634" width="22.42578125" style="157" customWidth="1"/>
    <col min="5635" max="5639" width="16.140625" style="157" customWidth="1"/>
    <col min="5640" max="5640" width="16.85546875" style="157" customWidth="1"/>
    <col min="5641" max="5641" width="13.85546875" style="157" customWidth="1"/>
    <col min="5642" max="5642" width="15.85546875" style="157" customWidth="1"/>
    <col min="5643" max="5644" width="13.42578125" style="157" customWidth="1"/>
    <col min="5645" max="5645" width="12.42578125" style="157" customWidth="1"/>
    <col min="5646" max="5646" width="12.7109375" style="157" bestFit="1" customWidth="1"/>
    <col min="5647" max="5647" width="13.42578125" style="157" bestFit="1" customWidth="1"/>
    <col min="5648" max="5888" width="11.42578125" style="157"/>
    <col min="5889" max="5889" width="7.28515625" style="157" customWidth="1"/>
    <col min="5890" max="5890" width="22.42578125" style="157" customWidth="1"/>
    <col min="5891" max="5895" width="16.140625" style="157" customWidth="1"/>
    <col min="5896" max="5896" width="16.85546875" style="157" customWidth="1"/>
    <col min="5897" max="5897" width="13.85546875" style="157" customWidth="1"/>
    <col min="5898" max="5898" width="15.85546875" style="157" customWidth="1"/>
    <col min="5899" max="5900" width="13.42578125" style="157" customWidth="1"/>
    <col min="5901" max="5901" width="12.42578125" style="157" customWidth="1"/>
    <col min="5902" max="5902" width="12.7109375" style="157" bestFit="1" customWidth="1"/>
    <col min="5903" max="5903" width="13.42578125" style="157" bestFit="1" customWidth="1"/>
    <col min="5904" max="6144" width="11.42578125" style="157"/>
    <col min="6145" max="6145" width="7.28515625" style="157" customWidth="1"/>
    <col min="6146" max="6146" width="22.42578125" style="157" customWidth="1"/>
    <col min="6147" max="6151" width="16.140625" style="157" customWidth="1"/>
    <col min="6152" max="6152" width="16.85546875" style="157" customWidth="1"/>
    <col min="6153" max="6153" width="13.85546875" style="157" customWidth="1"/>
    <col min="6154" max="6154" width="15.85546875" style="157" customWidth="1"/>
    <col min="6155" max="6156" width="13.42578125" style="157" customWidth="1"/>
    <col min="6157" max="6157" width="12.42578125" style="157" customWidth="1"/>
    <col min="6158" max="6158" width="12.7109375" style="157" bestFit="1" customWidth="1"/>
    <col min="6159" max="6159" width="13.42578125" style="157" bestFit="1" customWidth="1"/>
    <col min="6160" max="6400" width="11.42578125" style="157"/>
    <col min="6401" max="6401" width="7.28515625" style="157" customWidth="1"/>
    <col min="6402" max="6402" width="22.42578125" style="157" customWidth="1"/>
    <col min="6403" max="6407" width="16.140625" style="157" customWidth="1"/>
    <col min="6408" max="6408" width="16.85546875" style="157" customWidth="1"/>
    <col min="6409" max="6409" width="13.85546875" style="157" customWidth="1"/>
    <col min="6410" max="6410" width="15.85546875" style="157" customWidth="1"/>
    <col min="6411" max="6412" width="13.42578125" style="157" customWidth="1"/>
    <col min="6413" max="6413" width="12.42578125" style="157" customWidth="1"/>
    <col min="6414" max="6414" width="12.7109375" style="157" bestFit="1" customWidth="1"/>
    <col min="6415" max="6415" width="13.42578125" style="157" bestFit="1" customWidth="1"/>
    <col min="6416" max="6656" width="11.42578125" style="157"/>
    <col min="6657" max="6657" width="7.28515625" style="157" customWidth="1"/>
    <col min="6658" max="6658" width="22.42578125" style="157" customWidth="1"/>
    <col min="6659" max="6663" width="16.140625" style="157" customWidth="1"/>
    <col min="6664" max="6664" width="16.85546875" style="157" customWidth="1"/>
    <col min="6665" max="6665" width="13.85546875" style="157" customWidth="1"/>
    <col min="6666" max="6666" width="15.85546875" style="157" customWidth="1"/>
    <col min="6667" max="6668" width="13.42578125" style="157" customWidth="1"/>
    <col min="6669" max="6669" width="12.42578125" style="157" customWidth="1"/>
    <col min="6670" max="6670" width="12.7109375" style="157" bestFit="1" customWidth="1"/>
    <col min="6671" max="6671" width="13.42578125" style="157" bestFit="1" customWidth="1"/>
    <col min="6672" max="6912" width="11.42578125" style="157"/>
    <col min="6913" max="6913" width="7.28515625" style="157" customWidth="1"/>
    <col min="6914" max="6914" width="22.42578125" style="157" customWidth="1"/>
    <col min="6915" max="6919" width="16.140625" style="157" customWidth="1"/>
    <col min="6920" max="6920" width="16.85546875" style="157" customWidth="1"/>
    <col min="6921" max="6921" width="13.85546875" style="157" customWidth="1"/>
    <col min="6922" max="6922" width="15.85546875" style="157" customWidth="1"/>
    <col min="6923" max="6924" width="13.42578125" style="157" customWidth="1"/>
    <col min="6925" max="6925" width="12.42578125" style="157" customWidth="1"/>
    <col min="6926" max="6926" width="12.7109375" style="157" bestFit="1" customWidth="1"/>
    <col min="6927" max="6927" width="13.42578125" style="157" bestFit="1" customWidth="1"/>
    <col min="6928" max="7168" width="11.42578125" style="157"/>
    <col min="7169" max="7169" width="7.28515625" style="157" customWidth="1"/>
    <col min="7170" max="7170" width="22.42578125" style="157" customWidth="1"/>
    <col min="7171" max="7175" width="16.140625" style="157" customWidth="1"/>
    <col min="7176" max="7176" width="16.85546875" style="157" customWidth="1"/>
    <col min="7177" max="7177" width="13.85546875" style="157" customWidth="1"/>
    <col min="7178" max="7178" width="15.85546875" style="157" customWidth="1"/>
    <col min="7179" max="7180" width="13.42578125" style="157" customWidth="1"/>
    <col min="7181" max="7181" width="12.42578125" style="157" customWidth="1"/>
    <col min="7182" max="7182" width="12.7109375" style="157" bestFit="1" customWidth="1"/>
    <col min="7183" max="7183" width="13.42578125" style="157" bestFit="1" customWidth="1"/>
    <col min="7184" max="7424" width="11.42578125" style="157"/>
    <col min="7425" max="7425" width="7.28515625" style="157" customWidth="1"/>
    <col min="7426" max="7426" width="22.42578125" style="157" customWidth="1"/>
    <col min="7427" max="7431" width="16.140625" style="157" customWidth="1"/>
    <col min="7432" max="7432" width="16.85546875" style="157" customWidth="1"/>
    <col min="7433" max="7433" width="13.85546875" style="157" customWidth="1"/>
    <col min="7434" max="7434" width="15.85546875" style="157" customWidth="1"/>
    <col min="7435" max="7436" width="13.42578125" style="157" customWidth="1"/>
    <col min="7437" max="7437" width="12.42578125" style="157" customWidth="1"/>
    <col min="7438" max="7438" width="12.7109375" style="157" bestFit="1" customWidth="1"/>
    <col min="7439" max="7439" width="13.42578125" style="157" bestFit="1" customWidth="1"/>
    <col min="7440" max="7680" width="11.42578125" style="157"/>
    <col min="7681" max="7681" width="7.28515625" style="157" customWidth="1"/>
    <col min="7682" max="7682" width="22.42578125" style="157" customWidth="1"/>
    <col min="7683" max="7687" width="16.140625" style="157" customWidth="1"/>
    <col min="7688" max="7688" width="16.85546875" style="157" customWidth="1"/>
    <col min="7689" max="7689" width="13.85546875" style="157" customWidth="1"/>
    <col min="7690" max="7690" width="15.85546875" style="157" customWidth="1"/>
    <col min="7691" max="7692" width="13.42578125" style="157" customWidth="1"/>
    <col min="7693" max="7693" width="12.42578125" style="157" customWidth="1"/>
    <col min="7694" max="7694" width="12.7109375" style="157" bestFit="1" customWidth="1"/>
    <col min="7695" max="7695" width="13.42578125" style="157" bestFit="1" customWidth="1"/>
    <col min="7696" max="7936" width="11.42578125" style="157"/>
    <col min="7937" max="7937" width="7.28515625" style="157" customWidth="1"/>
    <col min="7938" max="7938" width="22.42578125" style="157" customWidth="1"/>
    <col min="7939" max="7943" width="16.140625" style="157" customWidth="1"/>
    <col min="7944" max="7944" width="16.85546875" style="157" customWidth="1"/>
    <col min="7945" max="7945" width="13.85546875" style="157" customWidth="1"/>
    <col min="7946" max="7946" width="15.85546875" style="157" customWidth="1"/>
    <col min="7947" max="7948" width="13.42578125" style="157" customWidth="1"/>
    <col min="7949" max="7949" width="12.42578125" style="157" customWidth="1"/>
    <col min="7950" max="7950" width="12.7109375" style="157" bestFit="1" customWidth="1"/>
    <col min="7951" max="7951" width="13.42578125" style="157" bestFit="1" customWidth="1"/>
    <col min="7952" max="8192" width="11.42578125" style="157"/>
    <col min="8193" max="8193" width="7.28515625" style="157" customWidth="1"/>
    <col min="8194" max="8194" width="22.42578125" style="157" customWidth="1"/>
    <col min="8195" max="8199" width="16.140625" style="157" customWidth="1"/>
    <col min="8200" max="8200" width="16.85546875" style="157" customWidth="1"/>
    <col min="8201" max="8201" width="13.85546875" style="157" customWidth="1"/>
    <col min="8202" max="8202" width="15.85546875" style="157" customWidth="1"/>
    <col min="8203" max="8204" width="13.42578125" style="157" customWidth="1"/>
    <col min="8205" max="8205" width="12.42578125" style="157" customWidth="1"/>
    <col min="8206" max="8206" width="12.7109375" style="157" bestFit="1" customWidth="1"/>
    <col min="8207" max="8207" width="13.42578125" style="157" bestFit="1" customWidth="1"/>
    <col min="8208" max="8448" width="11.42578125" style="157"/>
    <col min="8449" max="8449" width="7.28515625" style="157" customWidth="1"/>
    <col min="8450" max="8450" width="22.42578125" style="157" customWidth="1"/>
    <col min="8451" max="8455" width="16.140625" style="157" customWidth="1"/>
    <col min="8456" max="8456" width="16.85546875" style="157" customWidth="1"/>
    <col min="8457" max="8457" width="13.85546875" style="157" customWidth="1"/>
    <col min="8458" max="8458" width="15.85546875" style="157" customWidth="1"/>
    <col min="8459" max="8460" width="13.42578125" style="157" customWidth="1"/>
    <col min="8461" max="8461" width="12.42578125" style="157" customWidth="1"/>
    <col min="8462" max="8462" width="12.7109375" style="157" bestFit="1" customWidth="1"/>
    <col min="8463" max="8463" width="13.42578125" style="157" bestFit="1" customWidth="1"/>
    <col min="8464" max="8704" width="11.42578125" style="157"/>
    <col min="8705" max="8705" width="7.28515625" style="157" customWidth="1"/>
    <col min="8706" max="8706" width="22.42578125" style="157" customWidth="1"/>
    <col min="8707" max="8711" width="16.140625" style="157" customWidth="1"/>
    <col min="8712" max="8712" width="16.85546875" style="157" customWidth="1"/>
    <col min="8713" max="8713" width="13.85546875" style="157" customWidth="1"/>
    <col min="8714" max="8714" width="15.85546875" style="157" customWidth="1"/>
    <col min="8715" max="8716" width="13.42578125" style="157" customWidth="1"/>
    <col min="8717" max="8717" width="12.42578125" style="157" customWidth="1"/>
    <col min="8718" max="8718" width="12.7109375" style="157" bestFit="1" customWidth="1"/>
    <col min="8719" max="8719" width="13.42578125" style="157" bestFit="1" customWidth="1"/>
    <col min="8720" max="8960" width="11.42578125" style="157"/>
    <col min="8961" max="8961" width="7.28515625" style="157" customWidth="1"/>
    <col min="8962" max="8962" width="22.42578125" style="157" customWidth="1"/>
    <col min="8963" max="8967" width="16.140625" style="157" customWidth="1"/>
    <col min="8968" max="8968" width="16.85546875" style="157" customWidth="1"/>
    <col min="8969" max="8969" width="13.85546875" style="157" customWidth="1"/>
    <col min="8970" max="8970" width="15.85546875" style="157" customWidth="1"/>
    <col min="8971" max="8972" width="13.42578125" style="157" customWidth="1"/>
    <col min="8973" max="8973" width="12.42578125" style="157" customWidth="1"/>
    <col min="8974" max="8974" width="12.7109375" style="157" bestFit="1" customWidth="1"/>
    <col min="8975" max="8975" width="13.42578125" style="157" bestFit="1" customWidth="1"/>
    <col min="8976" max="9216" width="11.42578125" style="157"/>
    <col min="9217" max="9217" width="7.28515625" style="157" customWidth="1"/>
    <col min="9218" max="9218" width="22.42578125" style="157" customWidth="1"/>
    <col min="9219" max="9223" width="16.140625" style="157" customWidth="1"/>
    <col min="9224" max="9224" width="16.85546875" style="157" customWidth="1"/>
    <col min="9225" max="9225" width="13.85546875" style="157" customWidth="1"/>
    <col min="9226" max="9226" width="15.85546875" style="157" customWidth="1"/>
    <col min="9227" max="9228" width="13.42578125" style="157" customWidth="1"/>
    <col min="9229" max="9229" width="12.42578125" style="157" customWidth="1"/>
    <col min="9230" max="9230" width="12.7109375" style="157" bestFit="1" customWidth="1"/>
    <col min="9231" max="9231" width="13.42578125" style="157" bestFit="1" customWidth="1"/>
    <col min="9232" max="9472" width="11.42578125" style="157"/>
    <col min="9473" max="9473" width="7.28515625" style="157" customWidth="1"/>
    <col min="9474" max="9474" width="22.42578125" style="157" customWidth="1"/>
    <col min="9475" max="9479" width="16.140625" style="157" customWidth="1"/>
    <col min="9480" max="9480" width="16.85546875" style="157" customWidth="1"/>
    <col min="9481" max="9481" width="13.85546875" style="157" customWidth="1"/>
    <col min="9482" max="9482" width="15.85546875" style="157" customWidth="1"/>
    <col min="9483" max="9484" width="13.42578125" style="157" customWidth="1"/>
    <col min="9485" max="9485" width="12.42578125" style="157" customWidth="1"/>
    <col min="9486" max="9486" width="12.7109375" style="157" bestFit="1" customWidth="1"/>
    <col min="9487" max="9487" width="13.42578125" style="157" bestFit="1" customWidth="1"/>
    <col min="9488" max="9728" width="11.42578125" style="157"/>
    <col min="9729" max="9729" width="7.28515625" style="157" customWidth="1"/>
    <col min="9730" max="9730" width="22.42578125" style="157" customWidth="1"/>
    <col min="9731" max="9735" width="16.140625" style="157" customWidth="1"/>
    <col min="9736" max="9736" width="16.85546875" style="157" customWidth="1"/>
    <col min="9737" max="9737" width="13.85546875" style="157" customWidth="1"/>
    <col min="9738" max="9738" width="15.85546875" style="157" customWidth="1"/>
    <col min="9739" max="9740" width="13.42578125" style="157" customWidth="1"/>
    <col min="9741" max="9741" width="12.42578125" style="157" customWidth="1"/>
    <col min="9742" max="9742" width="12.7109375" style="157" bestFit="1" customWidth="1"/>
    <col min="9743" max="9743" width="13.42578125" style="157" bestFit="1" customWidth="1"/>
    <col min="9744" max="9984" width="11.42578125" style="157"/>
    <col min="9985" max="9985" width="7.28515625" style="157" customWidth="1"/>
    <col min="9986" max="9986" width="22.42578125" style="157" customWidth="1"/>
    <col min="9987" max="9991" width="16.140625" style="157" customWidth="1"/>
    <col min="9992" max="9992" width="16.85546875" style="157" customWidth="1"/>
    <col min="9993" max="9993" width="13.85546875" style="157" customWidth="1"/>
    <col min="9994" max="9994" width="15.85546875" style="157" customWidth="1"/>
    <col min="9995" max="9996" width="13.42578125" style="157" customWidth="1"/>
    <col min="9997" max="9997" width="12.42578125" style="157" customWidth="1"/>
    <col min="9998" max="9998" width="12.7109375" style="157" bestFit="1" customWidth="1"/>
    <col min="9999" max="9999" width="13.42578125" style="157" bestFit="1" customWidth="1"/>
    <col min="10000" max="10240" width="11.42578125" style="157"/>
    <col min="10241" max="10241" width="7.28515625" style="157" customWidth="1"/>
    <col min="10242" max="10242" width="22.42578125" style="157" customWidth="1"/>
    <col min="10243" max="10247" width="16.140625" style="157" customWidth="1"/>
    <col min="10248" max="10248" width="16.85546875" style="157" customWidth="1"/>
    <col min="10249" max="10249" width="13.85546875" style="157" customWidth="1"/>
    <col min="10250" max="10250" width="15.85546875" style="157" customWidth="1"/>
    <col min="10251" max="10252" width="13.42578125" style="157" customWidth="1"/>
    <col min="10253" max="10253" width="12.42578125" style="157" customWidth="1"/>
    <col min="10254" max="10254" width="12.7109375" style="157" bestFit="1" customWidth="1"/>
    <col min="10255" max="10255" width="13.42578125" style="157" bestFit="1" customWidth="1"/>
    <col min="10256" max="10496" width="11.42578125" style="157"/>
    <col min="10497" max="10497" width="7.28515625" style="157" customWidth="1"/>
    <col min="10498" max="10498" width="22.42578125" style="157" customWidth="1"/>
    <col min="10499" max="10503" width="16.140625" style="157" customWidth="1"/>
    <col min="10504" max="10504" width="16.85546875" style="157" customWidth="1"/>
    <col min="10505" max="10505" width="13.85546875" style="157" customWidth="1"/>
    <col min="10506" max="10506" width="15.85546875" style="157" customWidth="1"/>
    <col min="10507" max="10508" width="13.42578125" style="157" customWidth="1"/>
    <col min="10509" max="10509" width="12.42578125" style="157" customWidth="1"/>
    <col min="10510" max="10510" width="12.7109375" style="157" bestFit="1" customWidth="1"/>
    <col min="10511" max="10511" width="13.42578125" style="157" bestFit="1" customWidth="1"/>
    <col min="10512" max="10752" width="11.42578125" style="157"/>
    <col min="10753" max="10753" width="7.28515625" style="157" customWidth="1"/>
    <col min="10754" max="10754" width="22.42578125" style="157" customWidth="1"/>
    <col min="10755" max="10759" width="16.140625" style="157" customWidth="1"/>
    <col min="10760" max="10760" width="16.85546875" style="157" customWidth="1"/>
    <col min="10761" max="10761" width="13.85546875" style="157" customWidth="1"/>
    <col min="10762" max="10762" width="15.85546875" style="157" customWidth="1"/>
    <col min="10763" max="10764" width="13.42578125" style="157" customWidth="1"/>
    <col min="10765" max="10765" width="12.42578125" style="157" customWidth="1"/>
    <col min="10766" max="10766" width="12.7109375" style="157" bestFit="1" customWidth="1"/>
    <col min="10767" max="10767" width="13.42578125" style="157" bestFit="1" customWidth="1"/>
    <col min="10768" max="11008" width="11.42578125" style="157"/>
    <col min="11009" max="11009" width="7.28515625" style="157" customWidth="1"/>
    <col min="11010" max="11010" width="22.42578125" style="157" customWidth="1"/>
    <col min="11011" max="11015" width="16.140625" style="157" customWidth="1"/>
    <col min="11016" max="11016" width="16.85546875" style="157" customWidth="1"/>
    <col min="11017" max="11017" width="13.85546875" style="157" customWidth="1"/>
    <col min="11018" max="11018" width="15.85546875" style="157" customWidth="1"/>
    <col min="11019" max="11020" width="13.42578125" style="157" customWidth="1"/>
    <col min="11021" max="11021" width="12.42578125" style="157" customWidth="1"/>
    <col min="11022" max="11022" width="12.7109375" style="157" bestFit="1" customWidth="1"/>
    <col min="11023" max="11023" width="13.42578125" style="157" bestFit="1" customWidth="1"/>
    <col min="11024" max="11264" width="11.42578125" style="157"/>
    <col min="11265" max="11265" width="7.28515625" style="157" customWidth="1"/>
    <col min="11266" max="11266" width="22.42578125" style="157" customWidth="1"/>
    <col min="11267" max="11271" width="16.140625" style="157" customWidth="1"/>
    <col min="11272" max="11272" width="16.85546875" style="157" customWidth="1"/>
    <col min="11273" max="11273" width="13.85546875" style="157" customWidth="1"/>
    <col min="11274" max="11274" width="15.85546875" style="157" customWidth="1"/>
    <col min="11275" max="11276" width="13.42578125" style="157" customWidth="1"/>
    <col min="11277" max="11277" width="12.42578125" style="157" customWidth="1"/>
    <col min="11278" max="11278" width="12.7109375" style="157" bestFit="1" customWidth="1"/>
    <col min="11279" max="11279" width="13.42578125" style="157" bestFit="1" customWidth="1"/>
    <col min="11280" max="11520" width="11.42578125" style="157"/>
    <col min="11521" max="11521" width="7.28515625" style="157" customWidth="1"/>
    <col min="11522" max="11522" width="22.42578125" style="157" customWidth="1"/>
    <col min="11523" max="11527" width="16.140625" style="157" customWidth="1"/>
    <col min="11528" max="11528" width="16.85546875" style="157" customWidth="1"/>
    <col min="11529" max="11529" width="13.85546875" style="157" customWidth="1"/>
    <col min="11530" max="11530" width="15.85546875" style="157" customWidth="1"/>
    <col min="11531" max="11532" width="13.42578125" style="157" customWidth="1"/>
    <col min="11533" max="11533" width="12.42578125" style="157" customWidth="1"/>
    <col min="11534" max="11534" width="12.7109375" style="157" bestFit="1" customWidth="1"/>
    <col min="11535" max="11535" width="13.42578125" style="157" bestFit="1" customWidth="1"/>
    <col min="11536" max="11776" width="11.42578125" style="157"/>
    <col min="11777" max="11777" width="7.28515625" style="157" customWidth="1"/>
    <col min="11778" max="11778" width="22.42578125" style="157" customWidth="1"/>
    <col min="11779" max="11783" width="16.140625" style="157" customWidth="1"/>
    <col min="11784" max="11784" width="16.85546875" style="157" customWidth="1"/>
    <col min="11785" max="11785" width="13.85546875" style="157" customWidth="1"/>
    <col min="11786" max="11786" width="15.85546875" style="157" customWidth="1"/>
    <col min="11787" max="11788" width="13.42578125" style="157" customWidth="1"/>
    <col min="11789" max="11789" width="12.42578125" style="157" customWidth="1"/>
    <col min="11790" max="11790" width="12.7109375" style="157" bestFit="1" customWidth="1"/>
    <col min="11791" max="11791" width="13.42578125" style="157" bestFit="1" customWidth="1"/>
    <col min="11792" max="12032" width="11.42578125" style="157"/>
    <col min="12033" max="12033" width="7.28515625" style="157" customWidth="1"/>
    <col min="12034" max="12034" width="22.42578125" style="157" customWidth="1"/>
    <col min="12035" max="12039" width="16.140625" style="157" customWidth="1"/>
    <col min="12040" max="12040" width="16.85546875" style="157" customWidth="1"/>
    <col min="12041" max="12041" width="13.85546875" style="157" customWidth="1"/>
    <col min="12042" max="12042" width="15.85546875" style="157" customWidth="1"/>
    <col min="12043" max="12044" width="13.42578125" style="157" customWidth="1"/>
    <col min="12045" max="12045" width="12.42578125" style="157" customWidth="1"/>
    <col min="12046" max="12046" width="12.7109375" style="157" bestFit="1" customWidth="1"/>
    <col min="12047" max="12047" width="13.42578125" style="157" bestFit="1" customWidth="1"/>
    <col min="12048" max="12288" width="11.42578125" style="157"/>
    <col min="12289" max="12289" width="7.28515625" style="157" customWidth="1"/>
    <col min="12290" max="12290" width="22.42578125" style="157" customWidth="1"/>
    <col min="12291" max="12295" width="16.140625" style="157" customWidth="1"/>
    <col min="12296" max="12296" width="16.85546875" style="157" customWidth="1"/>
    <col min="12297" max="12297" width="13.85546875" style="157" customWidth="1"/>
    <col min="12298" max="12298" width="15.85546875" style="157" customWidth="1"/>
    <col min="12299" max="12300" width="13.42578125" style="157" customWidth="1"/>
    <col min="12301" max="12301" width="12.42578125" style="157" customWidth="1"/>
    <col min="12302" max="12302" width="12.7109375" style="157" bestFit="1" customWidth="1"/>
    <col min="12303" max="12303" width="13.42578125" style="157" bestFit="1" customWidth="1"/>
    <col min="12304" max="12544" width="11.42578125" style="157"/>
    <col min="12545" max="12545" width="7.28515625" style="157" customWidth="1"/>
    <col min="12546" max="12546" width="22.42578125" style="157" customWidth="1"/>
    <col min="12547" max="12551" width="16.140625" style="157" customWidth="1"/>
    <col min="12552" max="12552" width="16.85546875" style="157" customWidth="1"/>
    <col min="12553" max="12553" width="13.85546875" style="157" customWidth="1"/>
    <col min="12554" max="12554" width="15.85546875" style="157" customWidth="1"/>
    <col min="12555" max="12556" width="13.42578125" style="157" customWidth="1"/>
    <col min="12557" max="12557" width="12.42578125" style="157" customWidth="1"/>
    <col min="12558" max="12558" width="12.7109375" style="157" bestFit="1" customWidth="1"/>
    <col min="12559" max="12559" width="13.42578125" style="157" bestFit="1" customWidth="1"/>
    <col min="12560" max="12800" width="11.42578125" style="157"/>
    <col min="12801" max="12801" width="7.28515625" style="157" customWidth="1"/>
    <col min="12802" max="12802" width="22.42578125" style="157" customWidth="1"/>
    <col min="12803" max="12807" width="16.140625" style="157" customWidth="1"/>
    <col min="12808" max="12808" width="16.85546875" style="157" customWidth="1"/>
    <col min="12809" max="12809" width="13.85546875" style="157" customWidth="1"/>
    <col min="12810" max="12810" width="15.85546875" style="157" customWidth="1"/>
    <col min="12811" max="12812" width="13.42578125" style="157" customWidth="1"/>
    <col min="12813" max="12813" width="12.42578125" style="157" customWidth="1"/>
    <col min="12814" max="12814" width="12.7109375" style="157" bestFit="1" customWidth="1"/>
    <col min="12815" max="12815" width="13.42578125" style="157" bestFit="1" customWidth="1"/>
    <col min="12816" max="13056" width="11.42578125" style="157"/>
    <col min="13057" max="13057" width="7.28515625" style="157" customWidth="1"/>
    <col min="13058" max="13058" width="22.42578125" style="157" customWidth="1"/>
    <col min="13059" max="13063" width="16.140625" style="157" customWidth="1"/>
    <col min="13064" max="13064" width="16.85546875" style="157" customWidth="1"/>
    <col min="13065" max="13065" width="13.85546875" style="157" customWidth="1"/>
    <col min="13066" max="13066" width="15.85546875" style="157" customWidth="1"/>
    <col min="13067" max="13068" width="13.42578125" style="157" customWidth="1"/>
    <col min="13069" max="13069" width="12.42578125" style="157" customWidth="1"/>
    <col min="13070" max="13070" width="12.7109375" style="157" bestFit="1" customWidth="1"/>
    <col min="13071" max="13071" width="13.42578125" style="157" bestFit="1" customWidth="1"/>
    <col min="13072" max="13312" width="11.42578125" style="157"/>
    <col min="13313" max="13313" width="7.28515625" style="157" customWidth="1"/>
    <col min="13314" max="13314" width="22.42578125" style="157" customWidth="1"/>
    <col min="13315" max="13319" width="16.140625" style="157" customWidth="1"/>
    <col min="13320" max="13320" width="16.85546875" style="157" customWidth="1"/>
    <col min="13321" max="13321" width="13.85546875" style="157" customWidth="1"/>
    <col min="13322" max="13322" width="15.85546875" style="157" customWidth="1"/>
    <col min="13323" max="13324" width="13.42578125" style="157" customWidth="1"/>
    <col min="13325" max="13325" width="12.42578125" style="157" customWidth="1"/>
    <col min="13326" max="13326" width="12.7109375" style="157" bestFit="1" customWidth="1"/>
    <col min="13327" max="13327" width="13.42578125" style="157" bestFit="1" customWidth="1"/>
    <col min="13328" max="13568" width="11.42578125" style="157"/>
    <col min="13569" max="13569" width="7.28515625" style="157" customWidth="1"/>
    <col min="13570" max="13570" width="22.42578125" style="157" customWidth="1"/>
    <col min="13571" max="13575" width="16.140625" style="157" customWidth="1"/>
    <col min="13576" max="13576" width="16.85546875" style="157" customWidth="1"/>
    <col min="13577" max="13577" width="13.85546875" style="157" customWidth="1"/>
    <col min="13578" max="13578" width="15.85546875" style="157" customWidth="1"/>
    <col min="13579" max="13580" width="13.42578125" style="157" customWidth="1"/>
    <col min="13581" max="13581" width="12.42578125" style="157" customWidth="1"/>
    <col min="13582" max="13582" width="12.7109375" style="157" bestFit="1" customWidth="1"/>
    <col min="13583" max="13583" width="13.42578125" style="157" bestFit="1" customWidth="1"/>
    <col min="13584" max="13824" width="11.42578125" style="157"/>
    <col min="13825" max="13825" width="7.28515625" style="157" customWidth="1"/>
    <col min="13826" max="13826" width="22.42578125" style="157" customWidth="1"/>
    <col min="13827" max="13831" width="16.140625" style="157" customWidth="1"/>
    <col min="13832" max="13832" width="16.85546875" style="157" customWidth="1"/>
    <col min="13833" max="13833" width="13.85546875" style="157" customWidth="1"/>
    <col min="13834" max="13834" width="15.85546875" style="157" customWidth="1"/>
    <col min="13835" max="13836" width="13.42578125" style="157" customWidth="1"/>
    <col min="13837" max="13837" width="12.42578125" style="157" customWidth="1"/>
    <col min="13838" max="13838" width="12.7109375" style="157" bestFit="1" customWidth="1"/>
    <col min="13839" max="13839" width="13.42578125" style="157" bestFit="1" customWidth="1"/>
    <col min="13840" max="14080" width="11.42578125" style="157"/>
    <col min="14081" max="14081" width="7.28515625" style="157" customWidth="1"/>
    <col min="14082" max="14082" width="22.42578125" style="157" customWidth="1"/>
    <col min="14083" max="14087" width="16.140625" style="157" customWidth="1"/>
    <col min="14088" max="14088" width="16.85546875" style="157" customWidth="1"/>
    <col min="14089" max="14089" width="13.85546875" style="157" customWidth="1"/>
    <col min="14090" max="14090" width="15.85546875" style="157" customWidth="1"/>
    <col min="14091" max="14092" width="13.42578125" style="157" customWidth="1"/>
    <col min="14093" max="14093" width="12.42578125" style="157" customWidth="1"/>
    <col min="14094" max="14094" width="12.7109375" style="157" bestFit="1" customWidth="1"/>
    <col min="14095" max="14095" width="13.42578125" style="157" bestFit="1" customWidth="1"/>
    <col min="14096" max="14336" width="11.42578125" style="157"/>
    <col min="14337" max="14337" width="7.28515625" style="157" customWidth="1"/>
    <col min="14338" max="14338" width="22.42578125" style="157" customWidth="1"/>
    <col min="14339" max="14343" width="16.140625" style="157" customWidth="1"/>
    <col min="14344" max="14344" width="16.85546875" style="157" customWidth="1"/>
    <col min="14345" max="14345" width="13.85546875" style="157" customWidth="1"/>
    <col min="14346" max="14346" width="15.85546875" style="157" customWidth="1"/>
    <col min="14347" max="14348" width="13.42578125" style="157" customWidth="1"/>
    <col min="14349" max="14349" width="12.42578125" style="157" customWidth="1"/>
    <col min="14350" max="14350" width="12.7109375" style="157" bestFit="1" customWidth="1"/>
    <col min="14351" max="14351" width="13.42578125" style="157" bestFit="1" customWidth="1"/>
    <col min="14352" max="14592" width="11.42578125" style="157"/>
    <col min="14593" max="14593" width="7.28515625" style="157" customWidth="1"/>
    <col min="14594" max="14594" width="22.42578125" style="157" customWidth="1"/>
    <col min="14595" max="14599" width="16.140625" style="157" customWidth="1"/>
    <col min="14600" max="14600" width="16.85546875" style="157" customWidth="1"/>
    <col min="14601" max="14601" width="13.85546875" style="157" customWidth="1"/>
    <col min="14602" max="14602" width="15.85546875" style="157" customWidth="1"/>
    <col min="14603" max="14604" width="13.42578125" style="157" customWidth="1"/>
    <col min="14605" max="14605" width="12.42578125" style="157" customWidth="1"/>
    <col min="14606" max="14606" width="12.7109375" style="157" bestFit="1" customWidth="1"/>
    <col min="14607" max="14607" width="13.42578125" style="157" bestFit="1" customWidth="1"/>
    <col min="14608" max="14848" width="11.42578125" style="157"/>
    <col min="14849" max="14849" width="7.28515625" style="157" customWidth="1"/>
    <col min="14850" max="14850" width="22.42578125" style="157" customWidth="1"/>
    <col min="14851" max="14855" width="16.140625" style="157" customWidth="1"/>
    <col min="14856" max="14856" width="16.85546875" style="157" customWidth="1"/>
    <col min="14857" max="14857" width="13.85546875" style="157" customWidth="1"/>
    <col min="14858" max="14858" width="15.85546875" style="157" customWidth="1"/>
    <col min="14859" max="14860" width="13.42578125" style="157" customWidth="1"/>
    <col min="14861" max="14861" width="12.42578125" style="157" customWidth="1"/>
    <col min="14862" max="14862" width="12.7109375" style="157" bestFit="1" customWidth="1"/>
    <col min="14863" max="14863" width="13.42578125" style="157" bestFit="1" customWidth="1"/>
    <col min="14864" max="15104" width="11.42578125" style="157"/>
    <col min="15105" max="15105" width="7.28515625" style="157" customWidth="1"/>
    <col min="15106" max="15106" width="22.42578125" style="157" customWidth="1"/>
    <col min="15107" max="15111" width="16.140625" style="157" customWidth="1"/>
    <col min="15112" max="15112" width="16.85546875" style="157" customWidth="1"/>
    <col min="15113" max="15113" width="13.85546875" style="157" customWidth="1"/>
    <col min="15114" max="15114" width="15.85546875" style="157" customWidth="1"/>
    <col min="15115" max="15116" width="13.42578125" style="157" customWidth="1"/>
    <col min="15117" max="15117" width="12.42578125" style="157" customWidth="1"/>
    <col min="15118" max="15118" width="12.7109375" style="157" bestFit="1" customWidth="1"/>
    <col min="15119" max="15119" width="13.42578125" style="157" bestFit="1" customWidth="1"/>
    <col min="15120" max="15360" width="11.42578125" style="157"/>
    <col min="15361" max="15361" width="7.28515625" style="157" customWidth="1"/>
    <col min="15362" max="15362" width="22.42578125" style="157" customWidth="1"/>
    <col min="15363" max="15367" width="16.140625" style="157" customWidth="1"/>
    <col min="15368" max="15368" width="16.85546875" style="157" customWidth="1"/>
    <col min="15369" max="15369" width="13.85546875" style="157" customWidth="1"/>
    <col min="15370" max="15370" width="15.85546875" style="157" customWidth="1"/>
    <col min="15371" max="15372" width="13.42578125" style="157" customWidth="1"/>
    <col min="15373" max="15373" width="12.42578125" style="157" customWidth="1"/>
    <col min="15374" max="15374" width="12.7109375" style="157" bestFit="1" customWidth="1"/>
    <col min="15375" max="15375" width="13.42578125" style="157" bestFit="1" customWidth="1"/>
    <col min="15376" max="15616" width="11.42578125" style="157"/>
    <col min="15617" max="15617" width="7.28515625" style="157" customWidth="1"/>
    <col min="15618" max="15618" width="22.42578125" style="157" customWidth="1"/>
    <col min="15619" max="15623" width="16.140625" style="157" customWidth="1"/>
    <col min="15624" max="15624" width="16.85546875" style="157" customWidth="1"/>
    <col min="15625" max="15625" width="13.85546875" style="157" customWidth="1"/>
    <col min="15626" max="15626" width="15.85546875" style="157" customWidth="1"/>
    <col min="15627" max="15628" width="13.42578125" style="157" customWidth="1"/>
    <col min="15629" max="15629" width="12.42578125" style="157" customWidth="1"/>
    <col min="15630" max="15630" width="12.7109375" style="157" bestFit="1" customWidth="1"/>
    <col min="15631" max="15631" width="13.42578125" style="157" bestFit="1" customWidth="1"/>
    <col min="15632" max="15872" width="11.42578125" style="157"/>
    <col min="15873" max="15873" width="7.28515625" style="157" customWidth="1"/>
    <col min="15874" max="15874" width="22.42578125" style="157" customWidth="1"/>
    <col min="15875" max="15879" width="16.140625" style="157" customWidth="1"/>
    <col min="15880" max="15880" width="16.85546875" style="157" customWidth="1"/>
    <col min="15881" max="15881" width="13.85546875" style="157" customWidth="1"/>
    <col min="15882" max="15882" width="15.85546875" style="157" customWidth="1"/>
    <col min="15883" max="15884" width="13.42578125" style="157" customWidth="1"/>
    <col min="15885" max="15885" width="12.42578125" style="157" customWidth="1"/>
    <col min="15886" max="15886" width="12.7109375" style="157" bestFit="1" customWidth="1"/>
    <col min="15887" max="15887" width="13.42578125" style="157" bestFit="1" customWidth="1"/>
    <col min="15888" max="16128" width="11.42578125" style="157"/>
    <col min="16129" max="16129" width="7.28515625" style="157" customWidth="1"/>
    <col min="16130" max="16130" width="22.42578125" style="157" customWidth="1"/>
    <col min="16131" max="16135" width="16.140625" style="157" customWidth="1"/>
    <col min="16136" max="16136" width="16.85546875" style="157" customWidth="1"/>
    <col min="16137" max="16137" width="13.85546875" style="157" customWidth="1"/>
    <col min="16138" max="16138" width="15.85546875" style="157" customWidth="1"/>
    <col min="16139" max="16140" width="13.42578125" style="157" customWidth="1"/>
    <col min="16141" max="16141" width="12.42578125" style="157" customWidth="1"/>
    <col min="16142" max="16142" width="12.7109375" style="157" bestFit="1" customWidth="1"/>
    <col min="16143" max="16143" width="13.42578125" style="157" bestFit="1" customWidth="1"/>
    <col min="16144" max="16384" width="11.42578125" style="157"/>
  </cols>
  <sheetData>
    <row r="2" spans="1:18" ht="20.25" x14ac:dyDescent="0.3">
      <c r="A2" s="1201" t="s">
        <v>295</v>
      </c>
      <c r="C2" s="163"/>
      <c r="D2" s="163"/>
      <c r="E2" s="163"/>
      <c r="F2" s="163"/>
      <c r="G2" s="163"/>
    </row>
    <row r="3" spans="1:18" ht="18" x14ac:dyDescent="0.25">
      <c r="B3" s="1202"/>
      <c r="C3" s="163"/>
      <c r="D3" s="163"/>
      <c r="E3" s="163"/>
      <c r="F3" s="163"/>
      <c r="G3" s="163"/>
      <c r="N3" s="157"/>
    </row>
    <row r="4" spans="1:18" ht="13.5" thickBot="1" x14ac:dyDescent="0.25">
      <c r="B4" s="1203"/>
      <c r="C4" s="1203"/>
      <c r="D4" s="1203"/>
      <c r="E4" s="1203"/>
      <c r="F4" s="1203"/>
      <c r="G4" s="1203"/>
      <c r="N4" s="157"/>
      <c r="R4" s="163"/>
    </row>
    <row r="5" spans="1:18" ht="13.5" thickBot="1" x14ac:dyDescent="0.25">
      <c r="B5" s="1204"/>
      <c r="C5" s="1046" t="s">
        <v>130</v>
      </c>
      <c r="D5" s="1409" t="s">
        <v>296</v>
      </c>
      <c r="E5" s="1364"/>
      <c r="F5" s="1365"/>
      <c r="G5" s="482" t="s">
        <v>162</v>
      </c>
      <c r="N5" s="157"/>
      <c r="R5" s="163"/>
    </row>
    <row r="6" spans="1:18" ht="13.5" thickBot="1" x14ac:dyDescent="0.25">
      <c r="B6" s="829" t="s">
        <v>132</v>
      </c>
      <c r="C6" s="829" t="s">
        <v>151</v>
      </c>
      <c r="D6" s="1205" t="s">
        <v>151</v>
      </c>
      <c r="E6" s="829" t="s">
        <v>154</v>
      </c>
      <c r="F6" s="354" t="s">
        <v>152</v>
      </c>
      <c r="G6" s="484" t="s">
        <v>297</v>
      </c>
      <c r="N6" s="157"/>
      <c r="R6" s="163"/>
    </row>
    <row r="7" spans="1:18" x14ac:dyDescent="0.2">
      <c r="B7" s="1206"/>
      <c r="C7" s="1206"/>
      <c r="D7" s="1207"/>
      <c r="E7" s="1206"/>
      <c r="F7" s="1208"/>
      <c r="G7" s="1209"/>
      <c r="N7" s="157"/>
      <c r="R7" s="163"/>
    </row>
    <row r="8" spans="1:18" x14ac:dyDescent="0.2">
      <c r="B8" s="1210">
        <v>1995</v>
      </c>
      <c r="C8" s="1211">
        <f t="shared" ref="C8:C23" si="0">SUM(E8+F8+G8)</f>
        <v>13623.056128000004</v>
      </c>
      <c r="D8" s="1212">
        <f>+E8+F8</f>
        <v>9849.2561280000045</v>
      </c>
      <c r="E8" s="1213">
        <v>8673.7080870000045</v>
      </c>
      <c r="F8" s="1214">
        <v>1175.548041</v>
      </c>
      <c r="G8" s="1215">
        <v>3773.8</v>
      </c>
      <c r="N8" s="157"/>
      <c r="R8" s="163"/>
    </row>
    <row r="9" spans="1:18" x14ac:dyDescent="0.2">
      <c r="B9" s="1216">
        <v>1996</v>
      </c>
      <c r="C9" s="1031">
        <f t="shared" si="0"/>
        <v>14303.139597999991</v>
      </c>
      <c r="D9" s="1217">
        <f t="shared" ref="D9:D23" si="1">+E9+F9</f>
        <v>10330.839597999991</v>
      </c>
      <c r="E9" s="1218">
        <v>8770.6107359999914</v>
      </c>
      <c r="F9" s="1219">
        <v>1560.2288619999999</v>
      </c>
      <c r="G9" s="1220">
        <v>3972.3</v>
      </c>
      <c r="N9" s="157"/>
      <c r="R9" s="163"/>
    </row>
    <row r="10" spans="1:18" x14ac:dyDescent="0.2">
      <c r="B10" s="1210">
        <v>1997</v>
      </c>
      <c r="C10" s="1211">
        <f t="shared" si="0"/>
        <v>15056.08015999999</v>
      </c>
      <c r="D10" s="1212">
        <f t="shared" si="1"/>
        <v>12451.23015999999</v>
      </c>
      <c r="E10" s="1213">
        <v>9377.8946799999903</v>
      </c>
      <c r="F10" s="1214">
        <v>3073.3354799999997</v>
      </c>
      <c r="G10" s="1215">
        <v>2604.85</v>
      </c>
      <c r="N10" s="157"/>
      <c r="R10" s="163"/>
    </row>
    <row r="11" spans="1:18" x14ac:dyDescent="0.2">
      <c r="B11" s="1216">
        <v>1998</v>
      </c>
      <c r="C11" s="1031">
        <f t="shared" si="0"/>
        <v>15775.176823</v>
      </c>
      <c r="D11" s="1217">
        <f t="shared" si="1"/>
        <v>14008.576822999999</v>
      </c>
      <c r="E11" s="1218">
        <v>9878.6615729999976</v>
      </c>
      <c r="F11" s="1219">
        <v>4129.9152500000009</v>
      </c>
      <c r="G11" s="1220">
        <v>1766.6</v>
      </c>
      <c r="N11" s="157"/>
      <c r="R11" s="163"/>
    </row>
    <row r="12" spans="1:18" x14ac:dyDescent="0.2">
      <c r="B12" s="1210">
        <v>1999</v>
      </c>
      <c r="C12" s="1211">
        <f t="shared" si="0"/>
        <v>16274.991559000011</v>
      </c>
      <c r="D12" s="1212">
        <f t="shared" si="1"/>
        <v>14591.991559000011</v>
      </c>
      <c r="E12" s="1213">
        <v>10198.991027000011</v>
      </c>
      <c r="F12" s="1214">
        <v>4393.000532</v>
      </c>
      <c r="G12" s="1215">
        <v>1683</v>
      </c>
      <c r="N12" s="157"/>
      <c r="R12" s="163"/>
    </row>
    <row r="13" spans="1:18" x14ac:dyDescent="0.2">
      <c r="B13" s="1216">
        <v>2000</v>
      </c>
      <c r="C13" s="1031">
        <f t="shared" si="0"/>
        <v>17140.395011000015</v>
      </c>
      <c r="D13" s="1217">
        <f t="shared" si="1"/>
        <v>15545.595392000014</v>
      </c>
      <c r="E13" s="1218">
        <v>10763.269271000014</v>
      </c>
      <c r="F13" s="1219">
        <v>4782.3261210000001</v>
      </c>
      <c r="G13" s="1220">
        <v>1594.7996189999999</v>
      </c>
      <c r="N13" s="157"/>
      <c r="R13" s="163"/>
    </row>
    <row r="14" spans="1:18" x14ac:dyDescent="0.2">
      <c r="B14" s="1210">
        <v>2001</v>
      </c>
      <c r="C14" s="1211">
        <f t="shared" si="0"/>
        <v>18199.95454499999</v>
      </c>
      <c r="D14" s="1212">
        <f t="shared" si="1"/>
        <v>16628.754544999989</v>
      </c>
      <c r="E14" s="1213">
        <v>10522.374724999987</v>
      </c>
      <c r="F14" s="1214">
        <v>6106.3798200000001</v>
      </c>
      <c r="G14" s="1215">
        <v>1571.2</v>
      </c>
      <c r="N14" s="157"/>
      <c r="R14" s="163"/>
    </row>
    <row r="15" spans="1:18" x14ac:dyDescent="0.2">
      <c r="B15" s="1216">
        <v>2002</v>
      </c>
      <c r="C15" s="1031">
        <f t="shared" si="0"/>
        <v>19168.140412848003</v>
      </c>
      <c r="D15" s="1217">
        <f t="shared" si="1"/>
        <v>17605.325913847999</v>
      </c>
      <c r="E15" s="1218">
        <v>11113.547163000001</v>
      </c>
      <c r="F15" s="1219">
        <v>6491.7787508479996</v>
      </c>
      <c r="G15" s="1220">
        <v>1562.8144990000035</v>
      </c>
      <c r="N15" s="157"/>
      <c r="R15" s="163"/>
    </row>
    <row r="16" spans="1:18" x14ac:dyDescent="0.2">
      <c r="B16" s="1221">
        <v>2003</v>
      </c>
      <c r="C16" s="1211">
        <f>SUM(E16+F16+G16)</f>
        <v>19937.226353999995</v>
      </c>
      <c r="D16" s="1212">
        <f t="shared" si="1"/>
        <v>18375.335409999996</v>
      </c>
      <c r="E16" s="1213">
        <v>11303.613572999999</v>
      </c>
      <c r="F16" s="1214">
        <v>7071.7218369999982</v>
      </c>
      <c r="G16" s="1215">
        <v>1561.8909439999998</v>
      </c>
      <c r="N16" s="157"/>
    </row>
    <row r="17" spans="2:14" x14ac:dyDescent="0.2">
      <c r="B17" s="1216">
        <v>2004</v>
      </c>
      <c r="C17" s="1031">
        <f t="shared" si="0"/>
        <v>21287.724389999999</v>
      </c>
      <c r="D17" s="1217">
        <f t="shared" si="1"/>
        <v>19640.651109999999</v>
      </c>
      <c r="E17" s="1218">
        <v>12001.305316</v>
      </c>
      <c r="F17" s="1219">
        <v>7639.3457940000008</v>
      </c>
      <c r="G17" s="1220">
        <v>1647.0732800000003</v>
      </c>
      <c r="N17" s="157"/>
    </row>
    <row r="18" spans="2:14" x14ac:dyDescent="0.2">
      <c r="B18" s="1210">
        <v>2005</v>
      </c>
      <c r="C18" s="1211">
        <f t="shared" si="0"/>
        <v>22400.244750429476</v>
      </c>
      <c r="D18" s="1212">
        <f t="shared" si="1"/>
        <v>20701.382880222223</v>
      </c>
      <c r="E18" s="1213">
        <v>12914.287800222222</v>
      </c>
      <c r="F18" s="1214">
        <v>7787.095080000001</v>
      </c>
      <c r="G18" s="1215">
        <v>1698.8618702072531</v>
      </c>
      <c r="N18" s="157"/>
    </row>
    <row r="19" spans="2:14" x14ac:dyDescent="0.2">
      <c r="B19" s="1216">
        <v>2006</v>
      </c>
      <c r="C19" s="1031">
        <f t="shared" si="0"/>
        <v>24046.126090621408</v>
      </c>
      <c r="D19" s="1217">
        <f t="shared" si="1"/>
        <v>22290.061152999995</v>
      </c>
      <c r="E19" s="1218">
        <v>14043.638326999999</v>
      </c>
      <c r="F19" s="1219">
        <v>8246.4228259999982</v>
      </c>
      <c r="G19" s="1220">
        <v>1756.0649376214139</v>
      </c>
      <c r="N19" s="157"/>
    </row>
    <row r="20" spans="2:14" x14ac:dyDescent="0.2">
      <c r="B20" s="1210">
        <v>2007</v>
      </c>
      <c r="C20" s="1211">
        <f t="shared" si="0"/>
        <v>26464.304604659999</v>
      </c>
      <c r="D20" s="1212">
        <f t="shared" si="1"/>
        <v>24721.748552999998</v>
      </c>
      <c r="E20" s="1213">
        <v>15032.180854999999</v>
      </c>
      <c r="F20" s="1214">
        <v>9689.5676979999989</v>
      </c>
      <c r="G20" s="1215">
        <v>1742.5560516600001</v>
      </c>
      <c r="N20" s="157"/>
    </row>
    <row r="21" spans="2:14" x14ac:dyDescent="0.2">
      <c r="B21" s="1216">
        <v>2008</v>
      </c>
      <c r="C21" s="1031">
        <f t="shared" si="0"/>
        <v>28833.06706300001</v>
      </c>
      <c r="D21" s="1217">
        <f t="shared" si="1"/>
        <v>26964.41459600001</v>
      </c>
      <c r="E21" s="1218">
        <v>16297.176545000008</v>
      </c>
      <c r="F21" s="1219">
        <v>10667.238051000004</v>
      </c>
      <c r="G21" s="1220">
        <v>1868.6524669999999</v>
      </c>
      <c r="N21" s="157"/>
    </row>
    <row r="22" spans="2:14" x14ac:dyDescent="0.2">
      <c r="B22" s="1222">
        <v>2009</v>
      </c>
      <c r="C22" s="1211">
        <f t="shared" si="0"/>
        <v>29109.838815000003</v>
      </c>
      <c r="D22" s="1212">
        <f t="shared" si="1"/>
        <v>27087.005777000002</v>
      </c>
      <c r="E22" s="1213">
        <v>17000.664145000002</v>
      </c>
      <c r="F22" s="1214">
        <v>10086.341632</v>
      </c>
      <c r="G22" s="1215">
        <v>2022.8330379999998</v>
      </c>
      <c r="N22" s="157"/>
    </row>
    <row r="23" spans="2:14" x14ac:dyDescent="0.2">
      <c r="B23" s="393">
        <v>2010</v>
      </c>
      <c r="C23" s="1031">
        <f t="shared" si="0"/>
        <v>31798.367258000002</v>
      </c>
      <c r="D23" s="1217">
        <f t="shared" si="1"/>
        <v>29436.175124000001</v>
      </c>
      <c r="E23" s="1218">
        <v>18195.325098000001</v>
      </c>
      <c r="F23" s="1219">
        <v>11240.850026</v>
      </c>
      <c r="G23" s="1220">
        <v>2362.1921340000008</v>
      </c>
      <c r="N23" s="157"/>
    </row>
    <row r="24" spans="2:14" x14ac:dyDescent="0.2">
      <c r="B24" s="1222">
        <v>2011</v>
      </c>
      <c r="C24" s="1211">
        <f>SUM(E24+F24+G24)</f>
        <v>34378.27911780111</v>
      </c>
      <c r="D24" s="1212">
        <f>+E24+F24</f>
        <v>31820.35080525111</v>
      </c>
      <c r="E24" s="1213">
        <v>19753.040698251105</v>
      </c>
      <c r="F24" s="1214">
        <v>12067.310107000005</v>
      </c>
      <c r="G24" s="1215">
        <v>2557.9283125500001</v>
      </c>
      <c r="N24" s="157"/>
    </row>
    <row r="25" spans="2:14" x14ac:dyDescent="0.2">
      <c r="B25" s="393">
        <v>2012</v>
      </c>
      <c r="C25" s="1031">
        <f>SUM(E25+F25+G25)</f>
        <v>36323.139667407937</v>
      </c>
      <c r="D25" s="1217">
        <f>+E25+F25</f>
        <v>33648.185934999994</v>
      </c>
      <c r="E25" s="1218">
        <v>20947.295380999996</v>
      </c>
      <c r="F25" s="1219">
        <v>12700.890554</v>
      </c>
      <c r="G25" s="1220">
        <v>2674.9537324079452</v>
      </c>
      <c r="N25" s="157"/>
    </row>
    <row r="26" spans="2:14" x14ac:dyDescent="0.2">
      <c r="B26" s="1222">
        <v>2013</v>
      </c>
      <c r="C26" s="1211">
        <f>SUM(E26+F26+G26)</f>
        <v>38278.262203306404</v>
      </c>
      <c r="D26" s="1212">
        <f>+E26+F26</f>
        <v>35612.750661999999</v>
      </c>
      <c r="E26" s="1213">
        <v>21938.578438999997</v>
      </c>
      <c r="F26" s="1214">
        <v>13674.172223</v>
      </c>
      <c r="G26" s="1215">
        <v>2665.5115413064059</v>
      </c>
      <c r="N26" s="157"/>
    </row>
    <row r="27" spans="2:14" x14ac:dyDescent="0.2">
      <c r="B27" s="393">
        <v>2014</v>
      </c>
      <c r="C27" s="1031">
        <f>SUM(E27+F27+G27)</f>
        <v>40031.348837332138</v>
      </c>
      <c r="D27" s="1217">
        <f>+E27+F27</f>
        <v>37327.776994198342</v>
      </c>
      <c r="E27" s="1218">
        <v>22781.971993398343</v>
      </c>
      <c r="F27" s="1219">
        <v>14545.805000800003</v>
      </c>
      <c r="G27" s="1220">
        <v>2703.5718431337964</v>
      </c>
      <c r="N27" s="157"/>
    </row>
    <row r="28" spans="2:14" x14ac:dyDescent="0.2">
      <c r="B28" s="1222" t="s">
        <v>136</v>
      </c>
      <c r="C28" s="1211">
        <f>SUM(E28+F28+G28)</f>
        <v>42225.674015145254</v>
      </c>
      <c r="D28" s="1212">
        <f>+E28+F28</f>
        <v>39705.95540616272</v>
      </c>
      <c r="E28" s="1213">
        <v>23582.947281861023</v>
      </c>
      <c r="F28" s="1214">
        <v>16123.008124301699</v>
      </c>
      <c r="G28" s="1215">
        <v>2519.7186089825373</v>
      </c>
      <c r="N28" s="157"/>
    </row>
    <row r="29" spans="2:14" ht="13.5" thickBot="1" x14ac:dyDescent="0.25">
      <c r="B29" s="225"/>
      <c r="C29" s="1223"/>
      <c r="D29" s="1224"/>
      <c r="E29" s="1225"/>
      <c r="F29" s="1226"/>
      <c r="G29" s="1227"/>
      <c r="N29" s="157"/>
    </row>
    <row r="30" spans="2:14" ht="18.75" customHeight="1" x14ac:dyDescent="0.2">
      <c r="B30" s="604" t="s">
        <v>137</v>
      </c>
      <c r="C30" s="1228">
        <f>(C28/C27)-1</f>
        <v>5.4815169649411022E-2</v>
      </c>
      <c r="D30" s="1229">
        <f>(D28/D27)-1</f>
        <v>6.3710689557912925E-2</v>
      </c>
      <c r="E30" s="1230">
        <f>(E28/E27)-1</f>
        <v>3.5158294843606219E-2</v>
      </c>
      <c r="F30" s="1231">
        <f>(F28/F27)-1</f>
        <v>0.108430102247002</v>
      </c>
      <c r="G30" s="1232">
        <f>(G28/G27)-1</f>
        <v>-6.8003827831757957E-2</v>
      </c>
      <c r="N30" s="420"/>
    </row>
    <row r="31" spans="2:14" ht="18.75" customHeight="1" x14ac:dyDescent="0.2">
      <c r="B31" s="1233" t="s">
        <v>138</v>
      </c>
      <c r="C31" s="1234">
        <f>((C28/C23)^(1/5))-1</f>
        <v>5.8362281743105315E-2</v>
      </c>
      <c r="D31" s="1235">
        <f>((D28/D23)^(1/5))-1</f>
        <v>6.1682978351820017E-2</v>
      </c>
      <c r="E31" s="1236">
        <f>((E28/E23)^(1/5))-1</f>
        <v>5.3240746253972349E-2</v>
      </c>
      <c r="F31" s="1237">
        <f>((F28/F23)^(1/5))-1</f>
        <v>7.4804271776489406E-2</v>
      </c>
      <c r="G31" s="1238">
        <f>((G28/G23)^(1/5))-1</f>
        <v>1.2995147257457651E-2</v>
      </c>
    </row>
    <row r="32" spans="2:14" ht="18.75" customHeight="1" x14ac:dyDescent="0.2">
      <c r="B32" s="1239" t="s">
        <v>144</v>
      </c>
      <c r="C32" s="1240">
        <f>(C28/C18)-1</f>
        <v>0.88505413604178007</v>
      </c>
      <c r="D32" s="1241">
        <f>(D28/D18)-1</f>
        <v>0.91803396110784319</v>
      </c>
      <c r="E32" s="1242">
        <f>(E28/E18)-1</f>
        <v>0.82611287952365586</v>
      </c>
      <c r="F32" s="1243">
        <f>(F28/F18)-1</f>
        <v>1.0704778815031109</v>
      </c>
      <c r="G32" s="1244">
        <f>(G28/G18)-1</f>
        <v>0.48318038868877755</v>
      </c>
    </row>
    <row r="33" spans="2:7" ht="18.75" customHeight="1" thickBot="1" x14ac:dyDescent="0.25">
      <c r="B33" s="625" t="s">
        <v>140</v>
      </c>
      <c r="C33" s="1245">
        <f>((C28/C18)^(1/10))-1</f>
        <v>6.5448304718595862E-2</v>
      </c>
      <c r="D33" s="1246">
        <f>((D28/D18)^(1/10))-1</f>
        <v>6.7297836953092771E-2</v>
      </c>
      <c r="E33" s="1247">
        <f>((E28/E18)^(1/10))-1</f>
        <v>6.2069071538549903E-2</v>
      </c>
      <c r="F33" s="1248">
        <f>((F28/F18)^(1/10))-1</f>
        <v>7.5491691149952356E-2</v>
      </c>
      <c r="G33" s="1249">
        <f>((G28/G18)^(1/10))-1</f>
        <v>4.020610285845394E-2</v>
      </c>
    </row>
    <row r="34" spans="2:7" x14ac:dyDescent="0.2">
      <c r="B34" s="319" t="s">
        <v>279</v>
      </c>
    </row>
    <row r="35" spans="2:7" x14ac:dyDescent="0.2">
      <c r="B35" s="349"/>
    </row>
    <row r="59" spans="2:2" ht="23.25" x14ac:dyDescent="0.35">
      <c r="B59" s="1424"/>
    </row>
  </sheetData>
  <mergeCells count="1">
    <mergeCell ref="D5:F5"/>
  </mergeCells>
  <printOptions horizontalCentered="1"/>
  <pageMargins left="0.47244094488188981" right="0.35433070866141736" top="0.43307086614173229" bottom="0.19685039370078741" header="0" footer="0"/>
  <pageSetup paperSize="9" scale="72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"/>
  <sheetViews>
    <sheetView view="pageBreakPreview" zoomScaleNormal="100" zoomScaleSheetLayoutView="100" workbookViewId="0">
      <selection activeCell="B59" sqref="B59"/>
    </sheetView>
  </sheetViews>
  <sheetFormatPr baseColWidth="10" defaultRowHeight="12.75" x14ac:dyDescent="0.2"/>
  <cols>
    <col min="1" max="1" width="18.5703125" style="157" customWidth="1"/>
    <col min="2" max="6" width="12.7109375" style="157" customWidth="1"/>
    <col min="7" max="7" width="13.85546875" style="157" bestFit="1" customWidth="1"/>
    <col min="8" max="8" width="16.140625" style="157" customWidth="1"/>
    <col min="9" max="9" width="10.7109375" style="573" customWidth="1"/>
    <col min="10" max="10" width="10.7109375" style="157" customWidth="1"/>
    <col min="11" max="11" width="12" style="157" bestFit="1" customWidth="1"/>
    <col min="12" max="12" width="12.28515625" style="157" bestFit="1" customWidth="1"/>
    <col min="13" max="13" width="13.28515625" style="157" bestFit="1" customWidth="1"/>
    <col min="14" max="14" width="15.5703125" style="157" customWidth="1"/>
    <col min="15" max="19" width="10.7109375" style="157" customWidth="1"/>
    <col min="20" max="22" width="11.42578125" style="157"/>
    <col min="23" max="23" width="12.5703125" style="157" bestFit="1" customWidth="1"/>
    <col min="24" max="256" width="11.42578125" style="157"/>
    <col min="257" max="257" width="18.5703125" style="157" customWidth="1"/>
    <col min="258" max="262" width="12.7109375" style="157" customWidth="1"/>
    <col min="263" max="263" width="13.85546875" style="157" bestFit="1" customWidth="1"/>
    <col min="264" max="264" width="16.140625" style="157" customWidth="1"/>
    <col min="265" max="266" width="10.7109375" style="157" customWidth="1"/>
    <col min="267" max="267" width="12" style="157" bestFit="1" customWidth="1"/>
    <col min="268" max="268" width="12.28515625" style="157" bestFit="1" customWidth="1"/>
    <col min="269" max="269" width="13.28515625" style="157" bestFit="1" customWidth="1"/>
    <col min="270" max="270" width="15.5703125" style="157" customWidth="1"/>
    <col min="271" max="275" width="10.7109375" style="157" customWidth="1"/>
    <col min="276" max="278" width="11.42578125" style="157"/>
    <col min="279" max="279" width="12.5703125" style="157" bestFit="1" customWidth="1"/>
    <col min="280" max="512" width="11.42578125" style="157"/>
    <col min="513" max="513" width="18.5703125" style="157" customWidth="1"/>
    <col min="514" max="518" width="12.7109375" style="157" customWidth="1"/>
    <col min="519" max="519" width="13.85546875" style="157" bestFit="1" customWidth="1"/>
    <col min="520" max="520" width="16.140625" style="157" customWidth="1"/>
    <col min="521" max="522" width="10.7109375" style="157" customWidth="1"/>
    <col min="523" max="523" width="12" style="157" bestFit="1" customWidth="1"/>
    <col min="524" max="524" width="12.28515625" style="157" bestFit="1" customWidth="1"/>
    <col min="525" max="525" width="13.28515625" style="157" bestFit="1" customWidth="1"/>
    <col min="526" max="526" width="15.5703125" style="157" customWidth="1"/>
    <col min="527" max="531" width="10.7109375" style="157" customWidth="1"/>
    <col min="532" max="534" width="11.42578125" style="157"/>
    <col min="535" max="535" width="12.5703125" style="157" bestFit="1" customWidth="1"/>
    <col min="536" max="768" width="11.42578125" style="157"/>
    <col min="769" max="769" width="18.5703125" style="157" customWidth="1"/>
    <col min="770" max="774" width="12.7109375" style="157" customWidth="1"/>
    <col min="775" max="775" width="13.85546875" style="157" bestFit="1" customWidth="1"/>
    <col min="776" max="776" width="16.140625" style="157" customWidth="1"/>
    <col min="777" max="778" width="10.7109375" style="157" customWidth="1"/>
    <col min="779" max="779" width="12" style="157" bestFit="1" customWidth="1"/>
    <col min="780" max="780" width="12.28515625" style="157" bestFit="1" customWidth="1"/>
    <col min="781" max="781" width="13.28515625" style="157" bestFit="1" customWidth="1"/>
    <col min="782" max="782" width="15.5703125" style="157" customWidth="1"/>
    <col min="783" max="787" width="10.7109375" style="157" customWidth="1"/>
    <col min="788" max="790" width="11.42578125" style="157"/>
    <col min="791" max="791" width="12.5703125" style="157" bestFit="1" customWidth="1"/>
    <col min="792" max="1024" width="11.42578125" style="157"/>
    <col min="1025" max="1025" width="18.5703125" style="157" customWidth="1"/>
    <col min="1026" max="1030" width="12.7109375" style="157" customWidth="1"/>
    <col min="1031" max="1031" width="13.85546875" style="157" bestFit="1" customWidth="1"/>
    <col min="1032" max="1032" width="16.140625" style="157" customWidth="1"/>
    <col min="1033" max="1034" width="10.7109375" style="157" customWidth="1"/>
    <col min="1035" max="1035" width="12" style="157" bestFit="1" customWidth="1"/>
    <col min="1036" max="1036" width="12.28515625" style="157" bestFit="1" customWidth="1"/>
    <col min="1037" max="1037" width="13.28515625" style="157" bestFit="1" customWidth="1"/>
    <col min="1038" max="1038" width="15.5703125" style="157" customWidth="1"/>
    <col min="1039" max="1043" width="10.7109375" style="157" customWidth="1"/>
    <col min="1044" max="1046" width="11.42578125" style="157"/>
    <col min="1047" max="1047" width="12.5703125" style="157" bestFit="1" customWidth="1"/>
    <col min="1048" max="1280" width="11.42578125" style="157"/>
    <col min="1281" max="1281" width="18.5703125" style="157" customWidth="1"/>
    <col min="1282" max="1286" width="12.7109375" style="157" customWidth="1"/>
    <col min="1287" max="1287" width="13.85546875" style="157" bestFit="1" customWidth="1"/>
    <col min="1288" max="1288" width="16.140625" style="157" customWidth="1"/>
    <col min="1289" max="1290" width="10.7109375" style="157" customWidth="1"/>
    <col min="1291" max="1291" width="12" style="157" bestFit="1" customWidth="1"/>
    <col min="1292" max="1292" width="12.28515625" style="157" bestFit="1" customWidth="1"/>
    <col min="1293" max="1293" width="13.28515625" style="157" bestFit="1" customWidth="1"/>
    <col min="1294" max="1294" width="15.5703125" style="157" customWidth="1"/>
    <col min="1295" max="1299" width="10.7109375" style="157" customWidth="1"/>
    <col min="1300" max="1302" width="11.42578125" style="157"/>
    <col min="1303" max="1303" width="12.5703125" style="157" bestFit="1" customWidth="1"/>
    <col min="1304" max="1536" width="11.42578125" style="157"/>
    <col min="1537" max="1537" width="18.5703125" style="157" customWidth="1"/>
    <col min="1538" max="1542" width="12.7109375" style="157" customWidth="1"/>
    <col min="1543" max="1543" width="13.85546875" style="157" bestFit="1" customWidth="1"/>
    <col min="1544" max="1544" width="16.140625" style="157" customWidth="1"/>
    <col min="1545" max="1546" width="10.7109375" style="157" customWidth="1"/>
    <col min="1547" max="1547" width="12" style="157" bestFit="1" customWidth="1"/>
    <col min="1548" max="1548" width="12.28515625" style="157" bestFit="1" customWidth="1"/>
    <col min="1549" max="1549" width="13.28515625" style="157" bestFit="1" customWidth="1"/>
    <col min="1550" max="1550" width="15.5703125" style="157" customWidth="1"/>
    <col min="1551" max="1555" width="10.7109375" style="157" customWidth="1"/>
    <col min="1556" max="1558" width="11.42578125" style="157"/>
    <col min="1559" max="1559" width="12.5703125" style="157" bestFit="1" customWidth="1"/>
    <col min="1560" max="1792" width="11.42578125" style="157"/>
    <col min="1793" max="1793" width="18.5703125" style="157" customWidth="1"/>
    <col min="1794" max="1798" width="12.7109375" style="157" customWidth="1"/>
    <col min="1799" max="1799" width="13.85546875" style="157" bestFit="1" customWidth="1"/>
    <col min="1800" max="1800" width="16.140625" style="157" customWidth="1"/>
    <col min="1801" max="1802" width="10.7109375" style="157" customWidth="1"/>
    <col min="1803" max="1803" width="12" style="157" bestFit="1" customWidth="1"/>
    <col min="1804" max="1804" width="12.28515625" style="157" bestFit="1" customWidth="1"/>
    <col min="1805" max="1805" width="13.28515625" style="157" bestFit="1" customWidth="1"/>
    <col min="1806" max="1806" width="15.5703125" style="157" customWidth="1"/>
    <col min="1807" max="1811" width="10.7109375" style="157" customWidth="1"/>
    <col min="1812" max="1814" width="11.42578125" style="157"/>
    <col min="1815" max="1815" width="12.5703125" style="157" bestFit="1" customWidth="1"/>
    <col min="1816" max="2048" width="11.42578125" style="157"/>
    <col min="2049" max="2049" width="18.5703125" style="157" customWidth="1"/>
    <col min="2050" max="2054" width="12.7109375" style="157" customWidth="1"/>
    <col min="2055" max="2055" width="13.85546875" style="157" bestFit="1" customWidth="1"/>
    <col min="2056" max="2056" width="16.140625" style="157" customWidth="1"/>
    <col min="2057" max="2058" width="10.7109375" style="157" customWidth="1"/>
    <col min="2059" max="2059" width="12" style="157" bestFit="1" customWidth="1"/>
    <col min="2060" max="2060" width="12.28515625" style="157" bestFit="1" customWidth="1"/>
    <col min="2061" max="2061" width="13.28515625" style="157" bestFit="1" customWidth="1"/>
    <col min="2062" max="2062" width="15.5703125" style="157" customWidth="1"/>
    <col min="2063" max="2067" width="10.7109375" style="157" customWidth="1"/>
    <col min="2068" max="2070" width="11.42578125" style="157"/>
    <col min="2071" max="2071" width="12.5703125" style="157" bestFit="1" customWidth="1"/>
    <col min="2072" max="2304" width="11.42578125" style="157"/>
    <col min="2305" max="2305" width="18.5703125" style="157" customWidth="1"/>
    <col min="2306" max="2310" width="12.7109375" style="157" customWidth="1"/>
    <col min="2311" max="2311" width="13.85546875" style="157" bestFit="1" customWidth="1"/>
    <col min="2312" max="2312" width="16.140625" style="157" customWidth="1"/>
    <col min="2313" max="2314" width="10.7109375" style="157" customWidth="1"/>
    <col min="2315" max="2315" width="12" style="157" bestFit="1" customWidth="1"/>
    <col min="2316" max="2316" width="12.28515625" style="157" bestFit="1" customWidth="1"/>
    <col min="2317" max="2317" width="13.28515625" style="157" bestFit="1" customWidth="1"/>
    <col min="2318" max="2318" width="15.5703125" style="157" customWidth="1"/>
    <col min="2319" max="2323" width="10.7109375" style="157" customWidth="1"/>
    <col min="2324" max="2326" width="11.42578125" style="157"/>
    <col min="2327" max="2327" width="12.5703125" style="157" bestFit="1" customWidth="1"/>
    <col min="2328" max="2560" width="11.42578125" style="157"/>
    <col min="2561" max="2561" width="18.5703125" style="157" customWidth="1"/>
    <col min="2562" max="2566" width="12.7109375" style="157" customWidth="1"/>
    <col min="2567" max="2567" width="13.85546875" style="157" bestFit="1" customWidth="1"/>
    <col min="2568" max="2568" width="16.140625" style="157" customWidth="1"/>
    <col min="2569" max="2570" width="10.7109375" style="157" customWidth="1"/>
    <col min="2571" max="2571" width="12" style="157" bestFit="1" customWidth="1"/>
    <col min="2572" max="2572" width="12.28515625" style="157" bestFit="1" customWidth="1"/>
    <col min="2573" max="2573" width="13.28515625" style="157" bestFit="1" customWidth="1"/>
    <col min="2574" max="2574" width="15.5703125" style="157" customWidth="1"/>
    <col min="2575" max="2579" width="10.7109375" style="157" customWidth="1"/>
    <col min="2580" max="2582" width="11.42578125" style="157"/>
    <col min="2583" max="2583" width="12.5703125" style="157" bestFit="1" customWidth="1"/>
    <col min="2584" max="2816" width="11.42578125" style="157"/>
    <col min="2817" max="2817" width="18.5703125" style="157" customWidth="1"/>
    <col min="2818" max="2822" width="12.7109375" style="157" customWidth="1"/>
    <col min="2823" max="2823" width="13.85546875" style="157" bestFit="1" customWidth="1"/>
    <col min="2824" max="2824" width="16.140625" style="157" customWidth="1"/>
    <col min="2825" max="2826" width="10.7109375" style="157" customWidth="1"/>
    <col min="2827" max="2827" width="12" style="157" bestFit="1" customWidth="1"/>
    <col min="2828" max="2828" width="12.28515625" style="157" bestFit="1" customWidth="1"/>
    <col min="2829" max="2829" width="13.28515625" style="157" bestFit="1" customWidth="1"/>
    <col min="2830" max="2830" width="15.5703125" style="157" customWidth="1"/>
    <col min="2831" max="2835" width="10.7109375" style="157" customWidth="1"/>
    <col min="2836" max="2838" width="11.42578125" style="157"/>
    <col min="2839" max="2839" width="12.5703125" style="157" bestFit="1" customWidth="1"/>
    <col min="2840" max="3072" width="11.42578125" style="157"/>
    <col min="3073" max="3073" width="18.5703125" style="157" customWidth="1"/>
    <col min="3074" max="3078" width="12.7109375" style="157" customWidth="1"/>
    <col min="3079" max="3079" width="13.85546875" style="157" bestFit="1" customWidth="1"/>
    <col min="3080" max="3080" width="16.140625" style="157" customWidth="1"/>
    <col min="3081" max="3082" width="10.7109375" style="157" customWidth="1"/>
    <col min="3083" max="3083" width="12" style="157" bestFit="1" customWidth="1"/>
    <col min="3084" max="3084" width="12.28515625" style="157" bestFit="1" customWidth="1"/>
    <col min="3085" max="3085" width="13.28515625" style="157" bestFit="1" customWidth="1"/>
    <col min="3086" max="3086" width="15.5703125" style="157" customWidth="1"/>
    <col min="3087" max="3091" width="10.7109375" style="157" customWidth="1"/>
    <col min="3092" max="3094" width="11.42578125" style="157"/>
    <col min="3095" max="3095" width="12.5703125" style="157" bestFit="1" customWidth="1"/>
    <col min="3096" max="3328" width="11.42578125" style="157"/>
    <col min="3329" max="3329" width="18.5703125" style="157" customWidth="1"/>
    <col min="3330" max="3334" width="12.7109375" style="157" customWidth="1"/>
    <col min="3335" max="3335" width="13.85546875" style="157" bestFit="1" customWidth="1"/>
    <col min="3336" max="3336" width="16.140625" style="157" customWidth="1"/>
    <col min="3337" max="3338" width="10.7109375" style="157" customWidth="1"/>
    <col min="3339" max="3339" width="12" style="157" bestFit="1" customWidth="1"/>
    <col min="3340" max="3340" width="12.28515625" style="157" bestFit="1" customWidth="1"/>
    <col min="3341" max="3341" width="13.28515625" style="157" bestFit="1" customWidth="1"/>
    <col min="3342" max="3342" width="15.5703125" style="157" customWidth="1"/>
    <col min="3343" max="3347" width="10.7109375" style="157" customWidth="1"/>
    <col min="3348" max="3350" width="11.42578125" style="157"/>
    <col min="3351" max="3351" width="12.5703125" style="157" bestFit="1" customWidth="1"/>
    <col min="3352" max="3584" width="11.42578125" style="157"/>
    <col min="3585" max="3585" width="18.5703125" style="157" customWidth="1"/>
    <col min="3586" max="3590" width="12.7109375" style="157" customWidth="1"/>
    <col min="3591" max="3591" width="13.85546875" style="157" bestFit="1" customWidth="1"/>
    <col min="3592" max="3592" width="16.140625" style="157" customWidth="1"/>
    <col min="3593" max="3594" width="10.7109375" style="157" customWidth="1"/>
    <col min="3595" max="3595" width="12" style="157" bestFit="1" customWidth="1"/>
    <col min="3596" max="3596" width="12.28515625" style="157" bestFit="1" customWidth="1"/>
    <col min="3597" max="3597" width="13.28515625" style="157" bestFit="1" customWidth="1"/>
    <col min="3598" max="3598" width="15.5703125" style="157" customWidth="1"/>
    <col min="3599" max="3603" width="10.7109375" style="157" customWidth="1"/>
    <col min="3604" max="3606" width="11.42578125" style="157"/>
    <col min="3607" max="3607" width="12.5703125" style="157" bestFit="1" customWidth="1"/>
    <col min="3608" max="3840" width="11.42578125" style="157"/>
    <col min="3841" max="3841" width="18.5703125" style="157" customWidth="1"/>
    <col min="3842" max="3846" width="12.7109375" style="157" customWidth="1"/>
    <col min="3847" max="3847" width="13.85546875" style="157" bestFit="1" customWidth="1"/>
    <col min="3848" max="3848" width="16.140625" style="157" customWidth="1"/>
    <col min="3849" max="3850" width="10.7109375" style="157" customWidth="1"/>
    <col min="3851" max="3851" width="12" style="157" bestFit="1" customWidth="1"/>
    <col min="3852" max="3852" width="12.28515625" style="157" bestFit="1" customWidth="1"/>
    <col min="3853" max="3853" width="13.28515625" style="157" bestFit="1" customWidth="1"/>
    <col min="3854" max="3854" width="15.5703125" style="157" customWidth="1"/>
    <col min="3855" max="3859" width="10.7109375" style="157" customWidth="1"/>
    <col min="3860" max="3862" width="11.42578125" style="157"/>
    <col min="3863" max="3863" width="12.5703125" style="157" bestFit="1" customWidth="1"/>
    <col min="3864" max="4096" width="11.42578125" style="157"/>
    <col min="4097" max="4097" width="18.5703125" style="157" customWidth="1"/>
    <col min="4098" max="4102" width="12.7109375" style="157" customWidth="1"/>
    <col min="4103" max="4103" width="13.85546875" style="157" bestFit="1" customWidth="1"/>
    <col min="4104" max="4104" width="16.140625" style="157" customWidth="1"/>
    <col min="4105" max="4106" width="10.7109375" style="157" customWidth="1"/>
    <col min="4107" max="4107" width="12" style="157" bestFit="1" customWidth="1"/>
    <col min="4108" max="4108" width="12.28515625" style="157" bestFit="1" customWidth="1"/>
    <col min="4109" max="4109" width="13.28515625" style="157" bestFit="1" customWidth="1"/>
    <col min="4110" max="4110" width="15.5703125" style="157" customWidth="1"/>
    <col min="4111" max="4115" width="10.7109375" style="157" customWidth="1"/>
    <col min="4116" max="4118" width="11.42578125" style="157"/>
    <col min="4119" max="4119" width="12.5703125" style="157" bestFit="1" customWidth="1"/>
    <col min="4120" max="4352" width="11.42578125" style="157"/>
    <col min="4353" max="4353" width="18.5703125" style="157" customWidth="1"/>
    <col min="4354" max="4358" width="12.7109375" style="157" customWidth="1"/>
    <col min="4359" max="4359" width="13.85546875" style="157" bestFit="1" customWidth="1"/>
    <col min="4360" max="4360" width="16.140625" style="157" customWidth="1"/>
    <col min="4361" max="4362" width="10.7109375" style="157" customWidth="1"/>
    <col min="4363" max="4363" width="12" style="157" bestFit="1" customWidth="1"/>
    <col min="4364" max="4364" width="12.28515625" style="157" bestFit="1" customWidth="1"/>
    <col min="4365" max="4365" width="13.28515625" style="157" bestFit="1" customWidth="1"/>
    <col min="4366" max="4366" width="15.5703125" style="157" customWidth="1"/>
    <col min="4367" max="4371" width="10.7109375" style="157" customWidth="1"/>
    <col min="4372" max="4374" width="11.42578125" style="157"/>
    <col min="4375" max="4375" width="12.5703125" style="157" bestFit="1" customWidth="1"/>
    <col min="4376" max="4608" width="11.42578125" style="157"/>
    <col min="4609" max="4609" width="18.5703125" style="157" customWidth="1"/>
    <col min="4610" max="4614" width="12.7109375" style="157" customWidth="1"/>
    <col min="4615" max="4615" width="13.85546875" style="157" bestFit="1" customWidth="1"/>
    <col min="4616" max="4616" width="16.140625" style="157" customWidth="1"/>
    <col min="4617" max="4618" width="10.7109375" style="157" customWidth="1"/>
    <col min="4619" max="4619" width="12" style="157" bestFit="1" customWidth="1"/>
    <col min="4620" max="4620" width="12.28515625" style="157" bestFit="1" customWidth="1"/>
    <col min="4621" max="4621" width="13.28515625" style="157" bestFit="1" customWidth="1"/>
    <col min="4622" max="4622" width="15.5703125" style="157" customWidth="1"/>
    <col min="4623" max="4627" width="10.7109375" style="157" customWidth="1"/>
    <col min="4628" max="4630" width="11.42578125" style="157"/>
    <col min="4631" max="4631" width="12.5703125" style="157" bestFit="1" customWidth="1"/>
    <col min="4632" max="4864" width="11.42578125" style="157"/>
    <col min="4865" max="4865" width="18.5703125" style="157" customWidth="1"/>
    <col min="4866" max="4870" width="12.7109375" style="157" customWidth="1"/>
    <col min="4871" max="4871" width="13.85546875" style="157" bestFit="1" customWidth="1"/>
    <col min="4872" max="4872" width="16.140625" style="157" customWidth="1"/>
    <col min="4873" max="4874" width="10.7109375" style="157" customWidth="1"/>
    <col min="4875" max="4875" width="12" style="157" bestFit="1" customWidth="1"/>
    <col min="4876" max="4876" width="12.28515625" style="157" bestFit="1" customWidth="1"/>
    <col min="4877" max="4877" width="13.28515625" style="157" bestFit="1" customWidth="1"/>
    <col min="4878" max="4878" width="15.5703125" style="157" customWidth="1"/>
    <col min="4879" max="4883" width="10.7109375" style="157" customWidth="1"/>
    <col min="4884" max="4886" width="11.42578125" style="157"/>
    <col min="4887" max="4887" width="12.5703125" style="157" bestFit="1" customWidth="1"/>
    <col min="4888" max="5120" width="11.42578125" style="157"/>
    <col min="5121" max="5121" width="18.5703125" style="157" customWidth="1"/>
    <col min="5122" max="5126" width="12.7109375" style="157" customWidth="1"/>
    <col min="5127" max="5127" width="13.85546875" style="157" bestFit="1" customWidth="1"/>
    <col min="5128" max="5128" width="16.140625" style="157" customWidth="1"/>
    <col min="5129" max="5130" width="10.7109375" style="157" customWidth="1"/>
    <col min="5131" max="5131" width="12" style="157" bestFit="1" customWidth="1"/>
    <col min="5132" max="5132" width="12.28515625" style="157" bestFit="1" customWidth="1"/>
    <col min="5133" max="5133" width="13.28515625" style="157" bestFit="1" customWidth="1"/>
    <col min="5134" max="5134" width="15.5703125" style="157" customWidth="1"/>
    <col min="5135" max="5139" width="10.7109375" style="157" customWidth="1"/>
    <col min="5140" max="5142" width="11.42578125" style="157"/>
    <col min="5143" max="5143" width="12.5703125" style="157" bestFit="1" customWidth="1"/>
    <col min="5144" max="5376" width="11.42578125" style="157"/>
    <col min="5377" max="5377" width="18.5703125" style="157" customWidth="1"/>
    <col min="5378" max="5382" width="12.7109375" style="157" customWidth="1"/>
    <col min="5383" max="5383" width="13.85546875" style="157" bestFit="1" customWidth="1"/>
    <col min="5384" max="5384" width="16.140625" style="157" customWidth="1"/>
    <col min="5385" max="5386" width="10.7109375" style="157" customWidth="1"/>
    <col min="5387" max="5387" width="12" style="157" bestFit="1" customWidth="1"/>
    <col min="5388" max="5388" width="12.28515625" style="157" bestFit="1" customWidth="1"/>
    <col min="5389" max="5389" width="13.28515625" style="157" bestFit="1" customWidth="1"/>
    <col min="5390" max="5390" width="15.5703125" style="157" customWidth="1"/>
    <col min="5391" max="5395" width="10.7109375" style="157" customWidth="1"/>
    <col min="5396" max="5398" width="11.42578125" style="157"/>
    <col min="5399" max="5399" width="12.5703125" style="157" bestFit="1" customWidth="1"/>
    <col min="5400" max="5632" width="11.42578125" style="157"/>
    <col min="5633" max="5633" width="18.5703125" style="157" customWidth="1"/>
    <col min="5634" max="5638" width="12.7109375" style="157" customWidth="1"/>
    <col min="5639" max="5639" width="13.85546875" style="157" bestFit="1" customWidth="1"/>
    <col min="5640" max="5640" width="16.140625" style="157" customWidth="1"/>
    <col min="5641" max="5642" width="10.7109375" style="157" customWidth="1"/>
    <col min="5643" max="5643" width="12" style="157" bestFit="1" customWidth="1"/>
    <col min="5644" max="5644" width="12.28515625" style="157" bestFit="1" customWidth="1"/>
    <col min="5645" max="5645" width="13.28515625" style="157" bestFit="1" customWidth="1"/>
    <col min="5646" max="5646" width="15.5703125" style="157" customWidth="1"/>
    <col min="5647" max="5651" width="10.7109375" style="157" customWidth="1"/>
    <col min="5652" max="5654" width="11.42578125" style="157"/>
    <col min="5655" max="5655" width="12.5703125" style="157" bestFit="1" customWidth="1"/>
    <col min="5656" max="5888" width="11.42578125" style="157"/>
    <col min="5889" max="5889" width="18.5703125" style="157" customWidth="1"/>
    <col min="5890" max="5894" width="12.7109375" style="157" customWidth="1"/>
    <col min="5895" max="5895" width="13.85546875" style="157" bestFit="1" customWidth="1"/>
    <col min="5896" max="5896" width="16.140625" style="157" customWidth="1"/>
    <col min="5897" max="5898" width="10.7109375" style="157" customWidth="1"/>
    <col min="5899" max="5899" width="12" style="157" bestFit="1" customWidth="1"/>
    <col min="5900" max="5900" width="12.28515625" style="157" bestFit="1" customWidth="1"/>
    <col min="5901" max="5901" width="13.28515625" style="157" bestFit="1" customWidth="1"/>
    <col min="5902" max="5902" width="15.5703125" style="157" customWidth="1"/>
    <col min="5903" max="5907" width="10.7109375" style="157" customWidth="1"/>
    <col min="5908" max="5910" width="11.42578125" style="157"/>
    <col min="5911" max="5911" width="12.5703125" style="157" bestFit="1" customWidth="1"/>
    <col min="5912" max="6144" width="11.42578125" style="157"/>
    <col min="6145" max="6145" width="18.5703125" style="157" customWidth="1"/>
    <col min="6146" max="6150" width="12.7109375" style="157" customWidth="1"/>
    <col min="6151" max="6151" width="13.85546875" style="157" bestFit="1" customWidth="1"/>
    <col min="6152" max="6152" width="16.140625" style="157" customWidth="1"/>
    <col min="6153" max="6154" width="10.7109375" style="157" customWidth="1"/>
    <col min="6155" max="6155" width="12" style="157" bestFit="1" customWidth="1"/>
    <col min="6156" max="6156" width="12.28515625" style="157" bestFit="1" customWidth="1"/>
    <col min="6157" max="6157" width="13.28515625" style="157" bestFit="1" customWidth="1"/>
    <col min="6158" max="6158" width="15.5703125" style="157" customWidth="1"/>
    <col min="6159" max="6163" width="10.7109375" style="157" customWidth="1"/>
    <col min="6164" max="6166" width="11.42578125" style="157"/>
    <col min="6167" max="6167" width="12.5703125" style="157" bestFit="1" customWidth="1"/>
    <col min="6168" max="6400" width="11.42578125" style="157"/>
    <col min="6401" max="6401" width="18.5703125" style="157" customWidth="1"/>
    <col min="6402" max="6406" width="12.7109375" style="157" customWidth="1"/>
    <col min="6407" max="6407" width="13.85546875" style="157" bestFit="1" customWidth="1"/>
    <col min="6408" max="6408" width="16.140625" style="157" customWidth="1"/>
    <col min="6409" max="6410" width="10.7109375" style="157" customWidth="1"/>
    <col min="6411" max="6411" width="12" style="157" bestFit="1" customWidth="1"/>
    <col min="6412" max="6412" width="12.28515625" style="157" bestFit="1" customWidth="1"/>
    <col min="6413" max="6413" width="13.28515625" style="157" bestFit="1" customWidth="1"/>
    <col min="6414" max="6414" width="15.5703125" style="157" customWidth="1"/>
    <col min="6415" max="6419" width="10.7109375" style="157" customWidth="1"/>
    <col min="6420" max="6422" width="11.42578125" style="157"/>
    <col min="6423" max="6423" width="12.5703125" style="157" bestFit="1" customWidth="1"/>
    <col min="6424" max="6656" width="11.42578125" style="157"/>
    <col min="6657" max="6657" width="18.5703125" style="157" customWidth="1"/>
    <col min="6658" max="6662" width="12.7109375" style="157" customWidth="1"/>
    <col min="6663" max="6663" width="13.85546875" style="157" bestFit="1" customWidth="1"/>
    <col min="6664" max="6664" width="16.140625" style="157" customWidth="1"/>
    <col min="6665" max="6666" width="10.7109375" style="157" customWidth="1"/>
    <col min="6667" max="6667" width="12" style="157" bestFit="1" customWidth="1"/>
    <col min="6668" max="6668" width="12.28515625" style="157" bestFit="1" customWidth="1"/>
    <col min="6669" max="6669" width="13.28515625" style="157" bestFit="1" customWidth="1"/>
    <col min="6670" max="6670" width="15.5703125" style="157" customWidth="1"/>
    <col min="6671" max="6675" width="10.7109375" style="157" customWidth="1"/>
    <col min="6676" max="6678" width="11.42578125" style="157"/>
    <col min="6679" max="6679" width="12.5703125" style="157" bestFit="1" customWidth="1"/>
    <col min="6680" max="6912" width="11.42578125" style="157"/>
    <col min="6913" max="6913" width="18.5703125" style="157" customWidth="1"/>
    <col min="6914" max="6918" width="12.7109375" style="157" customWidth="1"/>
    <col min="6919" max="6919" width="13.85546875" style="157" bestFit="1" customWidth="1"/>
    <col min="6920" max="6920" width="16.140625" style="157" customWidth="1"/>
    <col min="6921" max="6922" width="10.7109375" style="157" customWidth="1"/>
    <col min="6923" max="6923" width="12" style="157" bestFit="1" customWidth="1"/>
    <col min="6924" max="6924" width="12.28515625" style="157" bestFit="1" customWidth="1"/>
    <col min="6925" max="6925" width="13.28515625" style="157" bestFit="1" customWidth="1"/>
    <col min="6926" max="6926" width="15.5703125" style="157" customWidth="1"/>
    <col min="6927" max="6931" width="10.7109375" style="157" customWidth="1"/>
    <col min="6932" max="6934" width="11.42578125" style="157"/>
    <col min="6935" max="6935" width="12.5703125" style="157" bestFit="1" customWidth="1"/>
    <col min="6936" max="7168" width="11.42578125" style="157"/>
    <col min="7169" max="7169" width="18.5703125" style="157" customWidth="1"/>
    <col min="7170" max="7174" width="12.7109375" style="157" customWidth="1"/>
    <col min="7175" max="7175" width="13.85546875" style="157" bestFit="1" customWidth="1"/>
    <col min="7176" max="7176" width="16.140625" style="157" customWidth="1"/>
    <col min="7177" max="7178" width="10.7109375" style="157" customWidth="1"/>
    <col min="7179" max="7179" width="12" style="157" bestFit="1" customWidth="1"/>
    <col min="7180" max="7180" width="12.28515625" style="157" bestFit="1" customWidth="1"/>
    <col min="7181" max="7181" width="13.28515625" style="157" bestFit="1" customWidth="1"/>
    <col min="7182" max="7182" width="15.5703125" style="157" customWidth="1"/>
    <col min="7183" max="7187" width="10.7109375" style="157" customWidth="1"/>
    <col min="7188" max="7190" width="11.42578125" style="157"/>
    <col min="7191" max="7191" width="12.5703125" style="157" bestFit="1" customWidth="1"/>
    <col min="7192" max="7424" width="11.42578125" style="157"/>
    <col min="7425" max="7425" width="18.5703125" style="157" customWidth="1"/>
    <col min="7426" max="7430" width="12.7109375" style="157" customWidth="1"/>
    <col min="7431" max="7431" width="13.85546875" style="157" bestFit="1" customWidth="1"/>
    <col min="7432" max="7432" width="16.140625" style="157" customWidth="1"/>
    <col min="7433" max="7434" width="10.7109375" style="157" customWidth="1"/>
    <col min="7435" max="7435" width="12" style="157" bestFit="1" customWidth="1"/>
    <col min="7436" max="7436" width="12.28515625" style="157" bestFit="1" customWidth="1"/>
    <col min="7437" max="7437" width="13.28515625" style="157" bestFit="1" customWidth="1"/>
    <col min="7438" max="7438" width="15.5703125" style="157" customWidth="1"/>
    <col min="7439" max="7443" width="10.7109375" style="157" customWidth="1"/>
    <col min="7444" max="7446" width="11.42578125" style="157"/>
    <col min="7447" max="7447" width="12.5703125" style="157" bestFit="1" customWidth="1"/>
    <col min="7448" max="7680" width="11.42578125" style="157"/>
    <col min="7681" max="7681" width="18.5703125" style="157" customWidth="1"/>
    <col min="7682" max="7686" width="12.7109375" style="157" customWidth="1"/>
    <col min="7687" max="7687" width="13.85546875" style="157" bestFit="1" customWidth="1"/>
    <col min="7688" max="7688" width="16.140625" style="157" customWidth="1"/>
    <col min="7689" max="7690" width="10.7109375" style="157" customWidth="1"/>
    <col min="7691" max="7691" width="12" style="157" bestFit="1" customWidth="1"/>
    <col min="7692" max="7692" width="12.28515625" style="157" bestFit="1" customWidth="1"/>
    <col min="7693" max="7693" width="13.28515625" style="157" bestFit="1" customWidth="1"/>
    <col min="7694" max="7694" width="15.5703125" style="157" customWidth="1"/>
    <col min="7695" max="7699" width="10.7109375" style="157" customWidth="1"/>
    <col min="7700" max="7702" width="11.42578125" style="157"/>
    <col min="7703" max="7703" width="12.5703125" style="157" bestFit="1" customWidth="1"/>
    <col min="7704" max="7936" width="11.42578125" style="157"/>
    <col min="7937" max="7937" width="18.5703125" style="157" customWidth="1"/>
    <col min="7938" max="7942" width="12.7109375" style="157" customWidth="1"/>
    <col min="7943" max="7943" width="13.85546875" style="157" bestFit="1" customWidth="1"/>
    <col min="7944" max="7944" width="16.140625" style="157" customWidth="1"/>
    <col min="7945" max="7946" width="10.7109375" style="157" customWidth="1"/>
    <col min="7947" max="7947" width="12" style="157" bestFit="1" customWidth="1"/>
    <col min="7948" max="7948" width="12.28515625" style="157" bestFit="1" customWidth="1"/>
    <col min="7949" max="7949" width="13.28515625" style="157" bestFit="1" customWidth="1"/>
    <col min="7950" max="7950" width="15.5703125" style="157" customWidth="1"/>
    <col min="7951" max="7955" width="10.7109375" style="157" customWidth="1"/>
    <col min="7956" max="7958" width="11.42578125" style="157"/>
    <col min="7959" max="7959" width="12.5703125" style="157" bestFit="1" customWidth="1"/>
    <col min="7960" max="8192" width="11.42578125" style="157"/>
    <col min="8193" max="8193" width="18.5703125" style="157" customWidth="1"/>
    <col min="8194" max="8198" width="12.7109375" style="157" customWidth="1"/>
    <col min="8199" max="8199" width="13.85546875" style="157" bestFit="1" customWidth="1"/>
    <col min="8200" max="8200" width="16.140625" style="157" customWidth="1"/>
    <col min="8201" max="8202" width="10.7109375" style="157" customWidth="1"/>
    <col min="8203" max="8203" width="12" style="157" bestFit="1" customWidth="1"/>
    <col min="8204" max="8204" width="12.28515625" style="157" bestFit="1" customWidth="1"/>
    <col min="8205" max="8205" width="13.28515625" style="157" bestFit="1" customWidth="1"/>
    <col min="8206" max="8206" width="15.5703125" style="157" customWidth="1"/>
    <col min="8207" max="8211" width="10.7109375" style="157" customWidth="1"/>
    <col min="8212" max="8214" width="11.42578125" style="157"/>
    <col min="8215" max="8215" width="12.5703125" style="157" bestFit="1" customWidth="1"/>
    <col min="8216" max="8448" width="11.42578125" style="157"/>
    <col min="8449" max="8449" width="18.5703125" style="157" customWidth="1"/>
    <col min="8450" max="8454" width="12.7109375" style="157" customWidth="1"/>
    <col min="8455" max="8455" width="13.85546875" style="157" bestFit="1" customWidth="1"/>
    <col min="8456" max="8456" width="16.140625" style="157" customWidth="1"/>
    <col min="8457" max="8458" width="10.7109375" style="157" customWidth="1"/>
    <col min="8459" max="8459" width="12" style="157" bestFit="1" customWidth="1"/>
    <col min="8460" max="8460" width="12.28515625" style="157" bestFit="1" customWidth="1"/>
    <col min="8461" max="8461" width="13.28515625" style="157" bestFit="1" customWidth="1"/>
    <col min="8462" max="8462" width="15.5703125" style="157" customWidth="1"/>
    <col min="8463" max="8467" width="10.7109375" style="157" customWidth="1"/>
    <col min="8468" max="8470" width="11.42578125" style="157"/>
    <col min="8471" max="8471" width="12.5703125" style="157" bestFit="1" customWidth="1"/>
    <col min="8472" max="8704" width="11.42578125" style="157"/>
    <col min="8705" max="8705" width="18.5703125" style="157" customWidth="1"/>
    <col min="8706" max="8710" width="12.7109375" style="157" customWidth="1"/>
    <col min="8711" max="8711" width="13.85546875" style="157" bestFit="1" customWidth="1"/>
    <col min="8712" max="8712" width="16.140625" style="157" customWidth="1"/>
    <col min="8713" max="8714" width="10.7109375" style="157" customWidth="1"/>
    <col min="8715" max="8715" width="12" style="157" bestFit="1" customWidth="1"/>
    <col min="8716" max="8716" width="12.28515625" style="157" bestFit="1" customWidth="1"/>
    <col min="8717" max="8717" width="13.28515625" style="157" bestFit="1" customWidth="1"/>
    <col min="8718" max="8718" width="15.5703125" style="157" customWidth="1"/>
    <col min="8719" max="8723" width="10.7109375" style="157" customWidth="1"/>
    <col min="8724" max="8726" width="11.42578125" style="157"/>
    <col min="8727" max="8727" width="12.5703125" style="157" bestFit="1" customWidth="1"/>
    <col min="8728" max="8960" width="11.42578125" style="157"/>
    <col min="8961" max="8961" width="18.5703125" style="157" customWidth="1"/>
    <col min="8962" max="8966" width="12.7109375" style="157" customWidth="1"/>
    <col min="8967" max="8967" width="13.85546875" style="157" bestFit="1" customWidth="1"/>
    <col min="8968" max="8968" width="16.140625" style="157" customWidth="1"/>
    <col min="8969" max="8970" width="10.7109375" style="157" customWidth="1"/>
    <col min="8971" max="8971" width="12" style="157" bestFit="1" customWidth="1"/>
    <col min="8972" max="8972" width="12.28515625" style="157" bestFit="1" customWidth="1"/>
    <col min="8973" max="8973" width="13.28515625" style="157" bestFit="1" customWidth="1"/>
    <col min="8974" max="8974" width="15.5703125" style="157" customWidth="1"/>
    <col min="8975" max="8979" width="10.7109375" style="157" customWidth="1"/>
    <col min="8980" max="8982" width="11.42578125" style="157"/>
    <col min="8983" max="8983" width="12.5703125" style="157" bestFit="1" customWidth="1"/>
    <col min="8984" max="9216" width="11.42578125" style="157"/>
    <col min="9217" max="9217" width="18.5703125" style="157" customWidth="1"/>
    <col min="9218" max="9222" width="12.7109375" style="157" customWidth="1"/>
    <col min="9223" max="9223" width="13.85546875" style="157" bestFit="1" customWidth="1"/>
    <col min="9224" max="9224" width="16.140625" style="157" customWidth="1"/>
    <col min="9225" max="9226" width="10.7109375" style="157" customWidth="1"/>
    <col min="9227" max="9227" width="12" style="157" bestFit="1" customWidth="1"/>
    <col min="9228" max="9228" width="12.28515625" style="157" bestFit="1" customWidth="1"/>
    <col min="9229" max="9229" width="13.28515625" style="157" bestFit="1" customWidth="1"/>
    <col min="9230" max="9230" width="15.5703125" style="157" customWidth="1"/>
    <col min="9231" max="9235" width="10.7109375" style="157" customWidth="1"/>
    <col min="9236" max="9238" width="11.42578125" style="157"/>
    <col min="9239" max="9239" width="12.5703125" style="157" bestFit="1" customWidth="1"/>
    <col min="9240" max="9472" width="11.42578125" style="157"/>
    <col min="9473" max="9473" width="18.5703125" style="157" customWidth="1"/>
    <col min="9474" max="9478" width="12.7109375" style="157" customWidth="1"/>
    <col min="9479" max="9479" width="13.85546875" style="157" bestFit="1" customWidth="1"/>
    <col min="9480" max="9480" width="16.140625" style="157" customWidth="1"/>
    <col min="9481" max="9482" width="10.7109375" style="157" customWidth="1"/>
    <col min="9483" max="9483" width="12" style="157" bestFit="1" customWidth="1"/>
    <col min="9484" max="9484" width="12.28515625" style="157" bestFit="1" customWidth="1"/>
    <col min="9485" max="9485" width="13.28515625" style="157" bestFit="1" customWidth="1"/>
    <col min="9486" max="9486" width="15.5703125" style="157" customWidth="1"/>
    <col min="9487" max="9491" width="10.7109375" style="157" customWidth="1"/>
    <col min="9492" max="9494" width="11.42578125" style="157"/>
    <col min="9495" max="9495" width="12.5703125" style="157" bestFit="1" customWidth="1"/>
    <col min="9496" max="9728" width="11.42578125" style="157"/>
    <col min="9729" max="9729" width="18.5703125" style="157" customWidth="1"/>
    <col min="9730" max="9734" width="12.7109375" style="157" customWidth="1"/>
    <col min="9735" max="9735" width="13.85546875" style="157" bestFit="1" customWidth="1"/>
    <col min="9736" max="9736" width="16.140625" style="157" customWidth="1"/>
    <col min="9737" max="9738" width="10.7109375" style="157" customWidth="1"/>
    <col min="9739" max="9739" width="12" style="157" bestFit="1" customWidth="1"/>
    <col min="9740" max="9740" width="12.28515625" style="157" bestFit="1" customWidth="1"/>
    <col min="9741" max="9741" width="13.28515625" style="157" bestFit="1" customWidth="1"/>
    <col min="9742" max="9742" width="15.5703125" style="157" customWidth="1"/>
    <col min="9743" max="9747" width="10.7109375" style="157" customWidth="1"/>
    <col min="9748" max="9750" width="11.42578125" style="157"/>
    <col min="9751" max="9751" width="12.5703125" style="157" bestFit="1" customWidth="1"/>
    <col min="9752" max="9984" width="11.42578125" style="157"/>
    <col min="9985" max="9985" width="18.5703125" style="157" customWidth="1"/>
    <col min="9986" max="9990" width="12.7109375" style="157" customWidth="1"/>
    <col min="9991" max="9991" width="13.85546875" style="157" bestFit="1" customWidth="1"/>
    <col min="9992" max="9992" width="16.140625" style="157" customWidth="1"/>
    <col min="9993" max="9994" width="10.7109375" style="157" customWidth="1"/>
    <col min="9995" max="9995" width="12" style="157" bestFit="1" customWidth="1"/>
    <col min="9996" max="9996" width="12.28515625" style="157" bestFit="1" customWidth="1"/>
    <col min="9997" max="9997" width="13.28515625" style="157" bestFit="1" customWidth="1"/>
    <col min="9998" max="9998" width="15.5703125" style="157" customWidth="1"/>
    <col min="9999" max="10003" width="10.7109375" style="157" customWidth="1"/>
    <col min="10004" max="10006" width="11.42578125" style="157"/>
    <col min="10007" max="10007" width="12.5703125" style="157" bestFit="1" customWidth="1"/>
    <col min="10008" max="10240" width="11.42578125" style="157"/>
    <col min="10241" max="10241" width="18.5703125" style="157" customWidth="1"/>
    <col min="10242" max="10246" width="12.7109375" style="157" customWidth="1"/>
    <col min="10247" max="10247" width="13.85546875" style="157" bestFit="1" customWidth="1"/>
    <col min="10248" max="10248" width="16.140625" style="157" customWidth="1"/>
    <col min="10249" max="10250" width="10.7109375" style="157" customWidth="1"/>
    <col min="10251" max="10251" width="12" style="157" bestFit="1" customWidth="1"/>
    <col min="10252" max="10252" width="12.28515625" style="157" bestFit="1" customWidth="1"/>
    <col min="10253" max="10253" width="13.28515625" style="157" bestFit="1" customWidth="1"/>
    <col min="10254" max="10254" width="15.5703125" style="157" customWidth="1"/>
    <col min="10255" max="10259" width="10.7109375" style="157" customWidth="1"/>
    <col min="10260" max="10262" width="11.42578125" style="157"/>
    <col min="10263" max="10263" width="12.5703125" style="157" bestFit="1" customWidth="1"/>
    <col min="10264" max="10496" width="11.42578125" style="157"/>
    <col min="10497" max="10497" width="18.5703125" style="157" customWidth="1"/>
    <col min="10498" max="10502" width="12.7109375" style="157" customWidth="1"/>
    <col min="10503" max="10503" width="13.85546875" style="157" bestFit="1" customWidth="1"/>
    <col min="10504" max="10504" width="16.140625" style="157" customWidth="1"/>
    <col min="10505" max="10506" width="10.7109375" style="157" customWidth="1"/>
    <col min="10507" max="10507" width="12" style="157" bestFit="1" customWidth="1"/>
    <col min="10508" max="10508" width="12.28515625" style="157" bestFit="1" customWidth="1"/>
    <col min="10509" max="10509" width="13.28515625" style="157" bestFit="1" customWidth="1"/>
    <col min="10510" max="10510" width="15.5703125" style="157" customWidth="1"/>
    <col min="10511" max="10515" width="10.7109375" style="157" customWidth="1"/>
    <col min="10516" max="10518" width="11.42578125" style="157"/>
    <col min="10519" max="10519" width="12.5703125" style="157" bestFit="1" customWidth="1"/>
    <col min="10520" max="10752" width="11.42578125" style="157"/>
    <col min="10753" max="10753" width="18.5703125" style="157" customWidth="1"/>
    <col min="10754" max="10758" width="12.7109375" style="157" customWidth="1"/>
    <col min="10759" max="10759" width="13.85546875" style="157" bestFit="1" customWidth="1"/>
    <col min="10760" max="10760" width="16.140625" style="157" customWidth="1"/>
    <col min="10761" max="10762" width="10.7109375" style="157" customWidth="1"/>
    <col min="10763" max="10763" width="12" style="157" bestFit="1" customWidth="1"/>
    <col min="10764" max="10764" width="12.28515625" style="157" bestFit="1" customWidth="1"/>
    <col min="10765" max="10765" width="13.28515625" style="157" bestFit="1" customWidth="1"/>
    <col min="10766" max="10766" width="15.5703125" style="157" customWidth="1"/>
    <col min="10767" max="10771" width="10.7109375" style="157" customWidth="1"/>
    <col min="10772" max="10774" width="11.42578125" style="157"/>
    <col min="10775" max="10775" width="12.5703125" style="157" bestFit="1" customWidth="1"/>
    <col min="10776" max="11008" width="11.42578125" style="157"/>
    <col min="11009" max="11009" width="18.5703125" style="157" customWidth="1"/>
    <col min="11010" max="11014" width="12.7109375" style="157" customWidth="1"/>
    <col min="11015" max="11015" width="13.85546875" style="157" bestFit="1" customWidth="1"/>
    <col min="11016" max="11016" width="16.140625" style="157" customWidth="1"/>
    <col min="11017" max="11018" width="10.7109375" style="157" customWidth="1"/>
    <col min="11019" max="11019" width="12" style="157" bestFit="1" customWidth="1"/>
    <col min="11020" max="11020" width="12.28515625" style="157" bestFit="1" customWidth="1"/>
    <col min="11021" max="11021" width="13.28515625" style="157" bestFit="1" customWidth="1"/>
    <col min="11022" max="11022" width="15.5703125" style="157" customWidth="1"/>
    <col min="11023" max="11027" width="10.7109375" style="157" customWidth="1"/>
    <col min="11028" max="11030" width="11.42578125" style="157"/>
    <col min="11031" max="11031" width="12.5703125" style="157" bestFit="1" customWidth="1"/>
    <col min="11032" max="11264" width="11.42578125" style="157"/>
    <col min="11265" max="11265" width="18.5703125" style="157" customWidth="1"/>
    <col min="11266" max="11270" width="12.7109375" style="157" customWidth="1"/>
    <col min="11271" max="11271" width="13.85546875" style="157" bestFit="1" customWidth="1"/>
    <col min="11272" max="11272" width="16.140625" style="157" customWidth="1"/>
    <col min="11273" max="11274" width="10.7109375" style="157" customWidth="1"/>
    <col min="11275" max="11275" width="12" style="157" bestFit="1" customWidth="1"/>
    <col min="11276" max="11276" width="12.28515625" style="157" bestFit="1" customWidth="1"/>
    <col min="11277" max="11277" width="13.28515625" style="157" bestFit="1" customWidth="1"/>
    <col min="11278" max="11278" width="15.5703125" style="157" customWidth="1"/>
    <col min="11279" max="11283" width="10.7109375" style="157" customWidth="1"/>
    <col min="11284" max="11286" width="11.42578125" style="157"/>
    <col min="11287" max="11287" width="12.5703125" style="157" bestFit="1" customWidth="1"/>
    <col min="11288" max="11520" width="11.42578125" style="157"/>
    <col min="11521" max="11521" width="18.5703125" style="157" customWidth="1"/>
    <col min="11522" max="11526" width="12.7109375" style="157" customWidth="1"/>
    <col min="11527" max="11527" width="13.85546875" style="157" bestFit="1" customWidth="1"/>
    <col min="11528" max="11528" width="16.140625" style="157" customWidth="1"/>
    <col min="11529" max="11530" width="10.7109375" style="157" customWidth="1"/>
    <col min="11531" max="11531" width="12" style="157" bestFit="1" customWidth="1"/>
    <col min="11532" max="11532" width="12.28515625" style="157" bestFit="1" customWidth="1"/>
    <col min="11533" max="11533" width="13.28515625" style="157" bestFit="1" customWidth="1"/>
    <col min="11534" max="11534" width="15.5703125" style="157" customWidth="1"/>
    <col min="11535" max="11539" width="10.7109375" style="157" customWidth="1"/>
    <col min="11540" max="11542" width="11.42578125" style="157"/>
    <col min="11543" max="11543" width="12.5703125" style="157" bestFit="1" customWidth="1"/>
    <col min="11544" max="11776" width="11.42578125" style="157"/>
    <col min="11777" max="11777" width="18.5703125" style="157" customWidth="1"/>
    <col min="11778" max="11782" width="12.7109375" style="157" customWidth="1"/>
    <col min="11783" max="11783" width="13.85546875" style="157" bestFit="1" customWidth="1"/>
    <col min="11784" max="11784" width="16.140625" style="157" customWidth="1"/>
    <col min="11785" max="11786" width="10.7109375" style="157" customWidth="1"/>
    <col min="11787" max="11787" width="12" style="157" bestFit="1" customWidth="1"/>
    <col min="11788" max="11788" width="12.28515625" style="157" bestFit="1" customWidth="1"/>
    <col min="11789" max="11789" width="13.28515625" style="157" bestFit="1" customWidth="1"/>
    <col min="11790" max="11790" width="15.5703125" style="157" customWidth="1"/>
    <col min="11791" max="11795" width="10.7109375" style="157" customWidth="1"/>
    <col min="11796" max="11798" width="11.42578125" style="157"/>
    <col min="11799" max="11799" width="12.5703125" style="157" bestFit="1" customWidth="1"/>
    <col min="11800" max="12032" width="11.42578125" style="157"/>
    <col min="12033" max="12033" width="18.5703125" style="157" customWidth="1"/>
    <col min="12034" max="12038" width="12.7109375" style="157" customWidth="1"/>
    <col min="12039" max="12039" width="13.85546875" style="157" bestFit="1" customWidth="1"/>
    <col min="12040" max="12040" width="16.140625" style="157" customWidth="1"/>
    <col min="12041" max="12042" width="10.7109375" style="157" customWidth="1"/>
    <col min="12043" max="12043" width="12" style="157" bestFit="1" customWidth="1"/>
    <col min="12044" max="12044" width="12.28515625" style="157" bestFit="1" customWidth="1"/>
    <col min="12045" max="12045" width="13.28515625" style="157" bestFit="1" customWidth="1"/>
    <col min="12046" max="12046" width="15.5703125" style="157" customWidth="1"/>
    <col min="12047" max="12051" width="10.7109375" style="157" customWidth="1"/>
    <col min="12052" max="12054" width="11.42578125" style="157"/>
    <col min="12055" max="12055" width="12.5703125" style="157" bestFit="1" customWidth="1"/>
    <col min="12056" max="12288" width="11.42578125" style="157"/>
    <col min="12289" max="12289" width="18.5703125" style="157" customWidth="1"/>
    <col min="12290" max="12294" width="12.7109375" style="157" customWidth="1"/>
    <col min="12295" max="12295" width="13.85546875" style="157" bestFit="1" customWidth="1"/>
    <col min="12296" max="12296" width="16.140625" style="157" customWidth="1"/>
    <col min="12297" max="12298" width="10.7109375" style="157" customWidth="1"/>
    <col min="12299" max="12299" width="12" style="157" bestFit="1" customWidth="1"/>
    <col min="12300" max="12300" width="12.28515625" style="157" bestFit="1" customWidth="1"/>
    <col min="12301" max="12301" width="13.28515625" style="157" bestFit="1" customWidth="1"/>
    <col min="12302" max="12302" width="15.5703125" style="157" customWidth="1"/>
    <col min="12303" max="12307" width="10.7109375" style="157" customWidth="1"/>
    <col min="12308" max="12310" width="11.42578125" style="157"/>
    <col min="12311" max="12311" width="12.5703125" style="157" bestFit="1" customWidth="1"/>
    <col min="12312" max="12544" width="11.42578125" style="157"/>
    <col min="12545" max="12545" width="18.5703125" style="157" customWidth="1"/>
    <col min="12546" max="12550" width="12.7109375" style="157" customWidth="1"/>
    <col min="12551" max="12551" width="13.85546875" style="157" bestFit="1" customWidth="1"/>
    <col min="12552" max="12552" width="16.140625" style="157" customWidth="1"/>
    <col min="12553" max="12554" width="10.7109375" style="157" customWidth="1"/>
    <col min="12555" max="12555" width="12" style="157" bestFit="1" customWidth="1"/>
    <col min="12556" max="12556" width="12.28515625" style="157" bestFit="1" customWidth="1"/>
    <col min="12557" max="12557" width="13.28515625" style="157" bestFit="1" customWidth="1"/>
    <col min="12558" max="12558" width="15.5703125" style="157" customWidth="1"/>
    <col min="12559" max="12563" width="10.7109375" style="157" customWidth="1"/>
    <col min="12564" max="12566" width="11.42578125" style="157"/>
    <col min="12567" max="12567" width="12.5703125" style="157" bestFit="1" customWidth="1"/>
    <col min="12568" max="12800" width="11.42578125" style="157"/>
    <col min="12801" max="12801" width="18.5703125" style="157" customWidth="1"/>
    <col min="12802" max="12806" width="12.7109375" style="157" customWidth="1"/>
    <col min="12807" max="12807" width="13.85546875" style="157" bestFit="1" customWidth="1"/>
    <col min="12808" max="12808" width="16.140625" style="157" customWidth="1"/>
    <col min="12809" max="12810" width="10.7109375" style="157" customWidth="1"/>
    <col min="12811" max="12811" width="12" style="157" bestFit="1" customWidth="1"/>
    <col min="12812" max="12812" width="12.28515625" style="157" bestFit="1" customWidth="1"/>
    <col min="12813" max="12813" width="13.28515625" style="157" bestFit="1" customWidth="1"/>
    <col min="12814" max="12814" width="15.5703125" style="157" customWidth="1"/>
    <col min="12815" max="12819" width="10.7109375" style="157" customWidth="1"/>
    <col min="12820" max="12822" width="11.42578125" style="157"/>
    <col min="12823" max="12823" width="12.5703125" style="157" bestFit="1" customWidth="1"/>
    <col min="12824" max="13056" width="11.42578125" style="157"/>
    <col min="13057" max="13057" width="18.5703125" style="157" customWidth="1"/>
    <col min="13058" max="13062" width="12.7109375" style="157" customWidth="1"/>
    <col min="13063" max="13063" width="13.85546875" style="157" bestFit="1" customWidth="1"/>
    <col min="13064" max="13064" width="16.140625" style="157" customWidth="1"/>
    <col min="13065" max="13066" width="10.7109375" style="157" customWidth="1"/>
    <col min="13067" max="13067" width="12" style="157" bestFit="1" customWidth="1"/>
    <col min="13068" max="13068" width="12.28515625" style="157" bestFit="1" customWidth="1"/>
    <col min="13069" max="13069" width="13.28515625" style="157" bestFit="1" customWidth="1"/>
    <col min="13070" max="13070" width="15.5703125" style="157" customWidth="1"/>
    <col min="13071" max="13075" width="10.7109375" style="157" customWidth="1"/>
    <col min="13076" max="13078" width="11.42578125" style="157"/>
    <col min="13079" max="13079" width="12.5703125" style="157" bestFit="1" customWidth="1"/>
    <col min="13080" max="13312" width="11.42578125" style="157"/>
    <col min="13313" max="13313" width="18.5703125" style="157" customWidth="1"/>
    <col min="13314" max="13318" width="12.7109375" style="157" customWidth="1"/>
    <col min="13319" max="13319" width="13.85546875" style="157" bestFit="1" customWidth="1"/>
    <col min="13320" max="13320" width="16.140625" style="157" customWidth="1"/>
    <col min="13321" max="13322" width="10.7109375" style="157" customWidth="1"/>
    <col min="13323" max="13323" width="12" style="157" bestFit="1" customWidth="1"/>
    <col min="13324" max="13324" width="12.28515625" style="157" bestFit="1" customWidth="1"/>
    <col min="13325" max="13325" width="13.28515625" style="157" bestFit="1" customWidth="1"/>
    <col min="13326" max="13326" width="15.5703125" style="157" customWidth="1"/>
    <col min="13327" max="13331" width="10.7109375" style="157" customWidth="1"/>
    <col min="13332" max="13334" width="11.42578125" style="157"/>
    <col min="13335" max="13335" width="12.5703125" style="157" bestFit="1" customWidth="1"/>
    <col min="13336" max="13568" width="11.42578125" style="157"/>
    <col min="13569" max="13569" width="18.5703125" style="157" customWidth="1"/>
    <col min="13570" max="13574" width="12.7109375" style="157" customWidth="1"/>
    <col min="13575" max="13575" width="13.85546875" style="157" bestFit="1" customWidth="1"/>
    <col min="13576" max="13576" width="16.140625" style="157" customWidth="1"/>
    <col min="13577" max="13578" width="10.7109375" style="157" customWidth="1"/>
    <col min="13579" max="13579" width="12" style="157" bestFit="1" customWidth="1"/>
    <col min="13580" max="13580" width="12.28515625" style="157" bestFit="1" customWidth="1"/>
    <col min="13581" max="13581" width="13.28515625" style="157" bestFit="1" customWidth="1"/>
    <col min="13582" max="13582" width="15.5703125" style="157" customWidth="1"/>
    <col min="13583" max="13587" width="10.7109375" style="157" customWidth="1"/>
    <col min="13588" max="13590" width="11.42578125" style="157"/>
    <col min="13591" max="13591" width="12.5703125" style="157" bestFit="1" customWidth="1"/>
    <col min="13592" max="13824" width="11.42578125" style="157"/>
    <col min="13825" max="13825" width="18.5703125" style="157" customWidth="1"/>
    <col min="13826" max="13830" width="12.7109375" style="157" customWidth="1"/>
    <col min="13831" max="13831" width="13.85546875" style="157" bestFit="1" customWidth="1"/>
    <col min="13832" max="13832" width="16.140625" style="157" customWidth="1"/>
    <col min="13833" max="13834" width="10.7109375" style="157" customWidth="1"/>
    <col min="13835" max="13835" width="12" style="157" bestFit="1" customWidth="1"/>
    <col min="13836" max="13836" width="12.28515625" style="157" bestFit="1" customWidth="1"/>
    <col min="13837" max="13837" width="13.28515625" style="157" bestFit="1" customWidth="1"/>
    <col min="13838" max="13838" width="15.5703125" style="157" customWidth="1"/>
    <col min="13839" max="13843" width="10.7109375" style="157" customWidth="1"/>
    <col min="13844" max="13846" width="11.42578125" style="157"/>
    <col min="13847" max="13847" width="12.5703125" style="157" bestFit="1" customWidth="1"/>
    <col min="13848" max="14080" width="11.42578125" style="157"/>
    <col min="14081" max="14081" width="18.5703125" style="157" customWidth="1"/>
    <col min="14082" max="14086" width="12.7109375" style="157" customWidth="1"/>
    <col min="14087" max="14087" width="13.85546875" style="157" bestFit="1" customWidth="1"/>
    <col min="14088" max="14088" width="16.140625" style="157" customWidth="1"/>
    <col min="14089" max="14090" width="10.7109375" style="157" customWidth="1"/>
    <col min="14091" max="14091" width="12" style="157" bestFit="1" customWidth="1"/>
    <col min="14092" max="14092" width="12.28515625" style="157" bestFit="1" customWidth="1"/>
    <col min="14093" max="14093" width="13.28515625" style="157" bestFit="1" customWidth="1"/>
    <col min="14094" max="14094" width="15.5703125" style="157" customWidth="1"/>
    <col min="14095" max="14099" width="10.7109375" style="157" customWidth="1"/>
    <col min="14100" max="14102" width="11.42578125" style="157"/>
    <col min="14103" max="14103" width="12.5703125" style="157" bestFit="1" customWidth="1"/>
    <col min="14104" max="14336" width="11.42578125" style="157"/>
    <col min="14337" max="14337" width="18.5703125" style="157" customWidth="1"/>
    <col min="14338" max="14342" width="12.7109375" style="157" customWidth="1"/>
    <col min="14343" max="14343" width="13.85546875" style="157" bestFit="1" customWidth="1"/>
    <col min="14344" max="14344" width="16.140625" style="157" customWidth="1"/>
    <col min="14345" max="14346" width="10.7109375" style="157" customWidth="1"/>
    <col min="14347" max="14347" width="12" style="157" bestFit="1" customWidth="1"/>
    <col min="14348" max="14348" width="12.28515625" style="157" bestFit="1" customWidth="1"/>
    <col min="14349" max="14349" width="13.28515625" style="157" bestFit="1" customWidth="1"/>
    <col min="14350" max="14350" width="15.5703125" style="157" customWidth="1"/>
    <col min="14351" max="14355" width="10.7109375" style="157" customWidth="1"/>
    <col min="14356" max="14358" width="11.42578125" style="157"/>
    <col min="14359" max="14359" width="12.5703125" style="157" bestFit="1" customWidth="1"/>
    <col min="14360" max="14592" width="11.42578125" style="157"/>
    <col min="14593" max="14593" width="18.5703125" style="157" customWidth="1"/>
    <col min="14594" max="14598" width="12.7109375" style="157" customWidth="1"/>
    <col min="14599" max="14599" width="13.85546875" style="157" bestFit="1" customWidth="1"/>
    <col min="14600" max="14600" width="16.140625" style="157" customWidth="1"/>
    <col min="14601" max="14602" width="10.7109375" style="157" customWidth="1"/>
    <col min="14603" max="14603" width="12" style="157" bestFit="1" customWidth="1"/>
    <col min="14604" max="14604" width="12.28515625" style="157" bestFit="1" customWidth="1"/>
    <col min="14605" max="14605" width="13.28515625" style="157" bestFit="1" customWidth="1"/>
    <col min="14606" max="14606" width="15.5703125" style="157" customWidth="1"/>
    <col min="14607" max="14611" width="10.7109375" style="157" customWidth="1"/>
    <col min="14612" max="14614" width="11.42578125" style="157"/>
    <col min="14615" max="14615" width="12.5703125" style="157" bestFit="1" customWidth="1"/>
    <col min="14616" max="14848" width="11.42578125" style="157"/>
    <col min="14849" max="14849" width="18.5703125" style="157" customWidth="1"/>
    <col min="14850" max="14854" width="12.7109375" style="157" customWidth="1"/>
    <col min="14855" max="14855" width="13.85546875" style="157" bestFit="1" customWidth="1"/>
    <col min="14856" max="14856" width="16.140625" style="157" customWidth="1"/>
    <col min="14857" max="14858" width="10.7109375" style="157" customWidth="1"/>
    <col min="14859" max="14859" width="12" style="157" bestFit="1" customWidth="1"/>
    <col min="14860" max="14860" width="12.28515625" style="157" bestFit="1" customWidth="1"/>
    <col min="14861" max="14861" width="13.28515625" style="157" bestFit="1" customWidth="1"/>
    <col min="14862" max="14862" width="15.5703125" style="157" customWidth="1"/>
    <col min="14863" max="14867" width="10.7109375" style="157" customWidth="1"/>
    <col min="14868" max="14870" width="11.42578125" style="157"/>
    <col min="14871" max="14871" width="12.5703125" style="157" bestFit="1" customWidth="1"/>
    <col min="14872" max="15104" width="11.42578125" style="157"/>
    <col min="15105" max="15105" width="18.5703125" style="157" customWidth="1"/>
    <col min="15106" max="15110" width="12.7109375" style="157" customWidth="1"/>
    <col min="15111" max="15111" width="13.85546875" style="157" bestFit="1" customWidth="1"/>
    <col min="15112" max="15112" width="16.140625" style="157" customWidth="1"/>
    <col min="15113" max="15114" width="10.7109375" style="157" customWidth="1"/>
    <col min="15115" max="15115" width="12" style="157" bestFit="1" customWidth="1"/>
    <col min="15116" max="15116" width="12.28515625" style="157" bestFit="1" customWidth="1"/>
    <col min="15117" max="15117" width="13.28515625" style="157" bestFit="1" customWidth="1"/>
    <col min="15118" max="15118" width="15.5703125" style="157" customWidth="1"/>
    <col min="15119" max="15123" width="10.7109375" style="157" customWidth="1"/>
    <col min="15124" max="15126" width="11.42578125" style="157"/>
    <col min="15127" max="15127" width="12.5703125" style="157" bestFit="1" customWidth="1"/>
    <col min="15128" max="15360" width="11.42578125" style="157"/>
    <col min="15361" max="15361" width="18.5703125" style="157" customWidth="1"/>
    <col min="15362" max="15366" width="12.7109375" style="157" customWidth="1"/>
    <col min="15367" max="15367" width="13.85546875" style="157" bestFit="1" customWidth="1"/>
    <col min="15368" max="15368" width="16.140625" style="157" customWidth="1"/>
    <col min="15369" max="15370" width="10.7109375" style="157" customWidth="1"/>
    <col min="15371" max="15371" width="12" style="157" bestFit="1" customWidth="1"/>
    <col min="15372" max="15372" width="12.28515625" style="157" bestFit="1" customWidth="1"/>
    <col min="15373" max="15373" width="13.28515625" style="157" bestFit="1" customWidth="1"/>
    <col min="15374" max="15374" width="15.5703125" style="157" customWidth="1"/>
    <col min="15375" max="15379" width="10.7109375" style="157" customWidth="1"/>
    <col min="15380" max="15382" width="11.42578125" style="157"/>
    <col min="15383" max="15383" width="12.5703125" style="157" bestFit="1" customWidth="1"/>
    <col min="15384" max="15616" width="11.42578125" style="157"/>
    <col min="15617" max="15617" width="18.5703125" style="157" customWidth="1"/>
    <col min="15618" max="15622" width="12.7109375" style="157" customWidth="1"/>
    <col min="15623" max="15623" width="13.85546875" style="157" bestFit="1" customWidth="1"/>
    <col min="15624" max="15624" width="16.140625" style="157" customWidth="1"/>
    <col min="15625" max="15626" width="10.7109375" style="157" customWidth="1"/>
    <col min="15627" max="15627" width="12" style="157" bestFit="1" customWidth="1"/>
    <col min="15628" max="15628" width="12.28515625" style="157" bestFit="1" customWidth="1"/>
    <col min="15629" max="15629" width="13.28515625" style="157" bestFit="1" customWidth="1"/>
    <col min="15630" max="15630" width="15.5703125" style="157" customWidth="1"/>
    <col min="15631" max="15635" width="10.7109375" style="157" customWidth="1"/>
    <col min="15636" max="15638" width="11.42578125" style="157"/>
    <col min="15639" max="15639" width="12.5703125" style="157" bestFit="1" customWidth="1"/>
    <col min="15640" max="15872" width="11.42578125" style="157"/>
    <col min="15873" max="15873" width="18.5703125" style="157" customWidth="1"/>
    <col min="15874" max="15878" width="12.7109375" style="157" customWidth="1"/>
    <col min="15879" max="15879" width="13.85546875" style="157" bestFit="1" customWidth="1"/>
    <col min="15880" max="15880" width="16.140625" style="157" customWidth="1"/>
    <col min="15881" max="15882" width="10.7109375" style="157" customWidth="1"/>
    <col min="15883" max="15883" width="12" style="157" bestFit="1" customWidth="1"/>
    <col min="15884" max="15884" width="12.28515625" style="157" bestFit="1" customWidth="1"/>
    <col min="15885" max="15885" width="13.28515625" style="157" bestFit="1" customWidth="1"/>
    <col min="15886" max="15886" width="15.5703125" style="157" customWidth="1"/>
    <col min="15887" max="15891" width="10.7109375" style="157" customWidth="1"/>
    <col min="15892" max="15894" width="11.42578125" style="157"/>
    <col min="15895" max="15895" width="12.5703125" style="157" bestFit="1" customWidth="1"/>
    <col min="15896" max="16128" width="11.42578125" style="157"/>
    <col min="16129" max="16129" width="18.5703125" style="157" customWidth="1"/>
    <col min="16130" max="16134" width="12.7109375" style="157" customWidth="1"/>
    <col min="16135" max="16135" width="13.85546875" style="157" bestFit="1" customWidth="1"/>
    <col min="16136" max="16136" width="16.140625" style="157" customWidth="1"/>
    <col min="16137" max="16138" width="10.7109375" style="157" customWidth="1"/>
    <col min="16139" max="16139" width="12" style="157" bestFit="1" customWidth="1"/>
    <col min="16140" max="16140" width="12.28515625" style="157" bestFit="1" customWidth="1"/>
    <col min="16141" max="16141" width="13.28515625" style="157" bestFit="1" customWidth="1"/>
    <col min="16142" max="16142" width="15.5703125" style="157" customWidth="1"/>
    <col min="16143" max="16147" width="10.7109375" style="157" customWidth="1"/>
    <col min="16148" max="16150" width="11.42578125" style="157"/>
    <col min="16151" max="16151" width="12.5703125" style="157" bestFit="1" customWidth="1"/>
    <col min="16152" max="16384" width="11.42578125" style="157"/>
  </cols>
  <sheetData>
    <row r="1" spans="1:25" ht="16.5" x14ac:dyDescent="0.25">
      <c r="A1" s="1250" t="s">
        <v>298</v>
      </c>
      <c r="B1" s="572"/>
      <c r="C1" s="572"/>
      <c r="D1" s="572"/>
      <c r="E1" s="572"/>
      <c r="F1" s="572"/>
      <c r="G1" s="572"/>
      <c r="H1" s="57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</row>
    <row r="2" spans="1:25" ht="15" x14ac:dyDescent="0.25">
      <c r="A2" s="1251"/>
      <c r="B2" s="1251"/>
      <c r="C2" s="1251"/>
      <c r="D2" s="1251"/>
      <c r="E2" s="1251"/>
      <c r="F2" s="1251"/>
      <c r="G2" s="1251"/>
      <c r="H2" s="1251"/>
      <c r="V2" s="201"/>
      <c r="W2" s="201"/>
      <c r="X2" s="1252"/>
      <c r="Y2" s="202"/>
    </row>
    <row r="3" spans="1:25" ht="13.5" thickBot="1" x14ac:dyDescent="0.25">
      <c r="A3" s="573"/>
      <c r="B3" s="573"/>
      <c r="C3" s="573"/>
      <c r="D3" s="573"/>
      <c r="E3" s="573"/>
      <c r="F3" s="573"/>
      <c r="G3" s="573"/>
      <c r="H3" s="573"/>
      <c r="V3" s="201"/>
      <c r="W3" s="201"/>
      <c r="X3" s="1252"/>
      <c r="Y3" s="202"/>
    </row>
    <row r="4" spans="1:25" ht="16.5" thickBot="1" x14ac:dyDescent="0.3">
      <c r="A4" s="1253"/>
      <c r="B4" s="1410" t="s">
        <v>299</v>
      </c>
      <c r="C4" s="1411"/>
      <c r="D4" s="1411"/>
      <c r="E4" s="1411"/>
      <c r="F4" s="1412"/>
      <c r="G4" s="1254" t="s">
        <v>300</v>
      </c>
      <c r="H4" s="1413" t="s">
        <v>301</v>
      </c>
      <c r="V4" s="201"/>
      <c r="W4" s="201"/>
      <c r="X4" s="1252"/>
      <c r="Y4" s="202"/>
    </row>
    <row r="5" spans="1:25" ht="12.75" customHeight="1" x14ac:dyDescent="0.25">
      <c r="A5" s="1255" t="s">
        <v>132</v>
      </c>
      <c r="B5" s="1416" t="s">
        <v>302</v>
      </c>
      <c r="C5" s="1418" t="s">
        <v>303</v>
      </c>
      <c r="D5" s="1418" t="s">
        <v>304</v>
      </c>
      <c r="E5" s="1420" t="s">
        <v>305</v>
      </c>
      <c r="F5" s="1422" t="s">
        <v>151</v>
      </c>
      <c r="G5" s="1256" t="s">
        <v>306</v>
      </c>
      <c r="H5" s="1414"/>
      <c r="I5" s="640"/>
      <c r="V5" s="201"/>
      <c r="W5" s="201"/>
      <c r="X5" s="1252"/>
      <c r="Y5" s="202"/>
    </row>
    <row r="6" spans="1:25" ht="15.75" thickBot="1" x14ac:dyDescent="0.3">
      <c r="A6" s="1257"/>
      <c r="B6" s="1417"/>
      <c r="C6" s="1419"/>
      <c r="D6" s="1419"/>
      <c r="E6" s="1421"/>
      <c r="F6" s="1423"/>
      <c r="G6" s="1258" t="s">
        <v>307</v>
      </c>
      <c r="H6" s="1415"/>
      <c r="I6" s="640"/>
      <c r="V6" s="201"/>
      <c r="W6" s="201"/>
      <c r="X6" s="1252"/>
      <c r="Y6" s="202"/>
    </row>
    <row r="7" spans="1:25" ht="15" x14ac:dyDescent="0.25">
      <c r="A7" s="1259"/>
      <c r="B7" s="1260"/>
      <c r="C7" s="1261"/>
      <c r="D7" s="1261"/>
      <c r="E7" s="1261"/>
      <c r="F7" s="1262"/>
      <c r="G7" s="1263"/>
      <c r="H7" s="1264"/>
      <c r="I7" s="640"/>
    </row>
    <row r="8" spans="1:25" ht="15" x14ac:dyDescent="0.25">
      <c r="A8" s="1265">
        <v>1995</v>
      </c>
      <c r="B8" s="1266">
        <v>3963.76629</v>
      </c>
      <c r="C8" s="1267">
        <f>1375.844691+872.823814</f>
        <v>2248.6685050000001</v>
      </c>
      <c r="D8" s="1267">
        <v>3154.1445019999996</v>
      </c>
      <c r="E8" s="1267">
        <v>482.67683</v>
      </c>
      <c r="F8" s="1268">
        <f>+SUM(B8:E8)</f>
        <v>9849.2561270000006</v>
      </c>
      <c r="G8" s="1269">
        <v>3773.8</v>
      </c>
      <c r="H8" s="1270">
        <f t="shared" ref="H8:H27" si="0">SUM(F8:G8)</f>
        <v>13623.056127</v>
      </c>
      <c r="I8" s="640"/>
    </row>
    <row r="9" spans="1:25" ht="15" x14ac:dyDescent="0.25">
      <c r="A9" s="1259">
        <v>1996</v>
      </c>
      <c r="B9" s="1260">
        <v>4305.2964009999996</v>
      </c>
      <c r="C9" s="1261">
        <f>1475.713399+875.27503</f>
        <v>2350.988429</v>
      </c>
      <c r="D9" s="1261">
        <v>3185.061631</v>
      </c>
      <c r="E9" s="1261">
        <v>489.44556999999998</v>
      </c>
      <c r="F9" s="1262">
        <f t="shared" ref="F9:F27" si="1">+SUM(B9:E9)</f>
        <v>10330.792030999999</v>
      </c>
      <c r="G9" s="1263">
        <v>3972.3</v>
      </c>
      <c r="H9" s="1264">
        <f t="shared" si="0"/>
        <v>14303.092031</v>
      </c>
      <c r="I9" s="640"/>
    </row>
    <row r="10" spans="1:25" ht="15" x14ac:dyDescent="0.25">
      <c r="A10" s="1265">
        <v>1997</v>
      </c>
      <c r="B10" s="1266">
        <v>6058.1311180000002</v>
      </c>
      <c r="C10" s="1267">
        <v>2480.103368</v>
      </c>
      <c r="D10" s="1267">
        <f>3385523/1000</f>
        <v>3385.5230000000001</v>
      </c>
      <c r="E10" s="1267">
        <f>527473/1000</f>
        <v>527.47299999999996</v>
      </c>
      <c r="F10" s="1268">
        <f t="shared" si="1"/>
        <v>12451.230486000002</v>
      </c>
      <c r="G10" s="1269">
        <v>2604.85</v>
      </c>
      <c r="H10" s="1270">
        <f t="shared" si="0"/>
        <v>15056.080486000003</v>
      </c>
      <c r="I10" s="640"/>
    </row>
    <row r="11" spans="1:25" ht="15" x14ac:dyDescent="0.25">
      <c r="A11" s="1259">
        <v>1998</v>
      </c>
      <c r="B11" s="1260">
        <v>7473.8484369999996</v>
      </c>
      <c r="C11" s="1261">
        <v>2360.432139</v>
      </c>
      <c r="D11" s="1261">
        <v>3639.3</v>
      </c>
      <c r="E11" s="1261">
        <v>535.06510000000003</v>
      </c>
      <c r="F11" s="1262">
        <f t="shared" si="1"/>
        <v>14008.645676</v>
      </c>
      <c r="G11" s="1263">
        <v>1766.6</v>
      </c>
      <c r="H11" s="1264">
        <f t="shared" si="0"/>
        <v>15775.245676</v>
      </c>
      <c r="I11" s="640"/>
    </row>
    <row r="12" spans="1:25" ht="15" x14ac:dyDescent="0.25">
      <c r="A12" s="1265">
        <v>1999</v>
      </c>
      <c r="B12" s="1266">
        <v>7855.6</v>
      </c>
      <c r="C12" s="1267">
        <v>2420.3000000000002</v>
      </c>
      <c r="D12" s="1267">
        <v>3772.7</v>
      </c>
      <c r="E12" s="1267">
        <v>543.29999999999995</v>
      </c>
      <c r="F12" s="1268">
        <f t="shared" si="1"/>
        <v>14591.900000000001</v>
      </c>
      <c r="G12" s="1269">
        <v>1683</v>
      </c>
      <c r="H12" s="1270">
        <f t="shared" si="0"/>
        <v>16274.900000000001</v>
      </c>
      <c r="I12" s="640"/>
    </row>
    <row r="13" spans="1:25" ht="15" x14ac:dyDescent="0.25">
      <c r="A13" s="1259">
        <v>2000</v>
      </c>
      <c r="B13" s="1260">
        <v>8375.0166531150007</v>
      </c>
      <c r="C13" s="1261">
        <v>2693.3458028849996</v>
      </c>
      <c r="D13" s="1261">
        <v>3936.241469000001</v>
      </c>
      <c r="E13" s="1261">
        <v>540.99195400000008</v>
      </c>
      <c r="F13" s="1262">
        <f t="shared" si="1"/>
        <v>15545.595879</v>
      </c>
      <c r="G13" s="1263">
        <v>1594.7996189999999</v>
      </c>
      <c r="H13" s="1264">
        <f t="shared" si="0"/>
        <v>17140.395498000002</v>
      </c>
      <c r="I13" s="640"/>
    </row>
    <row r="14" spans="1:25" ht="15" x14ac:dyDescent="0.25">
      <c r="A14" s="1265">
        <v>2001</v>
      </c>
      <c r="B14" s="1266">
        <v>9280.5600399650011</v>
      </c>
      <c r="C14" s="1267">
        <v>2762.2040670349998</v>
      </c>
      <c r="D14" s="1267">
        <v>4043.9688309999992</v>
      </c>
      <c r="E14" s="1267">
        <v>542.02161799999999</v>
      </c>
      <c r="F14" s="1268">
        <f t="shared" si="1"/>
        <v>16628.754556</v>
      </c>
      <c r="G14" s="1269">
        <v>1571.2</v>
      </c>
      <c r="H14" s="1270">
        <f t="shared" si="0"/>
        <v>18199.954556000001</v>
      </c>
      <c r="I14" s="640"/>
    </row>
    <row r="15" spans="1:25" ht="15" x14ac:dyDescent="0.25">
      <c r="A15" s="1259">
        <v>2002</v>
      </c>
      <c r="B15" s="1260">
        <v>9567.6060768480002</v>
      </c>
      <c r="C15" s="1261">
        <v>3013.1152699999998</v>
      </c>
      <c r="D15" s="1261">
        <v>4464.8754000000008</v>
      </c>
      <c r="E15" s="1261">
        <v>559.72912000000008</v>
      </c>
      <c r="F15" s="1262">
        <f t="shared" si="1"/>
        <v>17605.325866848001</v>
      </c>
      <c r="G15" s="1263">
        <v>1562.8145069999996</v>
      </c>
      <c r="H15" s="1264">
        <f t="shared" si="0"/>
        <v>19168.140373848</v>
      </c>
      <c r="I15" s="640"/>
    </row>
    <row r="16" spans="1:25" ht="15" x14ac:dyDescent="0.25">
      <c r="A16" s="1265">
        <v>2003</v>
      </c>
      <c r="B16" s="1266">
        <v>10038.680803439998</v>
      </c>
      <c r="C16" s="1267">
        <v>3341.0911065599998</v>
      </c>
      <c r="D16" s="1267">
        <v>4425.3378269999994</v>
      </c>
      <c r="E16" s="1267">
        <v>570.22551099999998</v>
      </c>
      <c r="F16" s="1268">
        <f t="shared" si="1"/>
        <v>18375.335247999999</v>
      </c>
      <c r="G16" s="1269">
        <v>1561.8909440000034</v>
      </c>
      <c r="H16" s="1270">
        <f t="shared" si="0"/>
        <v>19937.226192000002</v>
      </c>
      <c r="I16" s="640"/>
      <c r="L16"/>
      <c r="M16"/>
      <c r="N16"/>
      <c r="O16"/>
      <c r="P16"/>
      <c r="Q16"/>
      <c r="R16"/>
    </row>
    <row r="17" spans="1:18" ht="15" x14ac:dyDescent="0.25">
      <c r="A17" s="1259">
        <v>2004</v>
      </c>
      <c r="B17" s="1260">
        <v>10813.356356900718</v>
      </c>
      <c r="C17" s="1261">
        <v>3504.8279079211602</v>
      </c>
      <c r="D17" s="1261">
        <v>4720.0091641781228</v>
      </c>
      <c r="E17" s="1261">
        <v>602.45768099999998</v>
      </c>
      <c r="F17" s="1262">
        <f t="shared" si="1"/>
        <v>19640.651110000003</v>
      </c>
      <c r="G17" s="1263">
        <v>1647.0732800000003</v>
      </c>
      <c r="H17" s="1264">
        <f t="shared" si="0"/>
        <v>21287.724390000003</v>
      </c>
      <c r="I17" s="640"/>
      <c r="L17"/>
      <c r="M17"/>
      <c r="N17"/>
      <c r="O17"/>
      <c r="P17"/>
      <c r="Q17"/>
      <c r="R17"/>
    </row>
    <row r="18" spans="1:18" ht="15" x14ac:dyDescent="0.25">
      <c r="A18" s="1265">
        <v>2005</v>
      </c>
      <c r="B18" s="1266">
        <v>11280.688346002735</v>
      </c>
      <c r="C18" s="1267">
        <v>3767.9322343479389</v>
      </c>
      <c r="D18" s="1267">
        <v>5020.7356088993256</v>
      </c>
      <c r="E18" s="1267">
        <v>632.02669097222213</v>
      </c>
      <c r="F18" s="1268">
        <f t="shared" si="1"/>
        <v>20701.382880222223</v>
      </c>
      <c r="G18" s="1269">
        <v>1698.861870207249</v>
      </c>
      <c r="H18" s="1270">
        <f t="shared" si="0"/>
        <v>22400.244750429472</v>
      </c>
      <c r="I18" s="640"/>
      <c r="L18"/>
      <c r="M18"/>
      <c r="N18"/>
      <c r="O18"/>
      <c r="P18"/>
      <c r="Q18"/>
      <c r="R18"/>
    </row>
    <row r="19" spans="1:18" ht="15" x14ac:dyDescent="0.25">
      <c r="A19" s="1271">
        <v>2006</v>
      </c>
      <c r="B19" s="1260">
        <v>12136.089942735412</v>
      </c>
      <c r="C19" s="1261">
        <v>4105.6804275968852</v>
      </c>
      <c r="D19" s="1261">
        <v>5404.3689646677021</v>
      </c>
      <c r="E19" s="1261">
        <v>643.92181799999992</v>
      </c>
      <c r="F19" s="1262">
        <f t="shared" si="1"/>
        <v>22290.061152999999</v>
      </c>
      <c r="G19" s="1263">
        <v>1756.0649376214142</v>
      </c>
      <c r="H19" s="1264">
        <f t="shared" si="0"/>
        <v>24046.126090621412</v>
      </c>
      <c r="I19" s="640"/>
      <c r="L19"/>
      <c r="M19"/>
      <c r="N19"/>
      <c r="O19"/>
      <c r="P19"/>
      <c r="Q19"/>
      <c r="R19"/>
    </row>
    <row r="20" spans="1:18" ht="15" x14ac:dyDescent="0.25">
      <c r="A20" s="1272">
        <v>2007</v>
      </c>
      <c r="B20" s="1266">
        <v>13798.540004759721</v>
      </c>
      <c r="C20" s="1267">
        <v>4390.6377944514816</v>
      </c>
      <c r="D20" s="1267">
        <v>5877.1253377887988</v>
      </c>
      <c r="E20" s="1267">
        <v>655.44541600000002</v>
      </c>
      <c r="F20" s="1268">
        <f t="shared" si="1"/>
        <v>24721.748553000001</v>
      </c>
      <c r="G20" s="1269">
        <v>1742.5560516600001</v>
      </c>
      <c r="H20" s="1270">
        <f t="shared" si="0"/>
        <v>26464.304604660003</v>
      </c>
      <c r="I20" s="640"/>
      <c r="L20"/>
      <c r="M20"/>
      <c r="N20"/>
      <c r="O20"/>
      <c r="P20"/>
      <c r="Q20"/>
      <c r="R20"/>
    </row>
    <row r="21" spans="1:18" ht="15" x14ac:dyDescent="0.25">
      <c r="A21" s="1271">
        <v>2008</v>
      </c>
      <c r="B21" s="1260">
        <v>15437.253867346535</v>
      </c>
      <c r="C21" s="1261">
        <v>4494.8960123117677</v>
      </c>
      <c r="D21" s="1261">
        <v>6357.3192643417178</v>
      </c>
      <c r="E21" s="1261">
        <v>674.94545200000016</v>
      </c>
      <c r="F21" s="1262">
        <f t="shared" si="1"/>
        <v>26964.414596000021</v>
      </c>
      <c r="G21" s="1263">
        <v>1868.6524669999999</v>
      </c>
      <c r="H21" s="1264">
        <f t="shared" si="0"/>
        <v>28833.06706300002</v>
      </c>
      <c r="I21" s="640"/>
      <c r="L21"/>
      <c r="M21"/>
      <c r="N21"/>
      <c r="O21"/>
      <c r="P21"/>
      <c r="Q21"/>
      <c r="R21"/>
    </row>
    <row r="22" spans="1:18" ht="15" x14ac:dyDescent="0.25">
      <c r="A22" s="1272">
        <v>2009</v>
      </c>
      <c r="B22" s="1266">
        <v>14942.95020594519</v>
      </c>
      <c r="C22" s="1267">
        <v>4815.0810091037401</v>
      </c>
      <c r="D22" s="1267">
        <v>6644.5992379510635</v>
      </c>
      <c r="E22" s="1267">
        <v>684.37532399999998</v>
      </c>
      <c r="F22" s="1268">
        <f t="shared" si="1"/>
        <v>27087.005776999995</v>
      </c>
      <c r="G22" s="1269">
        <v>2022.8330379999998</v>
      </c>
      <c r="H22" s="1270">
        <f t="shared" si="0"/>
        <v>29109.838814999996</v>
      </c>
      <c r="I22" s="640"/>
      <c r="L22"/>
      <c r="M22"/>
      <c r="N22"/>
      <c r="O22"/>
      <c r="P22"/>
      <c r="Q22"/>
      <c r="R22"/>
    </row>
    <row r="23" spans="1:18" ht="15" x14ac:dyDescent="0.25">
      <c r="A23" s="1273">
        <v>2010</v>
      </c>
      <c r="B23" s="1274">
        <v>16434.708415297537</v>
      </c>
      <c r="C23" s="1275">
        <v>5205.8243711895484</v>
      </c>
      <c r="D23" s="1275">
        <v>7086.2453335129212</v>
      </c>
      <c r="E23" s="1275">
        <v>709.39700400000015</v>
      </c>
      <c r="F23" s="1276">
        <f t="shared" si="1"/>
        <v>29436.175124000005</v>
      </c>
      <c r="G23" s="1277">
        <v>2362.1921340000008</v>
      </c>
      <c r="H23" s="1278">
        <f t="shared" si="0"/>
        <v>31798.367258000006</v>
      </c>
      <c r="I23" s="640"/>
      <c r="L23"/>
      <c r="M23"/>
      <c r="N23"/>
      <c r="O23"/>
      <c r="P23"/>
      <c r="Q23"/>
      <c r="R23"/>
    </row>
    <row r="24" spans="1:18" ht="15" x14ac:dyDescent="0.25">
      <c r="A24" s="1272">
        <v>2011</v>
      </c>
      <c r="B24" s="1266">
        <v>17841.423398594416</v>
      </c>
      <c r="C24" s="1267">
        <v>5563.1179861174478</v>
      </c>
      <c r="D24" s="1267">
        <v>7663.0902881815</v>
      </c>
      <c r="E24" s="1267">
        <v>752.71913235773729</v>
      </c>
      <c r="F24" s="1268">
        <f t="shared" si="1"/>
        <v>31820.350805251099</v>
      </c>
      <c r="G24" s="1269">
        <v>2557.9283125500001</v>
      </c>
      <c r="H24" s="1270">
        <f t="shared" si="0"/>
        <v>34378.279117801096</v>
      </c>
      <c r="I24" s="640"/>
      <c r="L24"/>
      <c r="M24"/>
      <c r="N24"/>
      <c r="O24"/>
      <c r="P24"/>
      <c r="Q24"/>
      <c r="R24"/>
    </row>
    <row r="25" spans="1:18" ht="15" x14ac:dyDescent="0.25">
      <c r="A25" s="1273">
        <v>2012</v>
      </c>
      <c r="B25" s="1274">
        <v>18690.461999999996</v>
      </c>
      <c r="C25" s="1275">
        <v>6061.7719999999999</v>
      </c>
      <c r="D25" s="1275">
        <v>8110.4380000000001</v>
      </c>
      <c r="E25" s="1275">
        <v>785.51400000000012</v>
      </c>
      <c r="F25" s="1276">
        <f t="shared" si="1"/>
        <v>33648.186000000002</v>
      </c>
      <c r="G25" s="1277">
        <v>2674.9537324079452</v>
      </c>
      <c r="H25" s="1278">
        <f>SUM(F25:G25)</f>
        <v>36323.139732407944</v>
      </c>
      <c r="I25" s="640"/>
      <c r="L25"/>
      <c r="M25"/>
      <c r="N25"/>
      <c r="O25"/>
      <c r="P25"/>
      <c r="Q25"/>
      <c r="R25"/>
    </row>
    <row r="26" spans="1:18" ht="15" x14ac:dyDescent="0.25">
      <c r="A26" s="1272">
        <v>2013</v>
      </c>
      <c r="B26" s="1266">
        <v>19214.618997431797</v>
      </c>
      <c r="C26" s="1267">
        <v>6760.1032092000005</v>
      </c>
      <c r="D26" s="1267">
        <v>8757.8845147454758</v>
      </c>
      <c r="E26" s="1267">
        <v>877.0459806227276</v>
      </c>
      <c r="F26" s="1268">
        <f>+SUM(B26:E26)</f>
        <v>35609.652702000007</v>
      </c>
      <c r="G26" s="1269">
        <v>2665.5090713064064</v>
      </c>
      <c r="H26" s="1270">
        <f t="shared" si="0"/>
        <v>38275.161773306412</v>
      </c>
      <c r="I26" s="640"/>
      <c r="L26"/>
      <c r="M26"/>
      <c r="N26"/>
      <c r="O26"/>
      <c r="P26"/>
      <c r="Q26"/>
      <c r="R26"/>
    </row>
    <row r="27" spans="1:18" ht="15" x14ac:dyDescent="0.25">
      <c r="A27" s="1273">
        <v>2014</v>
      </c>
      <c r="B27" s="1274">
        <v>20739.148158269898</v>
      </c>
      <c r="C27" s="1275">
        <v>6802.8150635601469</v>
      </c>
      <c r="D27" s="1275">
        <v>8920.5096610756154</v>
      </c>
      <c r="E27" s="1275">
        <v>865.30411129276445</v>
      </c>
      <c r="F27" s="1276">
        <f t="shared" si="1"/>
        <v>37327.77699419843</v>
      </c>
      <c r="G27" s="1277">
        <v>2703.5718431338</v>
      </c>
      <c r="H27" s="1278">
        <f t="shared" si="0"/>
        <v>40031.348837332233</v>
      </c>
      <c r="I27" s="640"/>
      <c r="L27"/>
      <c r="M27"/>
      <c r="N27"/>
      <c r="O27"/>
      <c r="P27"/>
      <c r="Q27"/>
      <c r="R27"/>
    </row>
    <row r="28" spans="1:18" ht="15" x14ac:dyDescent="0.25">
      <c r="A28" s="1279" t="s">
        <v>136</v>
      </c>
      <c r="B28" s="1266">
        <v>22002.545581787104</v>
      </c>
      <c r="C28" s="1280">
        <v>7116.0461508608887</v>
      </c>
      <c r="D28" s="1280">
        <v>9574.3098743853134</v>
      </c>
      <c r="E28" s="1281">
        <v>1013.0537991293908</v>
      </c>
      <c r="F28" s="1268">
        <v>39705.955406162699</v>
      </c>
      <c r="G28" s="1269">
        <v>3028.4833358222841</v>
      </c>
      <c r="H28" s="1270">
        <v>42734.438741984981</v>
      </c>
      <c r="I28" s="640"/>
      <c r="L28"/>
      <c r="M28"/>
      <c r="N28"/>
      <c r="O28"/>
      <c r="P28"/>
      <c r="Q28"/>
      <c r="R28"/>
    </row>
    <row r="29" spans="1:18" ht="18.75" customHeight="1" thickBot="1" x14ac:dyDescent="0.3">
      <c r="A29" s="1282"/>
      <c r="B29" s="1283"/>
      <c r="C29" s="1284"/>
      <c r="D29" s="1284"/>
      <c r="E29" s="1284"/>
      <c r="F29" s="1285"/>
      <c r="G29" s="1286"/>
      <c r="H29" s="1287"/>
      <c r="I29" s="640"/>
      <c r="L29"/>
      <c r="M29"/>
      <c r="N29"/>
      <c r="O29"/>
      <c r="P29"/>
      <c r="Q29"/>
      <c r="R29"/>
    </row>
    <row r="30" spans="1:18" ht="18.75" customHeight="1" x14ac:dyDescent="0.2">
      <c r="A30" s="1288" t="s">
        <v>137</v>
      </c>
      <c r="B30" s="1289">
        <f t="shared" ref="B30:H30" si="2">(B28/B27)-1</f>
        <v>6.0918481987574546E-2</v>
      </c>
      <c r="C30" s="1290">
        <f t="shared" si="2"/>
        <v>4.6044333760973499E-2</v>
      </c>
      <c r="D30" s="1290">
        <f t="shared" si="2"/>
        <v>7.3291800373529892E-2</v>
      </c>
      <c r="E30" s="1291">
        <f t="shared" si="2"/>
        <v>0.17074885685668151</v>
      </c>
      <c r="F30" s="1289">
        <f t="shared" si="2"/>
        <v>6.3710689557910039E-2</v>
      </c>
      <c r="G30" s="1289">
        <f t="shared" si="2"/>
        <v>0.12017860502344502</v>
      </c>
      <c r="H30" s="1292">
        <f t="shared" si="2"/>
        <v>6.7524327387437744E-2</v>
      </c>
      <c r="I30" s="640"/>
    </row>
    <row r="31" spans="1:18" ht="18.75" customHeight="1" x14ac:dyDescent="0.2">
      <c r="A31" s="1293" t="s">
        <v>138</v>
      </c>
      <c r="B31" s="1294">
        <f>((B28/B23)^(1/5))-1</f>
        <v>6.0088651303515483E-2</v>
      </c>
      <c r="C31" s="1295">
        <f t="shared" ref="C31:H31" si="3">((C27/C22)^(1/5))-1</f>
        <v>7.1561282415649963E-2</v>
      </c>
      <c r="D31" s="1295">
        <f t="shared" si="3"/>
        <v>6.0679499874086718E-2</v>
      </c>
      <c r="E31" s="1296">
        <f t="shared" si="3"/>
        <v>4.8032824496447635E-2</v>
      </c>
      <c r="F31" s="1297">
        <f t="shared" si="3"/>
        <v>6.6238169094282595E-2</v>
      </c>
      <c r="G31" s="1297">
        <f t="shared" si="3"/>
        <v>5.9730845076903849E-2</v>
      </c>
      <c r="H31" s="1297">
        <f t="shared" si="3"/>
        <v>6.5791088468664549E-2</v>
      </c>
      <c r="I31" s="640"/>
    </row>
    <row r="32" spans="1:18" ht="18.75" customHeight="1" x14ac:dyDescent="0.2">
      <c r="A32" s="1298" t="s">
        <v>144</v>
      </c>
      <c r="B32" s="1299">
        <f t="shared" ref="B32:H32" si="4">(B28/B18)-1</f>
        <v>0.95046125794119773</v>
      </c>
      <c r="C32" s="1300">
        <f t="shared" si="4"/>
        <v>0.88858124516996773</v>
      </c>
      <c r="D32" s="1300">
        <f t="shared" si="4"/>
        <v>0.90695360604424424</v>
      </c>
      <c r="E32" s="1301">
        <f t="shared" si="4"/>
        <v>0.60286553337019577</v>
      </c>
      <c r="F32" s="1299">
        <f t="shared" si="4"/>
        <v>0.91803396110784208</v>
      </c>
      <c r="G32" s="1299">
        <f t="shared" si="4"/>
        <v>0.78265425160953828</v>
      </c>
      <c r="H32" s="1302">
        <f t="shared" si="4"/>
        <v>0.90776659889690037</v>
      </c>
      <c r="I32" s="640"/>
      <c r="J32" s="190"/>
      <c r="K32" s="190"/>
      <c r="L32" s="190"/>
      <c r="M32" s="190"/>
      <c r="N32" s="190"/>
      <c r="O32" s="1303"/>
    </row>
    <row r="33" spans="1:14" ht="16.5" customHeight="1" thickBot="1" x14ac:dyDescent="0.25">
      <c r="A33" s="1304" t="s">
        <v>140</v>
      </c>
      <c r="B33" s="1305">
        <f t="shared" ref="B33:H33" si="5">((B28/B18)^(1/10))-1</f>
        <v>6.9088684359593922E-2</v>
      </c>
      <c r="C33" s="1306">
        <f t="shared" si="5"/>
        <v>6.564749220880195E-2</v>
      </c>
      <c r="D33" s="1306">
        <f t="shared" si="5"/>
        <v>6.6679657327695763E-2</v>
      </c>
      <c r="E33" s="1307">
        <f t="shared" si="5"/>
        <v>4.8309952710658965E-2</v>
      </c>
      <c r="F33" s="1305">
        <f t="shared" si="5"/>
        <v>6.7297836953092549E-2</v>
      </c>
      <c r="G33" s="1305">
        <f t="shared" si="5"/>
        <v>5.9514029882487884E-2</v>
      </c>
      <c r="H33" s="1308">
        <f t="shared" si="5"/>
        <v>6.6725124433334226E-2</v>
      </c>
      <c r="I33" s="640"/>
      <c r="J33" s="190"/>
      <c r="K33" s="190"/>
      <c r="L33" s="190"/>
      <c r="M33" s="190"/>
      <c r="N33" s="190"/>
    </row>
    <row r="34" spans="1:14" x14ac:dyDescent="0.2">
      <c r="A34" s="644" t="s">
        <v>279</v>
      </c>
      <c r="B34" s="573"/>
      <c r="C34" s="573"/>
      <c r="D34" s="573"/>
      <c r="E34" s="573"/>
      <c r="F34" s="573"/>
      <c r="G34" s="573"/>
      <c r="H34" s="573"/>
      <c r="I34" s="640"/>
      <c r="J34" s="190"/>
      <c r="K34" s="190"/>
      <c r="L34" s="190"/>
      <c r="M34" s="190"/>
      <c r="N34" s="190"/>
    </row>
    <row r="35" spans="1:14" ht="15.75" x14ac:dyDescent="0.25">
      <c r="A35" s="643"/>
      <c r="B35" s="719"/>
      <c r="C35" s="719"/>
      <c r="D35" s="719"/>
      <c r="E35" s="1309"/>
      <c r="F35" s="1310"/>
      <c r="G35" s="1310"/>
      <c r="H35" s="1310"/>
      <c r="I35" s="640"/>
      <c r="J35" s="190"/>
      <c r="K35" s="190"/>
      <c r="L35" s="190"/>
      <c r="M35" s="190"/>
      <c r="N35" s="190"/>
    </row>
    <row r="36" spans="1:14" ht="15" x14ac:dyDescent="0.25">
      <c r="A36" s="573"/>
      <c r="B36" s="573"/>
      <c r="C36" s="573"/>
      <c r="D36" s="573"/>
      <c r="E36" s="573"/>
      <c r="F36" s="573"/>
      <c r="G36" s="573"/>
      <c r="H36" s="573"/>
      <c r="I36" s="1311"/>
      <c r="J36" s="549"/>
      <c r="K36" s="549"/>
      <c r="L36" s="549"/>
      <c r="M36" s="549"/>
      <c r="N36" s="549"/>
    </row>
    <row r="37" spans="1:14" x14ac:dyDescent="0.2">
      <c r="A37" s="573"/>
      <c r="B37" s="573"/>
      <c r="C37" s="573"/>
      <c r="D37" s="573"/>
      <c r="E37" s="573"/>
      <c r="F37" s="573"/>
      <c r="G37" s="573"/>
      <c r="H37" s="573"/>
      <c r="J37" s="1312"/>
      <c r="K37" s="1312"/>
      <c r="L37" s="1312"/>
      <c r="M37" s="1312"/>
      <c r="N37" s="1312"/>
    </row>
    <row r="38" spans="1:14" x14ac:dyDescent="0.2">
      <c r="A38" s="573"/>
      <c r="B38" s="573"/>
      <c r="C38" s="573"/>
      <c r="D38" s="573"/>
      <c r="E38" s="573"/>
      <c r="F38" s="573"/>
      <c r="G38" s="573"/>
      <c r="H38" s="573"/>
    </row>
    <row r="39" spans="1:14" x14ac:dyDescent="0.2">
      <c r="A39" s="573"/>
      <c r="B39" s="573"/>
      <c r="C39" s="573"/>
      <c r="D39" s="573"/>
      <c r="E39" s="573"/>
      <c r="F39" s="573"/>
      <c r="G39" s="573"/>
      <c r="H39" s="573"/>
    </row>
    <row r="40" spans="1:14" x14ac:dyDescent="0.2">
      <c r="A40" s="573"/>
      <c r="B40" s="573"/>
      <c r="C40" s="573"/>
      <c r="D40" s="573"/>
      <c r="E40" s="573"/>
      <c r="F40" s="573"/>
      <c r="G40" s="573"/>
      <c r="H40" s="573"/>
    </row>
    <row r="41" spans="1:14" x14ac:dyDescent="0.2">
      <c r="A41" s="573"/>
      <c r="B41" s="573"/>
      <c r="C41" s="573"/>
      <c r="D41" s="573"/>
      <c r="E41" s="573"/>
      <c r="F41" s="573"/>
      <c r="G41" s="573"/>
      <c r="H41" s="573"/>
    </row>
    <row r="42" spans="1:14" x14ac:dyDescent="0.2">
      <c r="A42" s="573"/>
      <c r="B42" s="573"/>
      <c r="C42" s="573"/>
      <c r="D42" s="573"/>
      <c r="E42" s="573"/>
      <c r="F42" s="573"/>
      <c r="G42" s="573"/>
      <c r="H42" s="573"/>
    </row>
    <row r="43" spans="1:14" x14ac:dyDescent="0.2">
      <c r="A43" s="573"/>
      <c r="B43" s="573"/>
      <c r="C43" s="573"/>
      <c r="D43" s="573"/>
      <c r="E43" s="573"/>
      <c r="F43" s="573"/>
      <c r="G43" s="573"/>
      <c r="H43" s="573"/>
    </row>
    <row r="44" spans="1:14" x14ac:dyDescent="0.2">
      <c r="A44" s="573"/>
      <c r="B44" s="573"/>
      <c r="C44" s="573"/>
      <c r="D44" s="573"/>
      <c r="E44" s="573"/>
      <c r="F44" s="573"/>
      <c r="G44" s="573"/>
      <c r="H44" s="573"/>
    </row>
    <row r="45" spans="1:14" x14ac:dyDescent="0.2">
      <c r="A45" s="573"/>
      <c r="B45" s="573"/>
      <c r="C45" s="573"/>
      <c r="D45" s="573"/>
      <c r="E45" s="573"/>
      <c r="F45" s="573"/>
      <c r="G45" s="573"/>
      <c r="H45" s="573"/>
    </row>
    <row r="46" spans="1:14" x14ac:dyDescent="0.2">
      <c r="A46" s="573"/>
      <c r="B46" s="573"/>
      <c r="C46" s="573"/>
      <c r="D46" s="573"/>
      <c r="E46" s="573"/>
      <c r="F46" s="573"/>
      <c r="G46" s="573"/>
      <c r="H46" s="573"/>
    </row>
    <row r="47" spans="1:14" x14ac:dyDescent="0.2">
      <c r="A47" s="573"/>
      <c r="B47" s="573"/>
      <c r="C47" s="573"/>
      <c r="D47" s="573"/>
      <c r="E47" s="573"/>
      <c r="F47" s="573"/>
      <c r="G47" s="573"/>
      <c r="H47" s="573"/>
    </row>
    <row r="48" spans="1:14" x14ac:dyDescent="0.2">
      <c r="A48" s="573"/>
      <c r="B48" s="573"/>
      <c r="C48" s="573"/>
      <c r="D48" s="573"/>
      <c r="E48" s="573"/>
      <c r="F48" s="573"/>
      <c r="G48" s="573"/>
      <c r="H48" s="573"/>
    </row>
    <row r="49" spans="1:8" x14ac:dyDescent="0.2">
      <c r="A49" s="573"/>
      <c r="B49" s="573"/>
      <c r="C49" s="573"/>
      <c r="D49" s="573"/>
      <c r="E49" s="573"/>
      <c r="F49" s="573"/>
      <c r="G49" s="573"/>
      <c r="H49" s="573"/>
    </row>
    <row r="50" spans="1:8" x14ac:dyDescent="0.2">
      <c r="A50" s="573"/>
      <c r="B50" s="573"/>
      <c r="C50" s="573"/>
      <c r="D50" s="573"/>
      <c r="E50" s="573"/>
      <c r="F50" s="573"/>
      <c r="G50" s="573"/>
      <c r="H50" s="573"/>
    </row>
    <row r="51" spans="1:8" x14ac:dyDescent="0.2">
      <c r="A51" s="573"/>
      <c r="B51" s="573"/>
      <c r="C51" s="573"/>
      <c r="D51" s="573"/>
      <c r="E51" s="573"/>
      <c r="F51" s="573"/>
      <c r="G51" s="573"/>
      <c r="H51" s="573"/>
    </row>
    <row r="52" spans="1:8" x14ac:dyDescent="0.2">
      <c r="A52" s="573"/>
      <c r="B52" s="573"/>
      <c r="C52" s="573"/>
      <c r="D52" s="573"/>
      <c r="E52" s="573"/>
      <c r="F52" s="573"/>
      <c r="G52" s="573"/>
      <c r="H52" s="573"/>
    </row>
    <row r="53" spans="1:8" x14ac:dyDescent="0.2">
      <c r="A53" s="573"/>
      <c r="B53" s="573"/>
      <c r="C53" s="573"/>
      <c r="D53" s="573"/>
      <c r="E53" s="573"/>
      <c r="F53" s="573"/>
      <c r="G53" s="573"/>
      <c r="H53" s="573"/>
    </row>
    <row r="54" spans="1:8" x14ac:dyDescent="0.2">
      <c r="A54" s="573"/>
      <c r="B54" s="573"/>
      <c r="C54" s="573"/>
      <c r="D54" s="573"/>
      <c r="E54" s="573"/>
      <c r="F54" s="573"/>
      <c r="G54" s="573"/>
      <c r="H54" s="573"/>
    </row>
    <row r="55" spans="1:8" x14ac:dyDescent="0.2">
      <c r="A55" s="573"/>
      <c r="B55" s="573"/>
      <c r="C55" s="573"/>
      <c r="D55" s="573"/>
      <c r="E55" s="573"/>
      <c r="F55" s="573"/>
      <c r="G55" s="573"/>
      <c r="H55" s="573"/>
    </row>
    <row r="56" spans="1:8" x14ac:dyDescent="0.2">
      <c r="A56" s="573"/>
      <c r="B56" s="573"/>
      <c r="C56" s="573"/>
      <c r="D56" s="573"/>
      <c r="E56" s="573"/>
      <c r="F56" s="573"/>
      <c r="G56" s="573"/>
      <c r="H56" s="573"/>
    </row>
    <row r="57" spans="1:8" x14ac:dyDescent="0.2">
      <c r="A57" s="573"/>
      <c r="B57" s="573"/>
      <c r="C57" s="573"/>
      <c r="D57" s="573"/>
      <c r="E57" s="573"/>
      <c r="F57" s="573"/>
      <c r="G57" s="573"/>
      <c r="H57" s="573"/>
    </row>
    <row r="58" spans="1:8" x14ac:dyDescent="0.2">
      <c r="A58" s="573"/>
      <c r="B58" s="573"/>
      <c r="C58" s="573"/>
      <c r="D58" s="573"/>
      <c r="E58" s="573"/>
      <c r="F58" s="573"/>
      <c r="G58" s="573"/>
      <c r="H58" s="573"/>
    </row>
    <row r="59" spans="1:8" ht="23.25" x14ac:dyDescent="0.35">
      <c r="A59" s="573"/>
      <c r="B59" s="1425"/>
      <c r="C59" s="573"/>
      <c r="D59" s="573"/>
      <c r="E59" s="573"/>
      <c r="F59" s="573"/>
      <c r="G59" s="573"/>
      <c r="H59" s="573"/>
    </row>
    <row r="60" spans="1:8" x14ac:dyDescent="0.2">
      <c r="A60" s="573"/>
      <c r="B60" s="573"/>
      <c r="C60" s="573"/>
      <c r="D60" s="573"/>
      <c r="E60" s="573"/>
      <c r="F60" s="573"/>
      <c r="G60" s="573"/>
      <c r="H60" s="573"/>
    </row>
    <row r="61" spans="1:8" x14ac:dyDescent="0.2">
      <c r="A61" s="573"/>
      <c r="B61" s="573"/>
      <c r="C61" s="573"/>
      <c r="D61" s="573"/>
      <c r="E61" s="573"/>
      <c r="F61" s="573"/>
      <c r="G61" s="573"/>
      <c r="H61" s="573"/>
    </row>
    <row r="62" spans="1:8" x14ac:dyDescent="0.2">
      <c r="A62" s="573"/>
      <c r="B62" s="573"/>
      <c r="C62" s="573"/>
      <c r="D62" s="573"/>
      <c r="E62" s="573"/>
      <c r="F62" s="573"/>
      <c r="G62" s="573"/>
      <c r="H62" s="573"/>
    </row>
  </sheetData>
  <mergeCells count="7">
    <mergeCell ref="B4:F4"/>
    <mergeCell ref="H4:H6"/>
    <mergeCell ref="B5:B6"/>
    <mergeCell ref="C5:C6"/>
    <mergeCell ref="D5:D6"/>
    <mergeCell ref="E5:E6"/>
    <mergeCell ref="F5:F6"/>
  </mergeCells>
  <printOptions horizontalCentered="1"/>
  <pageMargins left="0.31496062992125984" right="7.874015748031496E-2" top="0.55118110236220474" bottom="0.39370078740157483" header="0" footer="0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112"/>
  <sheetViews>
    <sheetView view="pageBreakPreview" zoomScale="80" zoomScaleNormal="100" zoomScaleSheetLayoutView="80" workbookViewId="0">
      <pane xSplit="2" ySplit="7" topLeftCell="C29" activePane="bottomRight" state="frozen"/>
      <selection activeCell="N63" sqref="N63"/>
      <selection pane="topRight" activeCell="N63" sqref="N63"/>
      <selection pane="bottomLeft" activeCell="N63" sqref="N63"/>
      <selection pane="bottomRight" activeCell="G85" sqref="G85"/>
    </sheetView>
  </sheetViews>
  <sheetFormatPr baseColWidth="10" defaultRowHeight="12.75" x14ac:dyDescent="0.2"/>
  <cols>
    <col min="1" max="1" width="4.7109375" style="4" customWidth="1"/>
    <col min="2" max="2" width="43.5703125" style="4" customWidth="1"/>
    <col min="3" max="18" width="10.5703125" style="4" customWidth="1"/>
    <col min="19" max="21" width="10.85546875" style="4" bestFit="1" customWidth="1"/>
    <col min="22" max="22" width="13.5703125" style="4" customWidth="1"/>
    <col min="23" max="23" width="11.7109375" style="4" customWidth="1"/>
    <col min="24" max="24" width="7.85546875" style="32" customWidth="1"/>
    <col min="25" max="25" width="9.42578125" style="32" customWidth="1"/>
    <col min="26" max="26" width="6.7109375" style="32" customWidth="1"/>
    <col min="27" max="27" width="10.7109375" style="32" customWidth="1"/>
    <col min="28" max="28" width="5.7109375" style="4" customWidth="1"/>
    <col min="29" max="29" width="6.5703125" style="4" hidden="1" customWidth="1"/>
    <col min="30" max="30" width="12.42578125" style="4" hidden="1" customWidth="1"/>
    <col min="31" max="35" width="11.5703125" style="4" hidden="1" customWidth="1"/>
    <col min="36" max="37" width="11.42578125" style="4" hidden="1" customWidth="1"/>
    <col min="38" max="39" width="11.5703125" style="4" hidden="1" customWidth="1"/>
    <col min="40" max="43" width="11.42578125" style="4" hidden="1" customWidth="1"/>
    <col min="44" max="44" width="11.7109375" style="4" hidden="1" customWidth="1"/>
    <col min="45" max="58" width="11.42578125" style="4" hidden="1" customWidth="1"/>
    <col min="59" max="59" width="11.42578125" style="33" hidden="1" customWidth="1"/>
    <col min="60" max="61" width="11.42578125" style="4" hidden="1" customWidth="1"/>
    <col min="62" max="62" width="11.42578125" style="33" hidden="1" customWidth="1"/>
    <col min="63" max="64" width="11.42578125" style="4" hidden="1" customWidth="1"/>
    <col min="65" max="65" width="15.5703125" style="4" hidden="1" customWidth="1"/>
    <col min="66" max="67" width="11.42578125" style="4" hidden="1" customWidth="1"/>
    <col min="68" max="68" width="15.5703125" style="4" hidden="1" customWidth="1"/>
    <col min="69" max="70" width="11.42578125" style="4" hidden="1" customWidth="1"/>
    <col min="71" max="71" width="8.140625" style="4" hidden="1" customWidth="1"/>
    <col min="72" max="74" width="0" style="4" hidden="1" customWidth="1"/>
    <col min="75" max="256" width="11.42578125" style="4"/>
    <col min="257" max="257" width="4.7109375" style="4" customWidth="1"/>
    <col min="258" max="258" width="43.5703125" style="4" customWidth="1"/>
    <col min="259" max="274" width="10.5703125" style="4" customWidth="1"/>
    <col min="275" max="277" width="10.85546875" style="4" bestFit="1" customWidth="1"/>
    <col min="278" max="278" width="13.5703125" style="4" customWidth="1"/>
    <col min="279" max="279" width="11.7109375" style="4" customWidth="1"/>
    <col min="280" max="280" width="7.85546875" style="4" customWidth="1"/>
    <col min="281" max="281" width="9.42578125" style="4" customWidth="1"/>
    <col min="282" max="282" width="6.7109375" style="4" customWidth="1"/>
    <col min="283" max="283" width="10.7109375" style="4" customWidth="1"/>
    <col min="284" max="284" width="5.7109375" style="4" customWidth="1"/>
    <col min="285" max="330" width="0" style="4" hidden="1" customWidth="1"/>
    <col min="331" max="512" width="11.42578125" style="4"/>
    <col min="513" max="513" width="4.7109375" style="4" customWidth="1"/>
    <col min="514" max="514" width="43.5703125" style="4" customWidth="1"/>
    <col min="515" max="530" width="10.5703125" style="4" customWidth="1"/>
    <col min="531" max="533" width="10.85546875" style="4" bestFit="1" customWidth="1"/>
    <col min="534" max="534" width="13.5703125" style="4" customWidth="1"/>
    <col min="535" max="535" width="11.7109375" style="4" customWidth="1"/>
    <col min="536" max="536" width="7.85546875" style="4" customWidth="1"/>
    <col min="537" max="537" width="9.42578125" style="4" customWidth="1"/>
    <col min="538" max="538" width="6.7109375" style="4" customWidth="1"/>
    <col min="539" max="539" width="10.7109375" style="4" customWidth="1"/>
    <col min="540" max="540" width="5.7109375" style="4" customWidth="1"/>
    <col min="541" max="586" width="0" style="4" hidden="1" customWidth="1"/>
    <col min="587" max="768" width="11.42578125" style="4"/>
    <col min="769" max="769" width="4.7109375" style="4" customWidth="1"/>
    <col min="770" max="770" width="43.5703125" style="4" customWidth="1"/>
    <col min="771" max="786" width="10.5703125" style="4" customWidth="1"/>
    <col min="787" max="789" width="10.85546875" style="4" bestFit="1" customWidth="1"/>
    <col min="790" max="790" width="13.5703125" style="4" customWidth="1"/>
    <col min="791" max="791" width="11.7109375" style="4" customWidth="1"/>
    <col min="792" max="792" width="7.85546875" style="4" customWidth="1"/>
    <col min="793" max="793" width="9.42578125" style="4" customWidth="1"/>
    <col min="794" max="794" width="6.7109375" style="4" customWidth="1"/>
    <col min="795" max="795" width="10.7109375" style="4" customWidth="1"/>
    <col min="796" max="796" width="5.7109375" style="4" customWidth="1"/>
    <col min="797" max="842" width="0" style="4" hidden="1" customWidth="1"/>
    <col min="843" max="1024" width="11.42578125" style="4"/>
    <col min="1025" max="1025" width="4.7109375" style="4" customWidth="1"/>
    <col min="1026" max="1026" width="43.5703125" style="4" customWidth="1"/>
    <col min="1027" max="1042" width="10.5703125" style="4" customWidth="1"/>
    <col min="1043" max="1045" width="10.85546875" style="4" bestFit="1" customWidth="1"/>
    <col min="1046" max="1046" width="13.5703125" style="4" customWidth="1"/>
    <col min="1047" max="1047" width="11.7109375" style="4" customWidth="1"/>
    <col min="1048" max="1048" width="7.85546875" style="4" customWidth="1"/>
    <col min="1049" max="1049" width="9.42578125" style="4" customWidth="1"/>
    <col min="1050" max="1050" width="6.7109375" style="4" customWidth="1"/>
    <col min="1051" max="1051" width="10.7109375" style="4" customWidth="1"/>
    <col min="1052" max="1052" width="5.7109375" style="4" customWidth="1"/>
    <col min="1053" max="1098" width="0" style="4" hidden="1" customWidth="1"/>
    <col min="1099" max="1280" width="11.42578125" style="4"/>
    <col min="1281" max="1281" width="4.7109375" style="4" customWidth="1"/>
    <col min="1282" max="1282" width="43.5703125" style="4" customWidth="1"/>
    <col min="1283" max="1298" width="10.5703125" style="4" customWidth="1"/>
    <col min="1299" max="1301" width="10.85546875" style="4" bestFit="1" customWidth="1"/>
    <col min="1302" max="1302" width="13.5703125" style="4" customWidth="1"/>
    <col min="1303" max="1303" width="11.7109375" style="4" customWidth="1"/>
    <col min="1304" max="1304" width="7.85546875" style="4" customWidth="1"/>
    <col min="1305" max="1305" width="9.42578125" style="4" customWidth="1"/>
    <col min="1306" max="1306" width="6.7109375" style="4" customWidth="1"/>
    <col min="1307" max="1307" width="10.7109375" style="4" customWidth="1"/>
    <col min="1308" max="1308" width="5.7109375" style="4" customWidth="1"/>
    <col min="1309" max="1354" width="0" style="4" hidden="1" customWidth="1"/>
    <col min="1355" max="1536" width="11.42578125" style="4"/>
    <col min="1537" max="1537" width="4.7109375" style="4" customWidth="1"/>
    <col min="1538" max="1538" width="43.5703125" style="4" customWidth="1"/>
    <col min="1539" max="1554" width="10.5703125" style="4" customWidth="1"/>
    <col min="1555" max="1557" width="10.85546875" style="4" bestFit="1" customWidth="1"/>
    <col min="1558" max="1558" width="13.5703125" style="4" customWidth="1"/>
    <col min="1559" max="1559" width="11.7109375" style="4" customWidth="1"/>
    <col min="1560" max="1560" width="7.85546875" style="4" customWidth="1"/>
    <col min="1561" max="1561" width="9.42578125" style="4" customWidth="1"/>
    <col min="1562" max="1562" width="6.7109375" style="4" customWidth="1"/>
    <col min="1563" max="1563" width="10.7109375" style="4" customWidth="1"/>
    <col min="1564" max="1564" width="5.7109375" style="4" customWidth="1"/>
    <col min="1565" max="1610" width="0" style="4" hidden="1" customWidth="1"/>
    <col min="1611" max="1792" width="11.42578125" style="4"/>
    <col min="1793" max="1793" width="4.7109375" style="4" customWidth="1"/>
    <col min="1794" max="1794" width="43.5703125" style="4" customWidth="1"/>
    <col min="1795" max="1810" width="10.5703125" style="4" customWidth="1"/>
    <col min="1811" max="1813" width="10.85546875" style="4" bestFit="1" customWidth="1"/>
    <col min="1814" max="1814" width="13.5703125" style="4" customWidth="1"/>
    <col min="1815" max="1815" width="11.7109375" style="4" customWidth="1"/>
    <col min="1816" max="1816" width="7.85546875" style="4" customWidth="1"/>
    <col min="1817" max="1817" width="9.42578125" style="4" customWidth="1"/>
    <col min="1818" max="1818" width="6.7109375" style="4" customWidth="1"/>
    <col min="1819" max="1819" width="10.7109375" style="4" customWidth="1"/>
    <col min="1820" max="1820" width="5.7109375" style="4" customWidth="1"/>
    <col min="1821" max="1866" width="0" style="4" hidden="1" customWidth="1"/>
    <col min="1867" max="2048" width="11.42578125" style="4"/>
    <col min="2049" max="2049" width="4.7109375" style="4" customWidth="1"/>
    <col min="2050" max="2050" width="43.5703125" style="4" customWidth="1"/>
    <col min="2051" max="2066" width="10.5703125" style="4" customWidth="1"/>
    <col min="2067" max="2069" width="10.85546875" style="4" bestFit="1" customWidth="1"/>
    <col min="2070" max="2070" width="13.5703125" style="4" customWidth="1"/>
    <col min="2071" max="2071" width="11.7109375" style="4" customWidth="1"/>
    <col min="2072" max="2072" width="7.85546875" style="4" customWidth="1"/>
    <col min="2073" max="2073" width="9.42578125" style="4" customWidth="1"/>
    <col min="2074" max="2074" width="6.7109375" style="4" customWidth="1"/>
    <col min="2075" max="2075" width="10.7109375" style="4" customWidth="1"/>
    <col min="2076" max="2076" width="5.7109375" style="4" customWidth="1"/>
    <col min="2077" max="2122" width="0" style="4" hidden="1" customWidth="1"/>
    <col min="2123" max="2304" width="11.42578125" style="4"/>
    <col min="2305" max="2305" width="4.7109375" style="4" customWidth="1"/>
    <col min="2306" max="2306" width="43.5703125" style="4" customWidth="1"/>
    <col min="2307" max="2322" width="10.5703125" style="4" customWidth="1"/>
    <col min="2323" max="2325" width="10.85546875" style="4" bestFit="1" customWidth="1"/>
    <col min="2326" max="2326" width="13.5703125" style="4" customWidth="1"/>
    <col min="2327" max="2327" width="11.7109375" style="4" customWidth="1"/>
    <col min="2328" max="2328" width="7.85546875" style="4" customWidth="1"/>
    <col min="2329" max="2329" width="9.42578125" style="4" customWidth="1"/>
    <col min="2330" max="2330" width="6.7109375" style="4" customWidth="1"/>
    <col min="2331" max="2331" width="10.7109375" style="4" customWidth="1"/>
    <col min="2332" max="2332" width="5.7109375" style="4" customWidth="1"/>
    <col min="2333" max="2378" width="0" style="4" hidden="1" customWidth="1"/>
    <col min="2379" max="2560" width="11.42578125" style="4"/>
    <col min="2561" max="2561" width="4.7109375" style="4" customWidth="1"/>
    <col min="2562" max="2562" width="43.5703125" style="4" customWidth="1"/>
    <col min="2563" max="2578" width="10.5703125" style="4" customWidth="1"/>
    <col min="2579" max="2581" width="10.85546875" style="4" bestFit="1" customWidth="1"/>
    <col min="2582" max="2582" width="13.5703125" style="4" customWidth="1"/>
    <col min="2583" max="2583" width="11.7109375" style="4" customWidth="1"/>
    <col min="2584" max="2584" width="7.85546875" style="4" customWidth="1"/>
    <col min="2585" max="2585" width="9.42578125" style="4" customWidth="1"/>
    <col min="2586" max="2586" width="6.7109375" style="4" customWidth="1"/>
    <col min="2587" max="2587" width="10.7109375" style="4" customWidth="1"/>
    <col min="2588" max="2588" width="5.7109375" style="4" customWidth="1"/>
    <col min="2589" max="2634" width="0" style="4" hidden="1" customWidth="1"/>
    <col min="2635" max="2816" width="11.42578125" style="4"/>
    <col min="2817" max="2817" width="4.7109375" style="4" customWidth="1"/>
    <col min="2818" max="2818" width="43.5703125" style="4" customWidth="1"/>
    <col min="2819" max="2834" width="10.5703125" style="4" customWidth="1"/>
    <col min="2835" max="2837" width="10.85546875" style="4" bestFit="1" customWidth="1"/>
    <col min="2838" max="2838" width="13.5703125" style="4" customWidth="1"/>
    <col min="2839" max="2839" width="11.7109375" style="4" customWidth="1"/>
    <col min="2840" max="2840" width="7.85546875" style="4" customWidth="1"/>
    <col min="2841" max="2841" width="9.42578125" style="4" customWidth="1"/>
    <col min="2842" max="2842" width="6.7109375" style="4" customWidth="1"/>
    <col min="2843" max="2843" width="10.7109375" style="4" customWidth="1"/>
    <col min="2844" max="2844" width="5.7109375" style="4" customWidth="1"/>
    <col min="2845" max="2890" width="0" style="4" hidden="1" customWidth="1"/>
    <col min="2891" max="3072" width="11.42578125" style="4"/>
    <col min="3073" max="3073" width="4.7109375" style="4" customWidth="1"/>
    <col min="3074" max="3074" width="43.5703125" style="4" customWidth="1"/>
    <col min="3075" max="3090" width="10.5703125" style="4" customWidth="1"/>
    <col min="3091" max="3093" width="10.85546875" style="4" bestFit="1" customWidth="1"/>
    <col min="3094" max="3094" width="13.5703125" style="4" customWidth="1"/>
    <col min="3095" max="3095" width="11.7109375" style="4" customWidth="1"/>
    <col min="3096" max="3096" width="7.85546875" style="4" customWidth="1"/>
    <col min="3097" max="3097" width="9.42578125" style="4" customWidth="1"/>
    <col min="3098" max="3098" width="6.7109375" style="4" customWidth="1"/>
    <col min="3099" max="3099" width="10.7109375" style="4" customWidth="1"/>
    <col min="3100" max="3100" width="5.7109375" style="4" customWidth="1"/>
    <col min="3101" max="3146" width="0" style="4" hidden="1" customWidth="1"/>
    <col min="3147" max="3328" width="11.42578125" style="4"/>
    <col min="3329" max="3329" width="4.7109375" style="4" customWidth="1"/>
    <col min="3330" max="3330" width="43.5703125" style="4" customWidth="1"/>
    <col min="3331" max="3346" width="10.5703125" style="4" customWidth="1"/>
    <col min="3347" max="3349" width="10.85546875" style="4" bestFit="1" customWidth="1"/>
    <col min="3350" max="3350" width="13.5703125" style="4" customWidth="1"/>
    <col min="3351" max="3351" width="11.7109375" style="4" customWidth="1"/>
    <col min="3352" max="3352" width="7.85546875" style="4" customWidth="1"/>
    <col min="3353" max="3353" width="9.42578125" style="4" customWidth="1"/>
    <col min="3354" max="3354" width="6.7109375" style="4" customWidth="1"/>
    <col min="3355" max="3355" width="10.7109375" style="4" customWidth="1"/>
    <col min="3356" max="3356" width="5.7109375" style="4" customWidth="1"/>
    <col min="3357" max="3402" width="0" style="4" hidden="1" customWidth="1"/>
    <col min="3403" max="3584" width="11.42578125" style="4"/>
    <col min="3585" max="3585" width="4.7109375" style="4" customWidth="1"/>
    <col min="3586" max="3586" width="43.5703125" style="4" customWidth="1"/>
    <col min="3587" max="3602" width="10.5703125" style="4" customWidth="1"/>
    <col min="3603" max="3605" width="10.85546875" style="4" bestFit="1" customWidth="1"/>
    <col min="3606" max="3606" width="13.5703125" style="4" customWidth="1"/>
    <col min="3607" max="3607" width="11.7109375" style="4" customWidth="1"/>
    <col min="3608" max="3608" width="7.85546875" style="4" customWidth="1"/>
    <col min="3609" max="3609" width="9.42578125" style="4" customWidth="1"/>
    <col min="3610" max="3610" width="6.7109375" style="4" customWidth="1"/>
    <col min="3611" max="3611" width="10.7109375" style="4" customWidth="1"/>
    <col min="3612" max="3612" width="5.7109375" style="4" customWidth="1"/>
    <col min="3613" max="3658" width="0" style="4" hidden="1" customWidth="1"/>
    <col min="3659" max="3840" width="11.42578125" style="4"/>
    <col min="3841" max="3841" width="4.7109375" style="4" customWidth="1"/>
    <col min="3842" max="3842" width="43.5703125" style="4" customWidth="1"/>
    <col min="3843" max="3858" width="10.5703125" style="4" customWidth="1"/>
    <col min="3859" max="3861" width="10.85546875" style="4" bestFit="1" customWidth="1"/>
    <col min="3862" max="3862" width="13.5703125" style="4" customWidth="1"/>
    <col min="3863" max="3863" width="11.7109375" style="4" customWidth="1"/>
    <col min="3864" max="3864" width="7.85546875" style="4" customWidth="1"/>
    <col min="3865" max="3865" width="9.42578125" style="4" customWidth="1"/>
    <col min="3866" max="3866" width="6.7109375" style="4" customWidth="1"/>
    <col min="3867" max="3867" width="10.7109375" style="4" customWidth="1"/>
    <col min="3868" max="3868" width="5.7109375" style="4" customWidth="1"/>
    <col min="3869" max="3914" width="0" style="4" hidden="1" customWidth="1"/>
    <col min="3915" max="4096" width="11.42578125" style="4"/>
    <col min="4097" max="4097" width="4.7109375" style="4" customWidth="1"/>
    <col min="4098" max="4098" width="43.5703125" style="4" customWidth="1"/>
    <col min="4099" max="4114" width="10.5703125" style="4" customWidth="1"/>
    <col min="4115" max="4117" width="10.85546875" style="4" bestFit="1" customWidth="1"/>
    <col min="4118" max="4118" width="13.5703125" style="4" customWidth="1"/>
    <col min="4119" max="4119" width="11.7109375" style="4" customWidth="1"/>
    <col min="4120" max="4120" width="7.85546875" style="4" customWidth="1"/>
    <col min="4121" max="4121" width="9.42578125" style="4" customWidth="1"/>
    <col min="4122" max="4122" width="6.7109375" style="4" customWidth="1"/>
    <col min="4123" max="4123" width="10.7109375" style="4" customWidth="1"/>
    <col min="4124" max="4124" width="5.7109375" style="4" customWidth="1"/>
    <col min="4125" max="4170" width="0" style="4" hidden="1" customWidth="1"/>
    <col min="4171" max="4352" width="11.42578125" style="4"/>
    <col min="4353" max="4353" width="4.7109375" style="4" customWidth="1"/>
    <col min="4354" max="4354" width="43.5703125" style="4" customWidth="1"/>
    <col min="4355" max="4370" width="10.5703125" style="4" customWidth="1"/>
    <col min="4371" max="4373" width="10.85546875" style="4" bestFit="1" customWidth="1"/>
    <col min="4374" max="4374" width="13.5703125" style="4" customWidth="1"/>
    <col min="4375" max="4375" width="11.7109375" style="4" customWidth="1"/>
    <col min="4376" max="4376" width="7.85546875" style="4" customWidth="1"/>
    <col min="4377" max="4377" width="9.42578125" style="4" customWidth="1"/>
    <col min="4378" max="4378" width="6.7109375" style="4" customWidth="1"/>
    <col min="4379" max="4379" width="10.7109375" style="4" customWidth="1"/>
    <col min="4380" max="4380" width="5.7109375" style="4" customWidth="1"/>
    <col min="4381" max="4426" width="0" style="4" hidden="1" customWidth="1"/>
    <col min="4427" max="4608" width="11.42578125" style="4"/>
    <col min="4609" max="4609" width="4.7109375" style="4" customWidth="1"/>
    <col min="4610" max="4610" width="43.5703125" style="4" customWidth="1"/>
    <col min="4611" max="4626" width="10.5703125" style="4" customWidth="1"/>
    <col min="4627" max="4629" width="10.85546875" style="4" bestFit="1" customWidth="1"/>
    <col min="4630" max="4630" width="13.5703125" style="4" customWidth="1"/>
    <col min="4631" max="4631" width="11.7109375" style="4" customWidth="1"/>
    <col min="4632" max="4632" width="7.85546875" style="4" customWidth="1"/>
    <col min="4633" max="4633" width="9.42578125" style="4" customWidth="1"/>
    <col min="4634" max="4634" width="6.7109375" style="4" customWidth="1"/>
    <col min="4635" max="4635" width="10.7109375" style="4" customWidth="1"/>
    <col min="4636" max="4636" width="5.7109375" style="4" customWidth="1"/>
    <col min="4637" max="4682" width="0" style="4" hidden="1" customWidth="1"/>
    <col min="4683" max="4864" width="11.42578125" style="4"/>
    <col min="4865" max="4865" width="4.7109375" style="4" customWidth="1"/>
    <col min="4866" max="4866" width="43.5703125" style="4" customWidth="1"/>
    <col min="4867" max="4882" width="10.5703125" style="4" customWidth="1"/>
    <col min="4883" max="4885" width="10.85546875" style="4" bestFit="1" customWidth="1"/>
    <col min="4886" max="4886" width="13.5703125" style="4" customWidth="1"/>
    <col min="4887" max="4887" width="11.7109375" style="4" customWidth="1"/>
    <col min="4888" max="4888" width="7.85546875" style="4" customWidth="1"/>
    <col min="4889" max="4889" width="9.42578125" style="4" customWidth="1"/>
    <col min="4890" max="4890" width="6.7109375" style="4" customWidth="1"/>
    <col min="4891" max="4891" width="10.7109375" style="4" customWidth="1"/>
    <col min="4892" max="4892" width="5.7109375" style="4" customWidth="1"/>
    <col min="4893" max="4938" width="0" style="4" hidden="1" customWidth="1"/>
    <col min="4939" max="5120" width="11.42578125" style="4"/>
    <col min="5121" max="5121" width="4.7109375" style="4" customWidth="1"/>
    <col min="5122" max="5122" width="43.5703125" style="4" customWidth="1"/>
    <col min="5123" max="5138" width="10.5703125" style="4" customWidth="1"/>
    <col min="5139" max="5141" width="10.85546875" style="4" bestFit="1" customWidth="1"/>
    <col min="5142" max="5142" width="13.5703125" style="4" customWidth="1"/>
    <col min="5143" max="5143" width="11.7109375" style="4" customWidth="1"/>
    <col min="5144" max="5144" width="7.85546875" style="4" customWidth="1"/>
    <col min="5145" max="5145" width="9.42578125" style="4" customWidth="1"/>
    <col min="5146" max="5146" width="6.7109375" style="4" customWidth="1"/>
    <col min="5147" max="5147" width="10.7109375" style="4" customWidth="1"/>
    <col min="5148" max="5148" width="5.7109375" style="4" customWidth="1"/>
    <col min="5149" max="5194" width="0" style="4" hidden="1" customWidth="1"/>
    <col min="5195" max="5376" width="11.42578125" style="4"/>
    <col min="5377" max="5377" width="4.7109375" style="4" customWidth="1"/>
    <col min="5378" max="5378" width="43.5703125" style="4" customWidth="1"/>
    <col min="5379" max="5394" width="10.5703125" style="4" customWidth="1"/>
    <col min="5395" max="5397" width="10.85546875" style="4" bestFit="1" customWidth="1"/>
    <col min="5398" max="5398" width="13.5703125" style="4" customWidth="1"/>
    <col min="5399" max="5399" width="11.7109375" style="4" customWidth="1"/>
    <col min="5400" max="5400" width="7.85546875" style="4" customWidth="1"/>
    <col min="5401" max="5401" width="9.42578125" style="4" customWidth="1"/>
    <col min="5402" max="5402" width="6.7109375" style="4" customWidth="1"/>
    <col min="5403" max="5403" width="10.7109375" style="4" customWidth="1"/>
    <col min="5404" max="5404" width="5.7109375" style="4" customWidth="1"/>
    <col min="5405" max="5450" width="0" style="4" hidden="1" customWidth="1"/>
    <col min="5451" max="5632" width="11.42578125" style="4"/>
    <col min="5633" max="5633" width="4.7109375" style="4" customWidth="1"/>
    <col min="5634" max="5634" width="43.5703125" style="4" customWidth="1"/>
    <col min="5635" max="5650" width="10.5703125" style="4" customWidth="1"/>
    <col min="5651" max="5653" width="10.85546875" style="4" bestFit="1" customWidth="1"/>
    <col min="5654" max="5654" width="13.5703125" style="4" customWidth="1"/>
    <col min="5655" max="5655" width="11.7109375" style="4" customWidth="1"/>
    <col min="5656" max="5656" width="7.85546875" style="4" customWidth="1"/>
    <col min="5657" max="5657" width="9.42578125" style="4" customWidth="1"/>
    <col min="5658" max="5658" width="6.7109375" style="4" customWidth="1"/>
    <col min="5659" max="5659" width="10.7109375" style="4" customWidth="1"/>
    <col min="5660" max="5660" width="5.7109375" style="4" customWidth="1"/>
    <col min="5661" max="5706" width="0" style="4" hidden="1" customWidth="1"/>
    <col min="5707" max="5888" width="11.42578125" style="4"/>
    <col min="5889" max="5889" width="4.7109375" style="4" customWidth="1"/>
    <col min="5890" max="5890" width="43.5703125" style="4" customWidth="1"/>
    <col min="5891" max="5906" width="10.5703125" style="4" customWidth="1"/>
    <col min="5907" max="5909" width="10.85546875" style="4" bestFit="1" customWidth="1"/>
    <col min="5910" max="5910" width="13.5703125" style="4" customWidth="1"/>
    <col min="5911" max="5911" width="11.7109375" style="4" customWidth="1"/>
    <col min="5912" max="5912" width="7.85546875" style="4" customWidth="1"/>
    <col min="5913" max="5913" width="9.42578125" style="4" customWidth="1"/>
    <col min="5914" max="5914" width="6.7109375" style="4" customWidth="1"/>
    <col min="5915" max="5915" width="10.7109375" style="4" customWidth="1"/>
    <col min="5916" max="5916" width="5.7109375" style="4" customWidth="1"/>
    <col min="5917" max="5962" width="0" style="4" hidden="1" customWidth="1"/>
    <col min="5963" max="6144" width="11.42578125" style="4"/>
    <col min="6145" max="6145" width="4.7109375" style="4" customWidth="1"/>
    <col min="6146" max="6146" width="43.5703125" style="4" customWidth="1"/>
    <col min="6147" max="6162" width="10.5703125" style="4" customWidth="1"/>
    <col min="6163" max="6165" width="10.85546875" style="4" bestFit="1" customWidth="1"/>
    <col min="6166" max="6166" width="13.5703125" style="4" customWidth="1"/>
    <col min="6167" max="6167" width="11.7109375" style="4" customWidth="1"/>
    <col min="6168" max="6168" width="7.85546875" style="4" customWidth="1"/>
    <col min="6169" max="6169" width="9.42578125" style="4" customWidth="1"/>
    <col min="6170" max="6170" width="6.7109375" style="4" customWidth="1"/>
    <col min="6171" max="6171" width="10.7109375" style="4" customWidth="1"/>
    <col min="6172" max="6172" width="5.7109375" style="4" customWidth="1"/>
    <col min="6173" max="6218" width="0" style="4" hidden="1" customWidth="1"/>
    <col min="6219" max="6400" width="11.42578125" style="4"/>
    <col min="6401" max="6401" width="4.7109375" style="4" customWidth="1"/>
    <col min="6402" max="6402" width="43.5703125" style="4" customWidth="1"/>
    <col min="6403" max="6418" width="10.5703125" style="4" customWidth="1"/>
    <col min="6419" max="6421" width="10.85546875" style="4" bestFit="1" customWidth="1"/>
    <col min="6422" max="6422" width="13.5703125" style="4" customWidth="1"/>
    <col min="6423" max="6423" width="11.7109375" style="4" customWidth="1"/>
    <col min="6424" max="6424" width="7.85546875" style="4" customWidth="1"/>
    <col min="6425" max="6425" width="9.42578125" style="4" customWidth="1"/>
    <col min="6426" max="6426" width="6.7109375" style="4" customWidth="1"/>
    <col min="6427" max="6427" width="10.7109375" style="4" customWidth="1"/>
    <col min="6428" max="6428" width="5.7109375" style="4" customWidth="1"/>
    <col min="6429" max="6474" width="0" style="4" hidden="1" customWidth="1"/>
    <col min="6475" max="6656" width="11.42578125" style="4"/>
    <col min="6657" max="6657" width="4.7109375" style="4" customWidth="1"/>
    <col min="6658" max="6658" width="43.5703125" style="4" customWidth="1"/>
    <col min="6659" max="6674" width="10.5703125" style="4" customWidth="1"/>
    <col min="6675" max="6677" width="10.85546875" style="4" bestFit="1" customWidth="1"/>
    <col min="6678" max="6678" width="13.5703125" style="4" customWidth="1"/>
    <col min="6679" max="6679" width="11.7109375" style="4" customWidth="1"/>
    <col min="6680" max="6680" width="7.85546875" style="4" customWidth="1"/>
    <col min="6681" max="6681" width="9.42578125" style="4" customWidth="1"/>
    <col min="6682" max="6682" width="6.7109375" style="4" customWidth="1"/>
    <col min="6683" max="6683" width="10.7109375" style="4" customWidth="1"/>
    <col min="6684" max="6684" width="5.7109375" style="4" customWidth="1"/>
    <col min="6685" max="6730" width="0" style="4" hidden="1" customWidth="1"/>
    <col min="6731" max="6912" width="11.42578125" style="4"/>
    <col min="6913" max="6913" width="4.7109375" style="4" customWidth="1"/>
    <col min="6914" max="6914" width="43.5703125" style="4" customWidth="1"/>
    <col min="6915" max="6930" width="10.5703125" style="4" customWidth="1"/>
    <col min="6931" max="6933" width="10.85546875" style="4" bestFit="1" customWidth="1"/>
    <col min="6934" max="6934" width="13.5703125" style="4" customWidth="1"/>
    <col min="6935" max="6935" width="11.7109375" style="4" customWidth="1"/>
    <col min="6936" max="6936" width="7.85546875" style="4" customWidth="1"/>
    <col min="6937" max="6937" width="9.42578125" style="4" customWidth="1"/>
    <col min="6938" max="6938" width="6.7109375" style="4" customWidth="1"/>
    <col min="6939" max="6939" width="10.7109375" style="4" customWidth="1"/>
    <col min="6940" max="6940" width="5.7109375" style="4" customWidth="1"/>
    <col min="6941" max="6986" width="0" style="4" hidden="1" customWidth="1"/>
    <col min="6987" max="7168" width="11.42578125" style="4"/>
    <col min="7169" max="7169" width="4.7109375" style="4" customWidth="1"/>
    <col min="7170" max="7170" width="43.5703125" style="4" customWidth="1"/>
    <col min="7171" max="7186" width="10.5703125" style="4" customWidth="1"/>
    <col min="7187" max="7189" width="10.85546875" style="4" bestFit="1" customWidth="1"/>
    <col min="7190" max="7190" width="13.5703125" style="4" customWidth="1"/>
    <col min="7191" max="7191" width="11.7109375" style="4" customWidth="1"/>
    <col min="7192" max="7192" width="7.85546875" style="4" customWidth="1"/>
    <col min="7193" max="7193" width="9.42578125" style="4" customWidth="1"/>
    <col min="7194" max="7194" width="6.7109375" style="4" customWidth="1"/>
    <col min="7195" max="7195" width="10.7109375" style="4" customWidth="1"/>
    <col min="7196" max="7196" width="5.7109375" style="4" customWidth="1"/>
    <col min="7197" max="7242" width="0" style="4" hidden="1" customWidth="1"/>
    <col min="7243" max="7424" width="11.42578125" style="4"/>
    <col min="7425" max="7425" width="4.7109375" style="4" customWidth="1"/>
    <col min="7426" max="7426" width="43.5703125" style="4" customWidth="1"/>
    <col min="7427" max="7442" width="10.5703125" style="4" customWidth="1"/>
    <col min="7443" max="7445" width="10.85546875" style="4" bestFit="1" customWidth="1"/>
    <col min="7446" max="7446" width="13.5703125" style="4" customWidth="1"/>
    <col min="7447" max="7447" width="11.7109375" style="4" customWidth="1"/>
    <col min="7448" max="7448" width="7.85546875" style="4" customWidth="1"/>
    <col min="7449" max="7449" width="9.42578125" style="4" customWidth="1"/>
    <col min="7450" max="7450" width="6.7109375" style="4" customWidth="1"/>
    <col min="7451" max="7451" width="10.7109375" style="4" customWidth="1"/>
    <col min="7452" max="7452" width="5.7109375" style="4" customWidth="1"/>
    <col min="7453" max="7498" width="0" style="4" hidden="1" customWidth="1"/>
    <col min="7499" max="7680" width="11.42578125" style="4"/>
    <col min="7681" max="7681" width="4.7109375" style="4" customWidth="1"/>
    <col min="7682" max="7682" width="43.5703125" style="4" customWidth="1"/>
    <col min="7683" max="7698" width="10.5703125" style="4" customWidth="1"/>
    <col min="7699" max="7701" width="10.85546875" style="4" bestFit="1" customWidth="1"/>
    <col min="7702" max="7702" width="13.5703125" style="4" customWidth="1"/>
    <col min="7703" max="7703" width="11.7109375" style="4" customWidth="1"/>
    <col min="7704" max="7704" width="7.85546875" style="4" customWidth="1"/>
    <col min="7705" max="7705" width="9.42578125" style="4" customWidth="1"/>
    <col min="7706" max="7706" width="6.7109375" style="4" customWidth="1"/>
    <col min="7707" max="7707" width="10.7109375" style="4" customWidth="1"/>
    <col min="7708" max="7708" width="5.7109375" style="4" customWidth="1"/>
    <col min="7709" max="7754" width="0" style="4" hidden="1" customWidth="1"/>
    <col min="7755" max="7936" width="11.42578125" style="4"/>
    <col min="7937" max="7937" width="4.7109375" style="4" customWidth="1"/>
    <col min="7938" max="7938" width="43.5703125" style="4" customWidth="1"/>
    <col min="7939" max="7954" width="10.5703125" style="4" customWidth="1"/>
    <col min="7955" max="7957" width="10.85546875" style="4" bestFit="1" customWidth="1"/>
    <col min="7958" max="7958" width="13.5703125" style="4" customWidth="1"/>
    <col min="7959" max="7959" width="11.7109375" style="4" customWidth="1"/>
    <col min="7960" max="7960" width="7.85546875" style="4" customWidth="1"/>
    <col min="7961" max="7961" width="9.42578125" style="4" customWidth="1"/>
    <col min="7962" max="7962" width="6.7109375" style="4" customWidth="1"/>
    <col min="7963" max="7963" width="10.7109375" style="4" customWidth="1"/>
    <col min="7964" max="7964" width="5.7109375" style="4" customWidth="1"/>
    <col min="7965" max="8010" width="0" style="4" hidden="1" customWidth="1"/>
    <col min="8011" max="8192" width="11.42578125" style="4"/>
    <col min="8193" max="8193" width="4.7109375" style="4" customWidth="1"/>
    <col min="8194" max="8194" width="43.5703125" style="4" customWidth="1"/>
    <col min="8195" max="8210" width="10.5703125" style="4" customWidth="1"/>
    <col min="8211" max="8213" width="10.85546875" style="4" bestFit="1" customWidth="1"/>
    <col min="8214" max="8214" width="13.5703125" style="4" customWidth="1"/>
    <col min="8215" max="8215" width="11.7109375" style="4" customWidth="1"/>
    <col min="8216" max="8216" width="7.85546875" style="4" customWidth="1"/>
    <col min="8217" max="8217" width="9.42578125" style="4" customWidth="1"/>
    <col min="8218" max="8218" width="6.7109375" style="4" customWidth="1"/>
    <col min="8219" max="8219" width="10.7109375" style="4" customWidth="1"/>
    <col min="8220" max="8220" width="5.7109375" style="4" customWidth="1"/>
    <col min="8221" max="8266" width="0" style="4" hidden="1" customWidth="1"/>
    <col min="8267" max="8448" width="11.42578125" style="4"/>
    <col min="8449" max="8449" width="4.7109375" style="4" customWidth="1"/>
    <col min="8450" max="8450" width="43.5703125" style="4" customWidth="1"/>
    <col min="8451" max="8466" width="10.5703125" style="4" customWidth="1"/>
    <col min="8467" max="8469" width="10.85546875" style="4" bestFit="1" customWidth="1"/>
    <col min="8470" max="8470" width="13.5703125" style="4" customWidth="1"/>
    <col min="8471" max="8471" width="11.7109375" style="4" customWidth="1"/>
    <col min="8472" max="8472" width="7.85546875" style="4" customWidth="1"/>
    <col min="8473" max="8473" width="9.42578125" style="4" customWidth="1"/>
    <col min="8474" max="8474" width="6.7109375" style="4" customWidth="1"/>
    <col min="8475" max="8475" width="10.7109375" style="4" customWidth="1"/>
    <col min="8476" max="8476" width="5.7109375" style="4" customWidth="1"/>
    <col min="8477" max="8522" width="0" style="4" hidden="1" customWidth="1"/>
    <col min="8523" max="8704" width="11.42578125" style="4"/>
    <col min="8705" max="8705" width="4.7109375" style="4" customWidth="1"/>
    <col min="8706" max="8706" width="43.5703125" style="4" customWidth="1"/>
    <col min="8707" max="8722" width="10.5703125" style="4" customWidth="1"/>
    <col min="8723" max="8725" width="10.85546875" style="4" bestFit="1" customWidth="1"/>
    <col min="8726" max="8726" width="13.5703125" style="4" customWidth="1"/>
    <col min="8727" max="8727" width="11.7109375" style="4" customWidth="1"/>
    <col min="8728" max="8728" width="7.85546875" style="4" customWidth="1"/>
    <col min="8729" max="8729" width="9.42578125" style="4" customWidth="1"/>
    <col min="8730" max="8730" width="6.7109375" style="4" customWidth="1"/>
    <col min="8731" max="8731" width="10.7109375" style="4" customWidth="1"/>
    <col min="8732" max="8732" width="5.7109375" style="4" customWidth="1"/>
    <col min="8733" max="8778" width="0" style="4" hidden="1" customWidth="1"/>
    <col min="8779" max="8960" width="11.42578125" style="4"/>
    <col min="8961" max="8961" width="4.7109375" style="4" customWidth="1"/>
    <col min="8962" max="8962" width="43.5703125" style="4" customWidth="1"/>
    <col min="8963" max="8978" width="10.5703125" style="4" customWidth="1"/>
    <col min="8979" max="8981" width="10.85546875" style="4" bestFit="1" customWidth="1"/>
    <col min="8982" max="8982" width="13.5703125" style="4" customWidth="1"/>
    <col min="8983" max="8983" width="11.7109375" style="4" customWidth="1"/>
    <col min="8984" max="8984" width="7.85546875" style="4" customWidth="1"/>
    <col min="8985" max="8985" width="9.42578125" style="4" customWidth="1"/>
    <col min="8986" max="8986" width="6.7109375" style="4" customWidth="1"/>
    <col min="8987" max="8987" width="10.7109375" style="4" customWidth="1"/>
    <col min="8988" max="8988" width="5.7109375" style="4" customWidth="1"/>
    <col min="8989" max="9034" width="0" style="4" hidden="1" customWidth="1"/>
    <col min="9035" max="9216" width="11.42578125" style="4"/>
    <col min="9217" max="9217" width="4.7109375" style="4" customWidth="1"/>
    <col min="9218" max="9218" width="43.5703125" style="4" customWidth="1"/>
    <col min="9219" max="9234" width="10.5703125" style="4" customWidth="1"/>
    <col min="9235" max="9237" width="10.85546875" style="4" bestFit="1" customWidth="1"/>
    <col min="9238" max="9238" width="13.5703125" style="4" customWidth="1"/>
    <col min="9239" max="9239" width="11.7109375" style="4" customWidth="1"/>
    <col min="9240" max="9240" width="7.85546875" style="4" customWidth="1"/>
    <col min="9241" max="9241" width="9.42578125" style="4" customWidth="1"/>
    <col min="9242" max="9242" width="6.7109375" style="4" customWidth="1"/>
    <col min="9243" max="9243" width="10.7109375" style="4" customWidth="1"/>
    <col min="9244" max="9244" width="5.7109375" style="4" customWidth="1"/>
    <col min="9245" max="9290" width="0" style="4" hidden="1" customWidth="1"/>
    <col min="9291" max="9472" width="11.42578125" style="4"/>
    <col min="9473" max="9473" width="4.7109375" style="4" customWidth="1"/>
    <col min="9474" max="9474" width="43.5703125" style="4" customWidth="1"/>
    <col min="9475" max="9490" width="10.5703125" style="4" customWidth="1"/>
    <col min="9491" max="9493" width="10.85546875" style="4" bestFit="1" customWidth="1"/>
    <col min="9494" max="9494" width="13.5703125" style="4" customWidth="1"/>
    <col min="9495" max="9495" width="11.7109375" style="4" customWidth="1"/>
    <col min="9496" max="9496" width="7.85546875" style="4" customWidth="1"/>
    <col min="9497" max="9497" width="9.42578125" style="4" customWidth="1"/>
    <col min="9498" max="9498" width="6.7109375" style="4" customWidth="1"/>
    <col min="9499" max="9499" width="10.7109375" style="4" customWidth="1"/>
    <col min="9500" max="9500" width="5.7109375" style="4" customWidth="1"/>
    <col min="9501" max="9546" width="0" style="4" hidden="1" customWidth="1"/>
    <col min="9547" max="9728" width="11.42578125" style="4"/>
    <col min="9729" max="9729" width="4.7109375" style="4" customWidth="1"/>
    <col min="9730" max="9730" width="43.5703125" style="4" customWidth="1"/>
    <col min="9731" max="9746" width="10.5703125" style="4" customWidth="1"/>
    <col min="9747" max="9749" width="10.85546875" style="4" bestFit="1" customWidth="1"/>
    <col min="9750" max="9750" width="13.5703125" style="4" customWidth="1"/>
    <col min="9751" max="9751" width="11.7109375" style="4" customWidth="1"/>
    <col min="9752" max="9752" width="7.85546875" style="4" customWidth="1"/>
    <col min="9753" max="9753" width="9.42578125" style="4" customWidth="1"/>
    <col min="9754" max="9754" width="6.7109375" style="4" customWidth="1"/>
    <col min="9755" max="9755" width="10.7109375" style="4" customWidth="1"/>
    <col min="9756" max="9756" width="5.7109375" style="4" customWidth="1"/>
    <col min="9757" max="9802" width="0" style="4" hidden="1" customWidth="1"/>
    <col min="9803" max="9984" width="11.42578125" style="4"/>
    <col min="9985" max="9985" width="4.7109375" style="4" customWidth="1"/>
    <col min="9986" max="9986" width="43.5703125" style="4" customWidth="1"/>
    <col min="9987" max="10002" width="10.5703125" style="4" customWidth="1"/>
    <col min="10003" max="10005" width="10.85546875" style="4" bestFit="1" customWidth="1"/>
    <col min="10006" max="10006" width="13.5703125" style="4" customWidth="1"/>
    <col min="10007" max="10007" width="11.7109375" style="4" customWidth="1"/>
    <col min="10008" max="10008" width="7.85546875" style="4" customWidth="1"/>
    <col min="10009" max="10009" width="9.42578125" style="4" customWidth="1"/>
    <col min="10010" max="10010" width="6.7109375" style="4" customWidth="1"/>
    <col min="10011" max="10011" width="10.7109375" style="4" customWidth="1"/>
    <col min="10012" max="10012" width="5.7109375" style="4" customWidth="1"/>
    <col min="10013" max="10058" width="0" style="4" hidden="1" customWidth="1"/>
    <col min="10059" max="10240" width="11.42578125" style="4"/>
    <col min="10241" max="10241" width="4.7109375" style="4" customWidth="1"/>
    <col min="10242" max="10242" width="43.5703125" style="4" customWidth="1"/>
    <col min="10243" max="10258" width="10.5703125" style="4" customWidth="1"/>
    <col min="10259" max="10261" width="10.85546875" style="4" bestFit="1" customWidth="1"/>
    <col min="10262" max="10262" width="13.5703125" style="4" customWidth="1"/>
    <col min="10263" max="10263" width="11.7109375" style="4" customWidth="1"/>
    <col min="10264" max="10264" width="7.85546875" style="4" customWidth="1"/>
    <col min="10265" max="10265" width="9.42578125" style="4" customWidth="1"/>
    <col min="10266" max="10266" width="6.7109375" style="4" customWidth="1"/>
    <col min="10267" max="10267" width="10.7109375" style="4" customWidth="1"/>
    <col min="10268" max="10268" width="5.7109375" style="4" customWidth="1"/>
    <col min="10269" max="10314" width="0" style="4" hidden="1" customWidth="1"/>
    <col min="10315" max="10496" width="11.42578125" style="4"/>
    <col min="10497" max="10497" width="4.7109375" style="4" customWidth="1"/>
    <col min="10498" max="10498" width="43.5703125" style="4" customWidth="1"/>
    <col min="10499" max="10514" width="10.5703125" style="4" customWidth="1"/>
    <col min="10515" max="10517" width="10.85546875" style="4" bestFit="1" customWidth="1"/>
    <col min="10518" max="10518" width="13.5703125" style="4" customWidth="1"/>
    <col min="10519" max="10519" width="11.7109375" style="4" customWidth="1"/>
    <col min="10520" max="10520" width="7.85546875" style="4" customWidth="1"/>
    <col min="10521" max="10521" width="9.42578125" style="4" customWidth="1"/>
    <col min="10522" max="10522" width="6.7109375" style="4" customWidth="1"/>
    <col min="10523" max="10523" width="10.7109375" style="4" customWidth="1"/>
    <col min="10524" max="10524" width="5.7109375" style="4" customWidth="1"/>
    <col min="10525" max="10570" width="0" style="4" hidden="1" customWidth="1"/>
    <col min="10571" max="10752" width="11.42578125" style="4"/>
    <col min="10753" max="10753" width="4.7109375" style="4" customWidth="1"/>
    <col min="10754" max="10754" width="43.5703125" style="4" customWidth="1"/>
    <col min="10755" max="10770" width="10.5703125" style="4" customWidth="1"/>
    <col min="10771" max="10773" width="10.85546875" style="4" bestFit="1" customWidth="1"/>
    <col min="10774" max="10774" width="13.5703125" style="4" customWidth="1"/>
    <col min="10775" max="10775" width="11.7109375" style="4" customWidth="1"/>
    <col min="10776" max="10776" width="7.85546875" style="4" customWidth="1"/>
    <col min="10777" max="10777" width="9.42578125" style="4" customWidth="1"/>
    <col min="10778" max="10778" width="6.7109375" style="4" customWidth="1"/>
    <col min="10779" max="10779" width="10.7109375" style="4" customWidth="1"/>
    <col min="10780" max="10780" width="5.7109375" style="4" customWidth="1"/>
    <col min="10781" max="10826" width="0" style="4" hidden="1" customWidth="1"/>
    <col min="10827" max="11008" width="11.42578125" style="4"/>
    <col min="11009" max="11009" width="4.7109375" style="4" customWidth="1"/>
    <col min="11010" max="11010" width="43.5703125" style="4" customWidth="1"/>
    <col min="11011" max="11026" width="10.5703125" style="4" customWidth="1"/>
    <col min="11027" max="11029" width="10.85546875" style="4" bestFit="1" customWidth="1"/>
    <col min="11030" max="11030" width="13.5703125" style="4" customWidth="1"/>
    <col min="11031" max="11031" width="11.7109375" style="4" customWidth="1"/>
    <col min="11032" max="11032" width="7.85546875" style="4" customWidth="1"/>
    <col min="11033" max="11033" width="9.42578125" style="4" customWidth="1"/>
    <col min="11034" max="11034" width="6.7109375" style="4" customWidth="1"/>
    <col min="11035" max="11035" width="10.7109375" style="4" customWidth="1"/>
    <col min="11036" max="11036" width="5.7109375" style="4" customWidth="1"/>
    <col min="11037" max="11082" width="0" style="4" hidden="1" customWidth="1"/>
    <col min="11083" max="11264" width="11.42578125" style="4"/>
    <col min="11265" max="11265" width="4.7109375" style="4" customWidth="1"/>
    <col min="11266" max="11266" width="43.5703125" style="4" customWidth="1"/>
    <col min="11267" max="11282" width="10.5703125" style="4" customWidth="1"/>
    <col min="11283" max="11285" width="10.85546875" style="4" bestFit="1" customWidth="1"/>
    <col min="11286" max="11286" width="13.5703125" style="4" customWidth="1"/>
    <col min="11287" max="11287" width="11.7109375" style="4" customWidth="1"/>
    <col min="11288" max="11288" width="7.85546875" style="4" customWidth="1"/>
    <col min="11289" max="11289" width="9.42578125" style="4" customWidth="1"/>
    <col min="11290" max="11290" width="6.7109375" style="4" customWidth="1"/>
    <col min="11291" max="11291" width="10.7109375" style="4" customWidth="1"/>
    <col min="11292" max="11292" width="5.7109375" style="4" customWidth="1"/>
    <col min="11293" max="11338" width="0" style="4" hidden="1" customWidth="1"/>
    <col min="11339" max="11520" width="11.42578125" style="4"/>
    <col min="11521" max="11521" width="4.7109375" style="4" customWidth="1"/>
    <col min="11522" max="11522" width="43.5703125" style="4" customWidth="1"/>
    <col min="11523" max="11538" width="10.5703125" style="4" customWidth="1"/>
    <col min="11539" max="11541" width="10.85546875" style="4" bestFit="1" customWidth="1"/>
    <col min="11542" max="11542" width="13.5703125" style="4" customWidth="1"/>
    <col min="11543" max="11543" width="11.7109375" style="4" customWidth="1"/>
    <col min="11544" max="11544" width="7.85546875" style="4" customWidth="1"/>
    <col min="11545" max="11545" width="9.42578125" style="4" customWidth="1"/>
    <col min="11546" max="11546" width="6.7109375" style="4" customWidth="1"/>
    <col min="11547" max="11547" width="10.7109375" style="4" customWidth="1"/>
    <col min="11548" max="11548" width="5.7109375" style="4" customWidth="1"/>
    <col min="11549" max="11594" width="0" style="4" hidden="1" customWidth="1"/>
    <col min="11595" max="11776" width="11.42578125" style="4"/>
    <col min="11777" max="11777" width="4.7109375" style="4" customWidth="1"/>
    <col min="11778" max="11778" width="43.5703125" style="4" customWidth="1"/>
    <col min="11779" max="11794" width="10.5703125" style="4" customWidth="1"/>
    <col min="11795" max="11797" width="10.85546875" style="4" bestFit="1" customWidth="1"/>
    <col min="11798" max="11798" width="13.5703125" style="4" customWidth="1"/>
    <col min="11799" max="11799" width="11.7109375" style="4" customWidth="1"/>
    <col min="11800" max="11800" width="7.85546875" style="4" customWidth="1"/>
    <col min="11801" max="11801" width="9.42578125" style="4" customWidth="1"/>
    <col min="11802" max="11802" width="6.7109375" style="4" customWidth="1"/>
    <col min="11803" max="11803" width="10.7109375" style="4" customWidth="1"/>
    <col min="11804" max="11804" width="5.7109375" style="4" customWidth="1"/>
    <col min="11805" max="11850" width="0" style="4" hidden="1" customWidth="1"/>
    <col min="11851" max="12032" width="11.42578125" style="4"/>
    <col min="12033" max="12033" width="4.7109375" style="4" customWidth="1"/>
    <col min="12034" max="12034" width="43.5703125" style="4" customWidth="1"/>
    <col min="12035" max="12050" width="10.5703125" style="4" customWidth="1"/>
    <col min="12051" max="12053" width="10.85546875" style="4" bestFit="1" customWidth="1"/>
    <col min="12054" max="12054" width="13.5703125" style="4" customWidth="1"/>
    <col min="12055" max="12055" width="11.7109375" style="4" customWidth="1"/>
    <col min="12056" max="12056" width="7.85546875" style="4" customWidth="1"/>
    <col min="12057" max="12057" width="9.42578125" style="4" customWidth="1"/>
    <col min="12058" max="12058" width="6.7109375" style="4" customWidth="1"/>
    <col min="12059" max="12059" width="10.7109375" style="4" customWidth="1"/>
    <col min="12060" max="12060" width="5.7109375" style="4" customWidth="1"/>
    <col min="12061" max="12106" width="0" style="4" hidden="1" customWidth="1"/>
    <col min="12107" max="12288" width="11.42578125" style="4"/>
    <col min="12289" max="12289" width="4.7109375" style="4" customWidth="1"/>
    <col min="12290" max="12290" width="43.5703125" style="4" customWidth="1"/>
    <col min="12291" max="12306" width="10.5703125" style="4" customWidth="1"/>
    <col min="12307" max="12309" width="10.85546875" style="4" bestFit="1" customWidth="1"/>
    <col min="12310" max="12310" width="13.5703125" style="4" customWidth="1"/>
    <col min="12311" max="12311" width="11.7109375" style="4" customWidth="1"/>
    <col min="12312" max="12312" width="7.85546875" style="4" customWidth="1"/>
    <col min="12313" max="12313" width="9.42578125" style="4" customWidth="1"/>
    <col min="12314" max="12314" width="6.7109375" style="4" customWidth="1"/>
    <col min="12315" max="12315" width="10.7109375" style="4" customWidth="1"/>
    <col min="12316" max="12316" width="5.7109375" style="4" customWidth="1"/>
    <col min="12317" max="12362" width="0" style="4" hidden="1" customWidth="1"/>
    <col min="12363" max="12544" width="11.42578125" style="4"/>
    <col min="12545" max="12545" width="4.7109375" style="4" customWidth="1"/>
    <col min="12546" max="12546" width="43.5703125" style="4" customWidth="1"/>
    <col min="12547" max="12562" width="10.5703125" style="4" customWidth="1"/>
    <col min="12563" max="12565" width="10.85546875" style="4" bestFit="1" customWidth="1"/>
    <col min="12566" max="12566" width="13.5703125" style="4" customWidth="1"/>
    <col min="12567" max="12567" width="11.7109375" style="4" customWidth="1"/>
    <col min="12568" max="12568" width="7.85546875" style="4" customWidth="1"/>
    <col min="12569" max="12569" width="9.42578125" style="4" customWidth="1"/>
    <col min="12570" max="12570" width="6.7109375" style="4" customWidth="1"/>
    <col min="12571" max="12571" width="10.7109375" style="4" customWidth="1"/>
    <col min="12572" max="12572" width="5.7109375" style="4" customWidth="1"/>
    <col min="12573" max="12618" width="0" style="4" hidden="1" customWidth="1"/>
    <col min="12619" max="12800" width="11.42578125" style="4"/>
    <col min="12801" max="12801" width="4.7109375" style="4" customWidth="1"/>
    <col min="12802" max="12802" width="43.5703125" style="4" customWidth="1"/>
    <col min="12803" max="12818" width="10.5703125" style="4" customWidth="1"/>
    <col min="12819" max="12821" width="10.85546875" style="4" bestFit="1" customWidth="1"/>
    <col min="12822" max="12822" width="13.5703125" style="4" customWidth="1"/>
    <col min="12823" max="12823" width="11.7109375" style="4" customWidth="1"/>
    <col min="12824" max="12824" width="7.85546875" style="4" customWidth="1"/>
    <col min="12825" max="12825" width="9.42578125" style="4" customWidth="1"/>
    <col min="12826" max="12826" width="6.7109375" style="4" customWidth="1"/>
    <col min="12827" max="12827" width="10.7109375" style="4" customWidth="1"/>
    <col min="12828" max="12828" width="5.7109375" style="4" customWidth="1"/>
    <col min="12829" max="12874" width="0" style="4" hidden="1" customWidth="1"/>
    <col min="12875" max="13056" width="11.42578125" style="4"/>
    <col min="13057" max="13057" width="4.7109375" style="4" customWidth="1"/>
    <col min="13058" max="13058" width="43.5703125" style="4" customWidth="1"/>
    <col min="13059" max="13074" width="10.5703125" style="4" customWidth="1"/>
    <col min="13075" max="13077" width="10.85546875" style="4" bestFit="1" customWidth="1"/>
    <col min="13078" max="13078" width="13.5703125" style="4" customWidth="1"/>
    <col min="13079" max="13079" width="11.7109375" style="4" customWidth="1"/>
    <col min="13080" max="13080" width="7.85546875" style="4" customWidth="1"/>
    <col min="13081" max="13081" width="9.42578125" style="4" customWidth="1"/>
    <col min="13082" max="13082" width="6.7109375" style="4" customWidth="1"/>
    <col min="13083" max="13083" width="10.7109375" style="4" customWidth="1"/>
    <col min="13084" max="13084" width="5.7109375" style="4" customWidth="1"/>
    <col min="13085" max="13130" width="0" style="4" hidden="1" customWidth="1"/>
    <col min="13131" max="13312" width="11.42578125" style="4"/>
    <col min="13313" max="13313" width="4.7109375" style="4" customWidth="1"/>
    <col min="13314" max="13314" width="43.5703125" style="4" customWidth="1"/>
    <col min="13315" max="13330" width="10.5703125" style="4" customWidth="1"/>
    <col min="13331" max="13333" width="10.85546875" style="4" bestFit="1" customWidth="1"/>
    <col min="13334" max="13334" width="13.5703125" style="4" customWidth="1"/>
    <col min="13335" max="13335" width="11.7109375" style="4" customWidth="1"/>
    <col min="13336" max="13336" width="7.85546875" style="4" customWidth="1"/>
    <col min="13337" max="13337" width="9.42578125" style="4" customWidth="1"/>
    <col min="13338" max="13338" width="6.7109375" style="4" customWidth="1"/>
    <col min="13339" max="13339" width="10.7109375" style="4" customWidth="1"/>
    <col min="13340" max="13340" width="5.7109375" style="4" customWidth="1"/>
    <col min="13341" max="13386" width="0" style="4" hidden="1" customWidth="1"/>
    <col min="13387" max="13568" width="11.42578125" style="4"/>
    <col min="13569" max="13569" width="4.7109375" style="4" customWidth="1"/>
    <col min="13570" max="13570" width="43.5703125" style="4" customWidth="1"/>
    <col min="13571" max="13586" width="10.5703125" style="4" customWidth="1"/>
    <col min="13587" max="13589" width="10.85546875" style="4" bestFit="1" customWidth="1"/>
    <col min="13590" max="13590" width="13.5703125" style="4" customWidth="1"/>
    <col min="13591" max="13591" width="11.7109375" style="4" customWidth="1"/>
    <col min="13592" max="13592" width="7.85546875" style="4" customWidth="1"/>
    <col min="13593" max="13593" width="9.42578125" style="4" customWidth="1"/>
    <col min="13594" max="13594" width="6.7109375" style="4" customWidth="1"/>
    <col min="13595" max="13595" width="10.7109375" style="4" customWidth="1"/>
    <col min="13596" max="13596" width="5.7109375" style="4" customWidth="1"/>
    <col min="13597" max="13642" width="0" style="4" hidden="1" customWidth="1"/>
    <col min="13643" max="13824" width="11.42578125" style="4"/>
    <col min="13825" max="13825" width="4.7109375" style="4" customWidth="1"/>
    <col min="13826" max="13826" width="43.5703125" style="4" customWidth="1"/>
    <col min="13827" max="13842" width="10.5703125" style="4" customWidth="1"/>
    <col min="13843" max="13845" width="10.85546875" style="4" bestFit="1" customWidth="1"/>
    <col min="13846" max="13846" width="13.5703125" style="4" customWidth="1"/>
    <col min="13847" max="13847" width="11.7109375" style="4" customWidth="1"/>
    <col min="13848" max="13848" width="7.85546875" style="4" customWidth="1"/>
    <col min="13849" max="13849" width="9.42578125" style="4" customWidth="1"/>
    <col min="13850" max="13850" width="6.7109375" style="4" customWidth="1"/>
    <col min="13851" max="13851" width="10.7109375" style="4" customWidth="1"/>
    <col min="13852" max="13852" width="5.7109375" style="4" customWidth="1"/>
    <col min="13853" max="13898" width="0" style="4" hidden="1" customWidth="1"/>
    <col min="13899" max="14080" width="11.42578125" style="4"/>
    <col min="14081" max="14081" width="4.7109375" style="4" customWidth="1"/>
    <col min="14082" max="14082" width="43.5703125" style="4" customWidth="1"/>
    <col min="14083" max="14098" width="10.5703125" style="4" customWidth="1"/>
    <col min="14099" max="14101" width="10.85546875" style="4" bestFit="1" customWidth="1"/>
    <col min="14102" max="14102" width="13.5703125" style="4" customWidth="1"/>
    <col min="14103" max="14103" width="11.7109375" style="4" customWidth="1"/>
    <col min="14104" max="14104" width="7.85546875" style="4" customWidth="1"/>
    <col min="14105" max="14105" width="9.42578125" style="4" customWidth="1"/>
    <col min="14106" max="14106" width="6.7109375" style="4" customWidth="1"/>
    <col min="14107" max="14107" width="10.7109375" style="4" customWidth="1"/>
    <col min="14108" max="14108" width="5.7109375" style="4" customWidth="1"/>
    <col min="14109" max="14154" width="0" style="4" hidden="1" customWidth="1"/>
    <col min="14155" max="14336" width="11.42578125" style="4"/>
    <col min="14337" max="14337" width="4.7109375" style="4" customWidth="1"/>
    <col min="14338" max="14338" width="43.5703125" style="4" customWidth="1"/>
    <col min="14339" max="14354" width="10.5703125" style="4" customWidth="1"/>
    <col min="14355" max="14357" width="10.85546875" style="4" bestFit="1" customWidth="1"/>
    <col min="14358" max="14358" width="13.5703125" style="4" customWidth="1"/>
    <col min="14359" max="14359" width="11.7109375" style="4" customWidth="1"/>
    <col min="14360" max="14360" width="7.85546875" style="4" customWidth="1"/>
    <col min="14361" max="14361" width="9.42578125" style="4" customWidth="1"/>
    <col min="14362" max="14362" width="6.7109375" style="4" customWidth="1"/>
    <col min="14363" max="14363" width="10.7109375" style="4" customWidth="1"/>
    <col min="14364" max="14364" width="5.7109375" style="4" customWidth="1"/>
    <col min="14365" max="14410" width="0" style="4" hidden="1" customWidth="1"/>
    <col min="14411" max="14592" width="11.42578125" style="4"/>
    <col min="14593" max="14593" width="4.7109375" style="4" customWidth="1"/>
    <col min="14594" max="14594" width="43.5703125" style="4" customWidth="1"/>
    <col min="14595" max="14610" width="10.5703125" style="4" customWidth="1"/>
    <col min="14611" max="14613" width="10.85546875" style="4" bestFit="1" customWidth="1"/>
    <col min="14614" max="14614" width="13.5703125" style="4" customWidth="1"/>
    <col min="14615" max="14615" width="11.7109375" style="4" customWidth="1"/>
    <col min="14616" max="14616" width="7.85546875" style="4" customWidth="1"/>
    <col min="14617" max="14617" width="9.42578125" style="4" customWidth="1"/>
    <col min="14618" max="14618" width="6.7109375" style="4" customWidth="1"/>
    <col min="14619" max="14619" width="10.7109375" style="4" customWidth="1"/>
    <col min="14620" max="14620" width="5.7109375" style="4" customWidth="1"/>
    <col min="14621" max="14666" width="0" style="4" hidden="1" customWidth="1"/>
    <col min="14667" max="14848" width="11.42578125" style="4"/>
    <col min="14849" max="14849" width="4.7109375" style="4" customWidth="1"/>
    <col min="14850" max="14850" width="43.5703125" style="4" customWidth="1"/>
    <col min="14851" max="14866" width="10.5703125" style="4" customWidth="1"/>
    <col min="14867" max="14869" width="10.85546875" style="4" bestFit="1" customWidth="1"/>
    <col min="14870" max="14870" width="13.5703125" style="4" customWidth="1"/>
    <col min="14871" max="14871" width="11.7109375" style="4" customWidth="1"/>
    <col min="14872" max="14872" width="7.85546875" style="4" customWidth="1"/>
    <col min="14873" max="14873" width="9.42578125" style="4" customWidth="1"/>
    <col min="14874" max="14874" width="6.7109375" style="4" customWidth="1"/>
    <col min="14875" max="14875" width="10.7109375" style="4" customWidth="1"/>
    <col min="14876" max="14876" width="5.7109375" style="4" customWidth="1"/>
    <col min="14877" max="14922" width="0" style="4" hidden="1" customWidth="1"/>
    <col min="14923" max="15104" width="11.42578125" style="4"/>
    <col min="15105" max="15105" width="4.7109375" style="4" customWidth="1"/>
    <col min="15106" max="15106" width="43.5703125" style="4" customWidth="1"/>
    <col min="15107" max="15122" width="10.5703125" style="4" customWidth="1"/>
    <col min="15123" max="15125" width="10.85546875" style="4" bestFit="1" customWidth="1"/>
    <col min="15126" max="15126" width="13.5703125" style="4" customWidth="1"/>
    <col min="15127" max="15127" width="11.7109375" style="4" customWidth="1"/>
    <col min="15128" max="15128" width="7.85546875" style="4" customWidth="1"/>
    <col min="15129" max="15129" width="9.42578125" style="4" customWidth="1"/>
    <col min="15130" max="15130" width="6.7109375" style="4" customWidth="1"/>
    <col min="15131" max="15131" width="10.7109375" style="4" customWidth="1"/>
    <col min="15132" max="15132" width="5.7109375" style="4" customWidth="1"/>
    <col min="15133" max="15178" width="0" style="4" hidden="1" customWidth="1"/>
    <col min="15179" max="15360" width="11.42578125" style="4"/>
    <col min="15361" max="15361" width="4.7109375" style="4" customWidth="1"/>
    <col min="15362" max="15362" width="43.5703125" style="4" customWidth="1"/>
    <col min="15363" max="15378" width="10.5703125" style="4" customWidth="1"/>
    <col min="15379" max="15381" width="10.85546875" style="4" bestFit="1" customWidth="1"/>
    <col min="15382" max="15382" width="13.5703125" style="4" customWidth="1"/>
    <col min="15383" max="15383" width="11.7109375" style="4" customWidth="1"/>
    <col min="15384" max="15384" width="7.85546875" style="4" customWidth="1"/>
    <col min="15385" max="15385" width="9.42578125" style="4" customWidth="1"/>
    <col min="15386" max="15386" width="6.7109375" style="4" customWidth="1"/>
    <col min="15387" max="15387" width="10.7109375" style="4" customWidth="1"/>
    <col min="15388" max="15388" width="5.7109375" style="4" customWidth="1"/>
    <col min="15389" max="15434" width="0" style="4" hidden="1" customWidth="1"/>
    <col min="15435" max="15616" width="11.42578125" style="4"/>
    <col min="15617" max="15617" width="4.7109375" style="4" customWidth="1"/>
    <col min="15618" max="15618" width="43.5703125" style="4" customWidth="1"/>
    <col min="15619" max="15634" width="10.5703125" style="4" customWidth="1"/>
    <col min="15635" max="15637" width="10.85546875" style="4" bestFit="1" customWidth="1"/>
    <col min="15638" max="15638" width="13.5703125" style="4" customWidth="1"/>
    <col min="15639" max="15639" width="11.7109375" style="4" customWidth="1"/>
    <col min="15640" max="15640" width="7.85546875" style="4" customWidth="1"/>
    <col min="15641" max="15641" width="9.42578125" style="4" customWidth="1"/>
    <col min="15642" max="15642" width="6.7109375" style="4" customWidth="1"/>
    <col min="15643" max="15643" width="10.7109375" style="4" customWidth="1"/>
    <col min="15644" max="15644" width="5.7109375" style="4" customWidth="1"/>
    <col min="15645" max="15690" width="0" style="4" hidden="1" customWidth="1"/>
    <col min="15691" max="15872" width="11.42578125" style="4"/>
    <col min="15873" max="15873" width="4.7109375" style="4" customWidth="1"/>
    <col min="15874" max="15874" width="43.5703125" style="4" customWidth="1"/>
    <col min="15875" max="15890" width="10.5703125" style="4" customWidth="1"/>
    <col min="15891" max="15893" width="10.85546875" style="4" bestFit="1" customWidth="1"/>
    <col min="15894" max="15894" width="13.5703125" style="4" customWidth="1"/>
    <col min="15895" max="15895" width="11.7109375" style="4" customWidth="1"/>
    <col min="15896" max="15896" width="7.85546875" style="4" customWidth="1"/>
    <col min="15897" max="15897" width="9.42578125" style="4" customWidth="1"/>
    <col min="15898" max="15898" width="6.7109375" style="4" customWidth="1"/>
    <col min="15899" max="15899" width="10.7109375" style="4" customWidth="1"/>
    <col min="15900" max="15900" width="5.7109375" style="4" customWidth="1"/>
    <col min="15901" max="15946" width="0" style="4" hidden="1" customWidth="1"/>
    <col min="15947" max="16128" width="11.42578125" style="4"/>
    <col min="16129" max="16129" width="4.7109375" style="4" customWidth="1"/>
    <col min="16130" max="16130" width="43.5703125" style="4" customWidth="1"/>
    <col min="16131" max="16146" width="10.5703125" style="4" customWidth="1"/>
    <col min="16147" max="16149" width="10.85546875" style="4" bestFit="1" customWidth="1"/>
    <col min="16150" max="16150" width="13.5703125" style="4" customWidth="1"/>
    <col min="16151" max="16151" width="11.7109375" style="4" customWidth="1"/>
    <col min="16152" max="16152" width="7.85546875" style="4" customWidth="1"/>
    <col min="16153" max="16153" width="9.42578125" style="4" customWidth="1"/>
    <col min="16154" max="16154" width="6.7109375" style="4" customWidth="1"/>
    <col min="16155" max="16155" width="10.7109375" style="4" customWidth="1"/>
    <col min="16156" max="16156" width="5.7109375" style="4" customWidth="1"/>
    <col min="16157" max="16202" width="0" style="4" hidden="1" customWidth="1"/>
    <col min="16203" max="16384" width="11.42578125" style="4"/>
  </cols>
  <sheetData>
    <row r="1" spans="1:74" ht="23.25" x14ac:dyDescent="0.35">
      <c r="A1" s="31" t="s">
        <v>82</v>
      </c>
    </row>
    <row r="2" spans="1:74" x14ac:dyDescent="0.2">
      <c r="C2" s="33"/>
    </row>
    <row r="3" spans="1:74" ht="18" x14ac:dyDescent="0.25">
      <c r="A3" s="34" t="s">
        <v>83</v>
      </c>
      <c r="AE3" s="35"/>
      <c r="AF3" s="35"/>
      <c r="AG3" s="35"/>
      <c r="AH3" s="35"/>
      <c r="AI3" s="35"/>
    </row>
    <row r="4" spans="1:74" ht="13.5" thickBot="1" x14ac:dyDescent="0.25">
      <c r="C4" s="36"/>
      <c r="G4" s="35"/>
      <c r="H4" s="37"/>
      <c r="J4" s="38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40"/>
      <c r="Y4" s="40"/>
      <c r="Z4" s="40"/>
      <c r="AE4" s="41"/>
      <c r="AF4" s="4" t="s">
        <v>84</v>
      </c>
    </row>
    <row r="5" spans="1:74" x14ac:dyDescent="0.2">
      <c r="B5" s="1432"/>
      <c r="C5" s="1433"/>
      <c r="D5" s="1433"/>
      <c r="E5" s="1433"/>
      <c r="F5" s="1433"/>
      <c r="G5" s="1433"/>
      <c r="H5" s="1433"/>
      <c r="I5" s="1433"/>
      <c r="J5" s="1433"/>
      <c r="K5" s="1433"/>
      <c r="L5" s="1433"/>
      <c r="M5" s="1433"/>
      <c r="N5" s="1433"/>
      <c r="O5" s="1433"/>
      <c r="P5" s="1433"/>
      <c r="Q5" s="1433"/>
      <c r="R5" s="1433"/>
      <c r="S5" s="1433"/>
      <c r="T5" s="1433"/>
      <c r="U5" s="1433"/>
      <c r="V5" s="1433"/>
      <c r="W5" s="1433"/>
      <c r="X5" s="1434" t="s">
        <v>85</v>
      </c>
      <c r="Y5" s="1435" t="s">
        <v>86</v>
      </c>
      <c r="Z5" s="1436" t="s">
        <v>85</v>
      </c>
      <c r="AA5" s="1437" t="s">
        <v>86</v>
      </c>
    </row>
    <row r="6" spans="1:74" ht="13.5" thickBot="1" x14ac:dyDescent="0.25">
      <c r="B6" s="1438" t="s">
        <v>3</v>
      </c>
      <c r="C6" s="1439">
        <v>1995</v>
      </c>
      <c r="D6" s="1439">
        <v>1996</v>
      </c>
      <c r="E6" s="1439">
        <v>1997</v>
      </c>
      <c r="F6" s="1439">
        <v>1998</v>
      </c>
      <c r="G6" s="1439">
        <v>1999</v>
      </c>
      <c r="H6" s="1439">
        <v>2000</v>
      </c>
      <c r="I6" s="1440" t="s">
        <v>87</v>
      </c>
      <c r="J6" s="1439">
        <v>2002</v>
      </c>
      <c r="K6" s="1439">
        <v>2003</v>
      </c>
      <c r="L6" s="1439">
        <v>2004</v>
      </c>
      <c r="M6" s="1439">
        <v>2005</v>
      </c>
      <c r="N6" s="1440">
        <v>2006</v>
      </c>
      <c r="O6" s="1440">
        <v>2007</v>
      </c>
      <c r="P6" s="1440">
        <v>2008</v>
      </c>
      <c r="Q6" s="1440">
        <v>2009</v>
      </c>
      <c r="R6" s="1440">
        <v>2010</v>
      </c>
      <c r="S6" s="1440">
        <v>2011</v>
      </c>
      <c r="T6" s="1440">
        <v>2012</v>
      </c>
      <c r="U6" s="1440">
        <v>2013</v>
      </c>
      <c r="V6" s="1440">
        <v>2014</v>
      </c>
      <c r="W6" s="1440" t="s">
        <v>88</v>
      </c>
      <c r="X6" s="1441" t="s">
        <v>89</v>
      </c>
      <c r="Y6" s="1441" t="s">
        <v>90</v>
      </c>
      <c r="Z6" s="1442" t="s">
        <v>91</v>
      </c>
      <c r="AA6" s="1442" t="s">
        <v>91</v>
      </c>
      <c r="AD6" s="42">
        <v>1995</v>
      </c>
      <c r="AE6" s="42"/>
      <c r="AF6" s="42">
        <v>1996</v>
      </c>
      <c r="AG6" s="42"/>
      <c r="AH6" s="42">
        <v>1997</v>
      </c>
      <c r="AI6" s="42"/>
      <c r="AJ6" s="42">
        <v>1998</v>
      </c>
      <c r="AK6" s="42"/>
      <c r="AL6" s="42">
        <v>1999</v>
      </c>
      <c r="AM6" s="42"/>
      <c r="AN6" s="42">
        <v>2000</v>
      </c>
      <c r="AO6" s="42"/>
      <c r="AP6" s="42">
        <v>2001</v>
      </c>
      <c r="AQ6" s="42"/>
      <c r="AR6" s="42">
        <v>2002</v>
      </c>
      <c r="AS6" s="42"/>
      <c r="AT6" s="42">
        <v>2003</v>
      </c>
      <c r="AU6" s="42"/>
      <c r="AV6" s="42">
        <v>2004</v>
      </c>
      <c r="AW6" s="42"/>
      <c r="AX6" s="42">
        <v>2005</v>
      </c>
      <c r="AY6" s="42"/>
      <c r="AZ6" s="42">
        <v>2006</v>
      </c>
      <c r="BA6" s="42"/>
      <c r="BB6" s="42">
        <v>2007</v>
      </c>
      <c r="BC6" s="42"/>
      <c r="BD6" s="42"/>
      <c r="BE6" s="42">
        <v>2008</v>
      </c>
      <c r="BF6" s="42"/>
      <c r="BG6" s="42"/>
      <c r="BH6" s="42" t="s">
        <v>92</v>
      </c>
      <c r="BI6" s="42"/>
      <c r="BJ6" s="42"/>
      <c r="BK6" s="42">
        <v>2010</v>
      </c>
      <c r="BL6" s="42"/>
      <c r="BM6" s="42"/>
      <c r="BN6" s="42">
        <v>2011</v>
      </c>
      <c r="BO6" s="42"/>
      <c r="BP6" s="42"/>
      <c r="BQ6" s="42">
        <v>2012</v>
      </c>
      <c r="BR6" s="42"/>
      <c r="BS6" s="42"/>
      <c r="BT6" s="42">
        <v>2013</v>
      </c>
      <c r="BU6" s="42"/>
      <c r="BV6" s="42"/>
    </row>
    <row r="7" spans="1:74" s="1443" customFormat="1" x14ac:dyDescent="0.2">
      <c r="B7" s="1444" t="s">
        <v>93</v>
      </c>
      <c r="C7" s="1445">
        <v>4461.7</v>
      </c>
      <c r="D7" s="1445">
        <v>4662.6049999999996</v>
      </c>
      <c r="E7" s="1445">
        <v>5192.4979999999996</v>
      </c>
      <c r="F7" s="1445">
        <v>5515.29</v>
      </c>
      <c r="G7" s="1445">
        <v>5742.4279999999999</v>
      </c>
      <c r="H7" s="1445">
        <v>6066.1890000000003</v>
      </c>
      <c r="I7" s="1445">
        <v>5906.6930000000002</v>
      </c>
      <c r="J7" s="1445">
        <v>5935.5330000000004</v>
      </c>
      <c r="K7" s="1445">
        <v>5970.0630000000001</v>
      </c>
      <c r="L7" s="1445">
        <v>6016.3186000000023</v>
      </c>
      <c r="M7" s="1445">
        <v>6200.5255999999999</v>
      </c>
      <c r="N7" s="1445">
        <v>6658.1435999999994</v>
      </c>
      <c r="O7" s="1445">
        <v>7027.5171999999993</v>
      </c>
      <c r="P7" s="1445">
        <v>7157.9350000000031</v>
      </c>
      <c r="Q7" s="1445">
        <v>7986.4959999999974</v>
      </c>
      <c r="R7" s="1445">
        <v>8612.5569999999971</v>
      </c>
      <c r="S7" s="1445">
        <v>8682.7960000000003</v>
      </c>
      <c r="T7" s="1445">
        <v>9699.0969999999979</v>
      </c>
      <c r="U7" s="1445">
        <v>11050.718999999997</v>
      </c>
      <c r="V7" s="1445">
        <v>11202.619000000002</v>
      </c>
      <c r="W7" s="1445">
        <v>12251.621000000003</v>
      </c>
      <c r="X7" s="1446">
        <f>((W7/V7)-1)*100</f>
        <v>9.3638996381114161</v>
      </c>
      <c r="Y7" s="1447">
        <f>((W7/R7)^(1/5))-1</f>
        <v>7.3031049189021369E-2</v>
      </c>
      <c r="Z7" s="1448">
        <f>((W7/M7)-1)*100</f>
        <v>97.590039786304601</v>
      </c>
      <c r="AA7" s="1449">
        <f>((W7/M7)^(1/10))-1</f>
        <v>7.0474940063833591E-2</v>
      </c>
      <c r="AD7" s="1450">
        <v>4461.7</v>
      </c>
      <c r="AE7" s="1450"/>
      <c r="AF7" s="1450">
        <v>4662.5579999999991</v>
      </c>
      <c r="AG7" s="1450"/>
      <c r="AH7" s="1450">
        <v>5192.2459999999992</v>
      </c>
      <c r="AI7" s="1450"/>
      <c r="AJ7" s="1450">
        <v>5515.6779999999999</v>
      </c>
      <c r="AK7" s="1450"/>
      <c r="AL7" s="1450">
        <v>5742.0140000000001</v>
      </c>
      <c r="AM7" s="1450"/>
      <c r="AN7" s="1450">
        <v>6066.1890000000003</v>
      </c>
      <c r="AO7" s="1450"/>
      <c r="AP7" s="1450">
        <v>5906.7</v>
      </c>
      <c r="AQ7" s="1450"/>
      <c r="AR7" s="1450">
        <v>5935.5330000000004</v>
      </c>
      <c r="AS7" s="1450"/>
      <c r="AT7" s="1450">
        <v>5970.0630000000001</v>
      </c>
      <c r="AU7" s="1450"/>
      <c r="AV7" s="1450">
        <v>6016.3186000000023</v>
      </c>
      <c r="AW7" s="1450"/>
      <c r="AX7" s="1450">
        <v>6200.5255999999999</v>
      </c>
      <c r="AY7" s="1450"/>
      <c r="AZ7" s="1450">
        <v>6436.8445459999994</v>
      </c>
      <c r="BA7" s="1450"/>
      <c r="BB7" s="1450">
        <v>7027.5171999999993</v>
      </c>
      <c r="BC7" s="1450"/>
      <c r="BD7" s="1450"/>
      <c r="BE7" s="1450">
        <v>7157.9350000000031</v>
      </c>
      <c r="BF7" s="1450"/>
      <c r="BG7" s="1450"/>
      <c r="BH7" s="1450">
        <v>7986.4959999999974</v>
      </c>
      <c r="BI7" s="1450"/>
      <c r="BJ7" s="1450"/>
      <c r="BK7" s="1450">
        <v>8612.5569999999971</v>
      </c>
      <c r="BL7" s="1450"/>
      <c r="BM7" s="1450"/>
      <c r="BN7" s="1450">
        <v>8691.3240000000005</v>
      </c>
      <c r="BO7" s="1450"/>
      <c r="BP7" s="1450"/>
      <c r="BQ7" s="1450">
        <v>9699.0969999999998</v>
      </c>
      <c r="BR7" s="1450"/>
      <c r="BS7" s="1450"/>
      <c r="BT7" s="1450">
        <v>11050.719000000001</v>
      </c>
      <c r="BU7" s="1450"/>
      <c r="BV7" s="1450"/>
    </row>
    <row r="8" spans="1:74" x14ac:dyDescent="0.2">
      <c r="B8" s="44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6"/>
      <c r="Y8" s="47"/>
      <c r="Z8" s="47"/>
      <c r="AA8" s="48"/>
      <c r="AW8" s="49"/>
      <c r="BE8" s="33"/>
      <c r="BH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</row>
    <row r="9" spans="1:74" x14ac:dyDescent="0.2">
      <c r="B9" s="50" t="s">
        <v>94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2"/>
      <c r="X9" s="46"/>
      <c r="Y9" s="47"/>
      <c r="Z9" s="47"/>
      <c r="AA9" s="48"/>
      <c r="AE9" s="53"/>
      <c r="AX9" s="54"/>
      <c r="AZ9" s="54"/>
      <c r="BE9" s="33"/>
      <c r="BH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</row>
    <row r="10" spans="1:74" ht="15" x14ac:dyDescent="0.25">
      <c r="B10" s="44" t="s">
        <v>95</v>
      </c>
      <c r="C10" s="55">
        <v>55.857646923033911</v>
      </c>
      <c r="D10" s="55">
        <v>53.462584272410126</v>
      </c>
      <c r="E10" s="55">
        <v>48.398978014523969</v>
      </c>
      <c r="F10" s="55">
        <v>46.631819333906002</v>
      </c>
      <c r="G10" s="55">
        <v>46.55648697477924</v>
      </c>
      <c r="H10" s="55">
        <v>47.094230001735852</v>
      </c>
      <c r="I10" s="55">
        <v>50.219242555064589</v>
      </c>
      <c r="J10" s="55">
        <v>50.483604421035167</v>
      </c>
      <c r="K10" s="55">
        <v>50.791876065629459</v>
      </c>
      <c r="L10" s="55">
        <v>50.792981608387578</v>
      </c>
      <c r="M10" s="55">
        <v>51.722415273956777</v>
      </c>
      <c r="N10" s="55">
        <v>48</v>
      </c>
      <c r="O10" s="55">
        <v>46.013380088205274</v>
      </c>
      <c r="P10" s="55">
        <v>45.292755522367841</v>
      </c>
      <c r="Q10" s="55">
        <v>41.037571420557917</v>
      </c>
      <c r="R10" s="55">
        <v>39.913837435270395</v>
      </c>
      <c r="S10" s="55">
        <v>39.705722626380052</v>
      </c>
      <c r="T10" s="55">
        <v>35.920601680754395</v>
      </c>
      <c r="U10" s="55">
        <v>32.180548614076599</v>
      </c>
      <c r="V10" s="55">
        <v>32.687579574026401</v>
      </c>
      <c r="W10" s="55">
        <v>34.003949354946585</v>
      </c>
      <c r="X10" s="56"/>
      <c r="Y10" s="47"/>
      <c r="Z10" s="47"/>
      <c r="AA10" s="48"/>
      <c r="AD10" s="39">
        <v>2479.4</v>
      </c>
      <c r="AE10" s="57">
        <f>+AD10/AD7</f>
        <v>0.55570746576417063</v>
      </c>
      <c r="AF10" s="4">
        <v>2492.7239999999997</v>
      </c>
      <c r="AG10" s="57">
        <f>+AF10/AF7</f>
        <v>0.5346258427241013</v>
      </c>
      <c r="AH10" s="54">
        <v>2512.9939999999997</v>
      </c>
      <c r="AI10" s="57">
        <f>+AH10/AH7</f>
        <v>0.48398978014523969</v>
      </c>
      <c r="AJ10" s="54">
        <v>2572.0610000000001</v>
      </c>
      <c r="AK10" s="57">
        <f>+AJ10/AJ7</f>
        <v>0.46631819333906005</v>
      </c>
      <c r="AL10" s="54">
        <v>2673.28</v>
      </c>
      <c r="AM10" s="57">
        <f>+AL10/AL7</f>
        <v>0.46556486974779238</v>
      </c>
      <c r="AN10" s="54">
        <v>2856.8250000000003</v>
      </c>
      <c r="AO10" s="57">
        <f>+AN10/AN7</f>
        <v>0.47094230001735854</v>
      </c>
      <c r="AP10" s="54">
        <v>2966.328</v>
      </c>
      <c r="AQ10" s="57">
        <f>+AP10/AP7</f>
        <v>0.50219716593021491</v>
      </c>
      <c r="AR10" s="54">
        <v>2996.4710000000014</v>
      </c>
      <c r="AS10" s="57">
        <f>+AR10/AR7</f>
        <v>0.50483604421035166</v>
      </c>
      <c r="AT10" s="54">
        <v>3032.3070000000002</v>
      </c>
      <c r="AU10" s="57">
        <f>+AT10/AT7</f>
        <v>0.5079187606562946</v>
      </c>
      <c r="AV10" s="54">
        <v>3055.8676000000023</v>
      </c>
      <c r="AW10" s="57">
        <f>+AV10/AV7</f>
        <v>0.50792981608387577</v>
      </c>
      <c r="AX10" s="54">
        <v>3207.0616000000005</v>
      </c>
      <c r="AY10" s="57">
        <f>+AX10/AX7</f>
        <v>0.51722415273956779</v>
      </c>
      <c r="AZ10" s="54">
        <v>3240.9145560000002</v>
      </c>
      <c r="BA10" s="57">
        <f>+AZ10/AZ7</f>
        <v>0.50349430265703365</v>
      </c>
      <c r="BB10" s="58">
        <v>3233.5982000000004</v>
      </c>
      <c r="BC10" s="57">
        <f>+BB10/BB7</f>
        <v>0.46013380088205275</v>
      </c>
      <c r="BD10" s="59">
        <f>+BC10*100</f>
        <v>46.013380088205274</v>
      </c>
      <c r="BE10" s="33">
        <v>3242.0260000000017</v>
      </c>
      <c r="BF10" s="57">
        <f>+BE10/BE7</f>
        <v>0.45292755522367839</v>
      </c>
      <c r="BG10" s="33">
        <f>+BF10*100</f>
        <v>45.292755522367841</v>
      </c>
      <c r="BH10" s="33">
        <v>3277.4639999999999</v>
      </c>
      <c r="BI10" s="57">
        <f>+BH10/BH7</f>
        <v>0.41037571420557917</v>
      </c>
      <c r="BJ10" s="33">
        <f>+BI10*100</f>
        <v>41.037571420557917</v>
      </c>
      <c r="BK10" s="33">
        <v>3437.6019999999994</v>
      </c>
      <c r="BL10" s="57">
        <f>+BK10/BK7</f>
        <v>0.39913837435270394</v>
      </c>
      <c r="BM10" s="33">
        <f>+BL10*100</f>
        <v>39.913837435270395</v>
      </c>
      <c r="BN10" s="33">
        <v>3450.953</v>
      </c>
      <c r="BO10" s="57">
        <f>+BN10/BN7</f>
        <v>0.39705722626380052</v>
      </c>
      <c r="BP10" s="33">
        <f>+BO10*100</f>
        <v>39.705722626380052</v>
      </c>
      <c r="BQ10" s="33">
        <v>3483.9739999999988</v>
      </c>
      <c r="BR10" s="57">
        <f>+BQ10/BQ7</f>
        <v>0.35920601680754394</v>
      </c>
      <c r="BS10" s="33">
        <f>+BR10*100</f>
        <v>35.920601680754395</v>
      </c>
      <c r="BT10" s="33">
        <v>3556.1819999999998</v>
      </c>
      <c r="BU10" s="57">
        <f>+BT10/BT7</f>
        <v>0.32180548614076598</v>
      </c>
      <c r="BV10" s="33">
        <f>+BU10*100</f>
        <v>32.180548614076599</v>
      </c>
    </row>
    <row r="11" spans="1:74" ht="15" x14ac:dyDescent="0.25">
      <c r="B11" s="44" t="s">
        <v>96</v>
      </c>
      <c r="C11" s="55">
        <v>44.142353076966081</v>
      </c>
      <c r="D11" s="55">
        <v>46.532053863994832</v>
      </c>
      <c r="E11" s="55">
        <v>51.596207113453417</v>
      </c>
      <c r="F11" s="55">
        <v>53.363648131743737</v>
      </c>
      <c r="G11" s="55">
        <v>53.43132218068434</v>
      </c>
      <c r="H11" s="55">
        <v>52.894230628158802</v>
      </c>
      <c r="I11" s="55">
        <v>49.768906496013003</v>
      </c>
      <c r="J11" s="55">
        <v>49.504602198319837</v>
      </c>
      <c r="K11" s="55">
        <v>49.196398764971157</v>
      </c>
      <c r="L11" s="55">
        <v>49.195383369491083</v>
      </c>
      <c r="M11" s="55">
        <v>48.266295360509424</v>
      </c>
      <c r="N11" s="55">
        <v>52</v>
      </c>
      <c r="O11" s="55">
        <v>53.976659068155676</v>
      </c>
      <c r="P11" s="55">
        <v>54.697465120876345</v>
      </c>
      <c r="Q11" s="55">
        <v>58.953663784468205</v>
      </c>
      <c r="R11" s="55">
        <v>60.078034897185574</v>
      </c>
      <c r="S11" s="55">
        <v>60.286223364817602</v>
      </c>
      <c r="T11" s="55">
        <v>63.247362099791339</v>
      </c>
      <c r="U11" s="55">
        <v>67.08918216090737</v>
      </c>
      <c r="V11" s="55">
        <v>65.181668679440094</v>
      </c>
      <c r="W11" s="55">
        <v>63.256005062513779</v>
      </c>
      <c r="X11" s="56"/>
      <c r="Y11" s="47"/>
      <c r="Z11" s="47"/>
      <c r="AA11" s="48"/>
      <c r="AD11" s="4">
        <v>1982.3</v>
      </c>
      <c r="AE11" s="57">
        <f>+AD11/AD7</f>
        <v>0.44429253423582937</v>
      </c>
      <c r="AF11" s="4">
        <v>2169.5839999999998</v>
      </c>
      <c r="AG11" s="57">
        <f>+AF11/AF7</f>
        <v>0.46532053863994832</v>
      </c>
      <c r="AH11" s="54">
        <v>2679.002</v>
      </c>
      <c r="AI11" s="57">
        <f>+AH11/AH7</f>
        <v>0.51596207113453418</v>
      </c>
      <c r="AJ11" s="54">
        <v>2943.3670000000002</v>
      </c>
      <c r="AK11" s="57">
        <f>+AJ11/AJ7</f>
        <v>0.53363648131743735</v>
      </c>
      <c r="AL11" s="54">
        <v>3068.0340000000001</v>
      </c>
      <c r="AM11" s="57">
        <f>+AL11/AL7</f>
        <v>0.53431322180684337</v>
      </c>
      <c r="AN11" s="54">
        <v>3208.6640000000002</v>
      </c>
      <c r="AO11" s="57">
        <f>+AN11/AN7</f>
        <v>0.528942306281588</v>
      </c>
      <c r="AP11" s="54">
        <v>2939.665</v>
      </c>
      <c r="AQ11" s="57">
        <f>+AP11/AP7</f>
        <v>0.49768313948566884</v>
      </c>
      <c r="AR11" s="54">
        <v>2938.3619999999996</v>
      </c>
      <c r="AS11" s="57">
        <f>+AR11/AR7</f>
        <v>0.49504602198319836</v>
      </c>
      <c r="AT11" s="54">
        <v>2937.056</v>
      </c>
      <c r="AU11" s="57">
        <f>+AT11/AT7</f>
        <v>0.49196398764971155</v>
      </c>
      <c r="AV11" s="54">
        <v>2959.7510000000002</v>
      </c>
      <c r="AW11" s="57">
        <f>+AV11/AV7</f>
        <v>0.49195383369491086</v>
      </c>
      <c r="AX11" s="54">
        <v>2992.7639999999992</v>
      </c>
      <c r="AY11" s="57">
        <f>+AX11/AX7</f>
        <v>0.48266295360509426</v>
      </c>
      <c r="AZ11" s="54">
        <v>3195.2299899999994</v>
      </c>
      <c r="BA11" s="57">
        <f>+AZ11/AZ7</f>
        <v>0.4963969484062789</v>
      </c>
      <c r="BB11" s="58">
        <v>3793.2189999999991</v>
      </c>
      <c r="BC11" s="57">
        <f>+BB11/BB7</f>
        <v>0.53976659068155675</v>
      </c>
      <c r="BD11" s="59">
        <f>+BC11*100</f>
        <v>53.976659068155676</v>
      </c>
      <c r="BE11" s="33">
        <v>3915.2090000000017</v>
      </c>
      <c r="BF11" s="57">
        <f>+BE11/BE7</f>
        <v>0.54697465120876343</v>
      </c>
      <c r="BG11" s="33">
        <f>+BF11*100</f>
        <v>54.697465120876345</v>
      </c>
      <c r="BH11" s="33">
        <v>4708.3320000000003</v>
      </c>
      <c r="BI11" s="57">
        <f>+BH11/BH7</f>
        <v>0.58953663784468202</v>
      </c>
      <c r="BJ11" s="33">
        <f>+BI11*100</f>
        <v>58.953663784468205</v>
      </c>
      <c r="BK11" s="33">
        <v>5174.2549999999974</v>
      </c>
      <c r="BL11" s="57">
        <f>+BK11/BK7</f>
        <v>0.60078034897185573</v>
      </c>
      <c r="BM11" s="33">
        <f>+BL11*100</f>
        <v>60.078034897185574</v>
      </c>
      <c r="BN11" s="33">
        <v>5239.6710000000003</v>
      </c>
      <c r="BO11" s="57">
        <f>+BN11/BN7</f>
        <v>0.60286223364817604</v>
      </c>
      <c r="BP11" s="33">
        <f>+BO11*100</f>
        <v>60.286223364817602</v>
      </c>
      <c r="BQ11" s="33">
        <v>6134.4229999999989</v>
      </c>
      <c r="BR11" s="57">
        <f>+BQ11/BQ7</f>
        <v>0.63247362099791338</v>
      </c>
      <c r="BS11" s="33">
        <f>+BR11*100</f>
        <v>63.247362099791339</v>
      </c>
      <c r="BT11" s="33">
        <v>7413.8369999999995</v>
      </c>
      <c r="BU11" s="57">
        <f>+BT11/BT7</f>
        <v>0.67089182160907346</v>
      </c>
      <c r="BV11" s="33">
        <f>+BU11*100</f>
        <v>67.089182160907342</v>
      </c>
    </row>
    <row r="12" spans="1:74" ht="15" x14ac:dyDescent="0.25">
      <c r="B12" s="44" t="s">
        <v>97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>
        <v>0.82481905274274492</v>
      </c>
      <c r="U12" s="55">
        <v>0.72393479555493168</v>
      </c>
      <c r="V12" s="55">
        <v>0.85694247032769699</v>
      </c>
      <c r="W12" s="55">
        <v>0.78356978231696828</v>
      </c>
      <c r="X12" s="56"/>
      <c r="Y12" s="47"/>
      <c r="Z12" s="47"/>
      <c r="AA12" s="48"/>
      <c r="AE12" s="57"/>
      <c r="AG12" s="57"/>
      <c r="AH12" s="54"/>
      <c r="AI12" s="57"/>
      <c r="AJ12" s="54"/>
      <c r="AK12" s="57"/>
      <c r="AL12" s="54"/>
      <c r="AM12" s="57"/>
      <c r="AN12" s="54"/>
      <c r="AO12" s="57"/>
      <c r="AP12" s="54"/>
      <c r="AQ12" s="57"/>
      <c r="AR12" s="54"/>
      <c r="AS12" s="57"/>
      <c r="AT12" s="54"/>
      <c r="AU12" s="57"/>
      <c r="AV12" s="54"/>
      <c r="AW12" s="57"/>
      <c r="AX12" s="54"/>
      <c r="AY12" s="57"/>
      <c r="AZ12" s="54"/>
      <c r="BA12" s="57"/>
      <c r="BB12" s="58"/>
      <c r="BC12" s="57"/>
      <c r="BD12" s="59"/>
      <c r="BE12" s="33"/>
      <c r="BF12" s="57"/>
      <c r="BH12" s="33"/>
      <c r="BI12" s="57"/>
      <c r="BK12" s="33"/>
      <c r="BL12" s="57"/>
      <c r="BM12" s="33"/>
      <c r="BN12" s="33"/>
      <c r="BO12" s="57"/>
      <c r="BP12" s="33"/>
      <c r="BQ12" s="33">
        <v>80</v>
      </c>
      <c r="BR12" s="57">
        <f>+BQ12/BQ7</f>
        <v>8.2481905274274497E-3</v>
      </c>
      <c r="BS12" s="33">
        <f>+BR12*100</f>
        <v>0.82481905274274492</v>
      </c>
      <c r="BT12" s="33">
        <v>80</v>
      </c>
      <c r="BU12" s="57">
        <f>+BT12/BT7</f>
        <v>7.2393479555493169E-3</v>
      </c>
      <c r="BV12" s="33">
        <f>+BU12*100</f>
        <v>0.72393479555493168</v>
      </c>
    </row>
    <row r="13" spans="1:74" ht="15" x14ac:dyDescent="0.25">
      <c r="B13" s="44" t="s">
        <v>98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>
        <v>1.2738092762058599</v>
      </c>
      <c r="W13" s="55">
        <v>1.9564758002226803</v>
      </c>
      <c r="X13" s="56"/>
      <c r="Y13" s="47"/>
      <c r="Z13" s="47"/>
      <c r="AA13" s="48"/>
      <c r="AE13" s="57"/>
      <c r="AG13" s="57"/>
      <c r="AH13" s="54"/>
      <c r="AI13" s="57"/>
      <c r="AJ13" s="54"/>
      <c r="AK13" s="57"/>
      <c r="AL13" s="54"/>
      <c r="AM13" s="57"/>
      <c r="AN13" s="54"/>
      <c r="AO13" s="57"/>
      <c r="AP13" s="54"/>
      <c r="AQ13" s="57"/>
      <c r="AR13" s="54"/>
      <c r="AS13" s="57"/>
      <c r="AT13" s="54"/>
      <c r="AU13" s="57"/>
      <c r="AV13" s="54"/>
      <c r="AW13" s="57"/>
      <c r="AX13" s="54"/>
      <c r="AY13" s="57"/>
      <c r="AZ13" s="54"/>
      <c r="BA13" s="57"/>
      <c r="BB13" s="58"/>
      <c r="BC13" s="57"/>
      <c r="BD13" s="59"/>
      <c r="BE13" s="33"/>
      <c r="BF13" s="57"/>
      <c r="BH13" s="33"/>
      <c r="BI13" s="57"/>
      <c r="BK13" s="33"/>
      <c r="BL13" s="57"/>
      <c r="BM13" s="33"/>
      <c r="BN13" s="33"/>
      <c r="BO13" s="57"/>
      <c r="BP13" s="33"/>
      <c r="BQ13" s="33"/>
      <c r="BR13" s="57"/>
      <c r="BS13" s="33"/>
      <c r="BT13" s="33"/>
      <c r="BU13" s="57"/>
      <c r="BV13" s="33"/>
    </row>
    <row r="14" spans="1:74" ht="15" x14ac:dyDescent="0.25">
      <c r="B14" s="50" t="s">
        <v>99</v>
      </c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1"/>
      <c r="X14" s="56"/>
      <c r="Y14" s="47"/>
      <c r="Z14" s="47"/>
      <c r="AA14" s="48"/>
      <c r="AE14" s="57" t="s">
        <v>100</v>
      </c>
      <c r="AH14" s="54"/>
      <c r="AJ14" s="54"/>
      <c r="AL14" s="54"/>
      <c r="AN14" s="54"/>
      <c r="AP14" s="54"/>
      <c r="AR14" s="54"/>
      <c r="AT14" s="54"/>
      <c r="AV14" s="54"/>
      <c r="BB14" s="62"/>
      <c r="BD14" s="59"/>
      <c r="BE14" s="33"/>
      <c r="BH14" s="33"/>
      <c r="BK14" s="33"/>
      <c r="BM14" s="33"/>
      <c r="BN14" s="33"/>
      <c r="BP14" s="33"/>
    </row>
    <row r="15" spans="1:74" ht="15" x14ac:dyDescent="0.25">
      <c r="B15" s="44" t="s">
        <v>101</v>
      </c>
      <c r="C15" s="55">
        <v>62.809355178519411</v>
      </c>
      <c r="D15" s="55">
        <v>62.968117501165679</v>
      </c>
      <c r="E15" s="55">
        <v>65.813638259820522</v>
      </c>
      <c r="F15" s="55">
        <v>65.792310573604908</v>
      </c>
      <c r="G15" s="55">
        <v>65.460777350943417</v>
      </c>
      <c r="H15" s="55">
        <v>64.963142427642779</v>
      </c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6"/>
      <c r="Y15" s="47"/>
      <c r="Z15" s="47"/>
      <c r="AA15" s="48"/>
      <c r="AD15" s="4">
        <v>2802.3650000000002</v>
      </c>
      <c r="AE15" s="63">
        <f>+AD15/AD7</f>
        <v>0.6280935517851941</v>
      </c>
      <c r="AF15" s="4">
        <v>2935.9249999999997</v>
      </c>
      <c r="AG15" s="63">
        <f>+AF15/AF7</f>
        <v>0.62968117501165677</v>
      </c>
      <c r="AH15" s="54">
        <v>3417.2060000000001</v>
      </c>
      <c r="AI15" s="57">
        <f>+AH15/AH7</f>
        <v>0.65813638259820517</v>
      </c>
      <c r="AJ15" s="54">
        <v>3628.8919999999994</v>
      </c>
      <c r="AK15" s="57">
        <f>+AJ15/AJ7</f>
        <v>0.65792310573604906</v>
      </c>
      <c r="AL15" s="54">
        <v>3758.7669999999998</v>
      </c>
      <c r="AM15" s="57">
        <f>+AL15/AL7</f>
        <v>0.65460777350943411</v>
      </c>
      <c r="AN15" s="54">
        <v>3940.7869999999998</v>
      </c>
      <c r="AO15" s="57">
        <f>+AN15/AN7</f>
        <v>0.64963142427642784</v>
      </c>
      <c r="AP15" s="54"/>
      <c r="AQ15" s="57"/>
      <c r="AR15" s="54"/>
      <c r="AS15" s="57"/>
      <c r="AT15" s="54"/>
      <c r="AU15" s="57"/>
      <c r="AV15" s="54"/>
      <c r="AW15" s="57"/>
      <c r="BB15" s="62"/>
      <c r="BD15" s="59"/>
      <c r="BE15" s="33"/>
      <c r="BH15" s="33"/>
      <c r="BK15" s="33"/>
      <c r="BM15" s="33"/>
      <c r="BN15" s="33"/>
      <c r="BP15" s="33"/>
      <c r="BQ15" s="33"/>
      <c r="BS15" s="33"/>
      <c r="BT15" s="33"/>
      <c r="BV15" s="33"/>
    </row>
    <row r="16" spans="1:74" ht="15" x14ac:dyDescent="0.25">
      <c r="B16" s="44" t="s">
        <v>102</v>
      </c>
      <c r="C16" s="55">
        <v>14.486854786292222</v>
      </c>
      <c r="D16" s="55">
        <v>13.955429616103437</v>
      </c>
      <c r="E16" s="55">
        <v>15.020956248991284</v>
      </c>
      <c r="F16" s="55">
        <v>14.101765911643138</v>
      </c>
      <c r="G16" s="55">
        <v>14.649877203364536</v>
      </c>
      <c r="H16" s="55">
        <v>16.36660183189149</v>
      </c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6"/>
      <c r="Y16" s="47"/>
      <c r="Z16" s="47"/>
      <c r="AA16" s="48"/>
      <c r="AD16" s="4">
        <v>646.36</v>
      </c>
      <c r="AE16" s="63">
        <f>+AD16/AD7</f>
        <v>0.14486854786292222</v>
      </c>
      <c r="AF16" s="4">
        <v>650.67999999999995</v>
      </c>
      <c r="AG16" s="63">
        <f>+AF16/AF7</f>
        <v>0.13955429616103437</v>
      </c>
      <c r="AH16" s="54">
        <v>779.92499999999995</v>
      </c>
      <c r="AI16" s="57">
        <f>+AH16/AH7</f>
        <v>0.15020956248991285</v>
      </c>
      <c r="AJ16" s="54">
        <v>777.80799999999999</v>
      </c>
      <c r="AK16" s="57">
        <f>+AJ16/AJ7</f>
        <v>0.14101765911643138</v>
      </c>
      <c r="AL16" s="54">
        <v>841.19800000000009</v>
      </c>
      <c r="AM16" s="57">
        <f>+AL16/AL7</f>
        <v>0.14649877203364536</v>
      </c>
      <c r="AN16" s="54">
        <v>992.82900000000006</v>
      </c>
      <c r="AO16" s="57">
        <f>+AN16/AN7</f>
        <v>0.16366601831891489</v>
      </c>
      <c r="AP16" s="54"/>
      <c r="AQ16" s="57"/>
      <c r="AR16" s="54"/>
      <c r="AS16" s="57"/>
      <c r="AT16" s="54"/>
      <c r="AU16" s="57"/>
      <c r="AV16" s="54"/>
      <c r="AW16" s="57"/>
      <c r="BB16" s="62"/>
      <c r="BD16" s="59"/>
      <c r="BE16" s="33"/>
      <c r="BH16" s="33"/>
      <c r="BK16" s="33"/>
      <c r="BM16" s="33"/>
      <c r="BN16" s="33"/>
      <c r="BP16" s="33"/>
      <c r="BQ16" s="33"/>
      <c r="BS16" s="33"/>
      <c r="BT16" s="33"/>
      <c r="BV16" s="33"/>
    </row>
    <row r="17" spans="2:74" ht="15" x14ac:dyDescent="0.25">
      <c r="B17" s="44" t="s">
        <v>103</v>
      </c>
      <c r="C17" s="55"/>
      <c r="D17" s="55"/>
      <c r="E17" s="55"/>
      <c r="F17" s="55"/>
      <c r="G17" s="55"/>
      <c r="H17" s="55"/>
      <c r="I17" s="55">
        <v>82.612050722061397</v>
      </c>
      <c r="J17" s="55">
        <v>83.792912953225937</v>
      </c>
      <c r="K17" s="55">
        <v>83.964876082547207</v>
      </c>
      <c r="L17" s="55">
        <v>84.108670707698224</v>
      </c>
      <c r="M17" s="55">
        <v>83.754215932920275</v>
      </c>
      <c r="N17" s="55">
        <v>83.770322204702197</v>
      </c>
      <c r="O17" s="55">
        <v>84.695690250320567</v>
      </c>
      <c r="P17" s="55">
        <v>82.948601796467841</v>
      </c>
      <c r="Q17" s="55">
        <v>83.631582611448152</v>
      </c>
      <c r="R17" s="55">
        <v>85.121213131013263</v>
      </c>
      <c r="S17" s="55">
        <v>84.468603402657635</v>
      </c>
      <c r="T17" s="55">
        <v>85.493257774409287</v>
      </c>
      <c r="U17" s="55">
        <v>87.179150967461965</v>
      </c>
      <c r="V17" s="55">
        <v>86.654558188580694</v>
      </c>
      <c r="W17" s="55">
        <v>87.725534441524104</v>
      </c>
      <c r="X17" s="56"/>
      <c r="Y17" s="47"/>
      <c r="Z17" s="47"/>
      <c r="AA17" s="48"/>
      <c r="AE17" s="63"/>
      <c r="AG17" s="35"/>
      <c r="AH17" s="54"/>
      <c r="AJ17" s="54"/>
      <c r="AL17" s="54"/>
      <c r="AN17" s="54"/>
      <c r="AP17" s="54">
        <v>4879.6460000000006</v>
      </c>
      <c r="AQ17" s="57">
        <f>+AP17/AP7</f>
        <v>0.82612050722061403</v>
      </c>
      <c r="AR17" s="54">
        <v>4973.5560000000005</v>
      </c>
      <c r="AS17" s="57">
        <f>+AR17/AR7</f>
        <v>0.8379291295322594</v>
      </c>
      <c r="AT17" s="54">
        <v>5012.7560000000003</v>
      </c>
      <c r="AU17" s="57">
        <f>+AT17/AT7</f>
        <v>0.83964876082547202</v>
      </c>
      <c r="AV17" s="54">
        <v>5060.245600000002</v>
      </c>
      <c r="AW17" s="57">
        <f>+AV17/AV7</f>
        <v>0.8410867070769823</v>
      </c>
      <c r="AX17" s="54">
        <v>5193.2016000000003</v>
      </c>
      <c r="AY17" s="57">
        <f>+AX17/AX7</f>
        <v>0.83754215932920273</v>
      </c>
      <c r="AZ17" s="54">
        <v>5392.1654159999998</v>
      </c>
      <c r="BA17" s="57">
        <f>+AZ17/AZ7</f>
        <v>0.83770322204702197</v>
      </c>
      <c r="BB17" s="58">
        <v>5952.0042000000003</v>
      </c>
      <c r="BC17" s="57">
        <f>+BB17/BB7</f>
        <v>0.84695690250320566</v>
      </c>
      <c r="BD17" s="59">
        <f>+BC17*100</f>
        <v>84.695690250320567</v>
      </c>
      <c r="BE17" s="33">
        <v>5937.4070000000029</v>
      </c>
      <c r="BF17" s="57">
        <f>+BE17/BE7</f>
        <v>0.82948601796467836</v>
      </c>
      <c r="BG17" s="33">
        <f>+BF17*100</f>
        <v>82.948601796467841</v>
      </c>
      <c r="BH17" s="33">
        <v>6679.2330000000002</v>
      </c>
      <c r="BI17" s="57">
        <f>+BH17/BH7</f>
        <v>0.83631582611448152</v>
      </c>
      <c r="BJ17" s="33">
        <f>+BI17*100</f>
        <v>83.631582611448152</v>
      </c>
      <c r="BK17" s="33">
        <v>7331.1129999999994</v>
      </c>
      <c r="BL17" s="57">
        <f>+BK17/BK7</f>
        <v>0.85121213131013262</v>
      </c>
      <c r="BM17" s="33">
        <f>+BL17*100</f>
        <v>85.121213131013263</v>
      </c>
      <c r="BN17" s="33">
        <v>7341.4400000000005</v>
      </c>
      <c r="BO17" s="57">
        <f>+BN17/BN7</f>
        <v>0.84468603402657638</v>
      </c>
      <c r="BP17" s="33">
        <f>+BO17*100</f>
        <v>84.468603402657635</v>
      </c>
      <c r="BQ17" s="33">
        <v>8292.0739999999987</v>
      </c>
      <c r="BR17" s="57">
        <f>+BQ17/BQ7</f>
        <v>0.85493257774409293</v>
      </c>
      <c r="BS17" s="33">
        <f>+BR17*100</f>
        <v>85.493257774409287</v>
      </c>
      <c r="BT17" s="33">
        <v>9633.9229999999989</v>
      </c>
      <c r="BU17" s="57">
        <f>+BT17/BT7</f>
        <v>0.87179150967461916</v>
      </c>
      <c r="BV17" s="33">
        <f>+BU17*100</f>
        <v>87.179150967461922</v>
      </c>
    </row>
    <row r="18" spans="2:74" ht="15" x14ac:dyDescent="0.25">
      <c r="B18" s="44" t="s">
        <v>104</v>
      </c>
      <c r="C18" s="55">
        <v>22.70379003518838</v>
      </c>
      <c r="D18" s="55">
        <v>23.077460913086771</v>
      </c>
      <c r="E18" s="55">
        <v>19.170258882187017</v>
      </c>
      <c r="F18" s="55">
        <v>20.098889021440336</v>
      </c>
      <c r="G18" s="55">
        <v>19.896555459460739</v>
      </c>
      <c r="H18" s="55">
        <v>18.67025574046572</v>
      </c>
      <c r="I18" s="55">
        <v>17.38783076844939</v>
      </c>
      <c r="J18" s="55">
        <v>16.207087046774056</v>
      </c>
      <c r="K18" s="55">
        <v>16.035123917452797</v>
      </c>
      <c r="L18" s="55">
        <v>15.891329292301769</v>
      </c>
      <c r="M18" s="55">
        <v>16.245784067079729</v>
      </c>
      <c r="N18" s="55">
        <v>16.229677795297807</v>
      </c>
      <c r="O18" s="55">
        <v>15.304309749679454</v>
      </c>
      <c r="P18" s="55">
        <v>17.051398203532166</v>
      </c>
      <c r="Q18" s="55">
        <v>16.368417388551894</v>
      </c>
      <c r="R18" s="55">
        <v>14.878786868986776</v>
      </c>
      <c r="S18" s="55">
        <v>15.531396597342361</v>
      </c>
      <c r="T18" s="55">
        <v>14.506742225590695</v>
      </c>
      <c r="U18" s="55">
        <v>12.820849032538039</v>
      </c>
      <c r="V18" s="55">
        <v>13.345441811419301</v>
      </c>
      <c r="W18" s="55">
        <v>12.274465558475887</v>
      </c>
      <c r="X18" s="56"/>
      <c r="Y18" s="64"/>
      <c r="Z18" s="47"/>
      <c r="AA18" s="48"/>
      <c r="AD18" s="4">
        <v>1012.975</v>
      </c>
      <c r="AE18" s="63">
        <f>+AD18/AD7</f>
        <v>0.22703790035188381</v>
      </c>
      <c r="AF18" s="59">
        <v>1076</v>
      </c>
      <c r="AG18" s="63">
        <f>+AF18/AF7</f>
        <v>0.2307746091308677</v>
      </c>
      <c r="AH18" s="54">
        <v>995.36699999999985</v>
      </c>
      <c r="AI18" s="57">
        <f>+AH18/AH7</f>
        <v>0.19170258882187016</v>
      </c>
      <c r="AJ18" s="54">
        <v>1108.5899999999999</v>
      </c>
      <c r="AK18" s="57">
        <f>+AJ18/AJ7</f>
        <v>0.20098889021440336</v>
      </c>
      <c r="AL18" s="54">
        <v>1142.463</v>
      </c>
      <c r="AM18" s="57">
        <f>+AL18/AL7</f>
        <v>0.19896555459460738</v>
      </c>
      <c r="AN18" s="54">
        <v>1132.5730000000001</v>
      </c>
      <c r="AO18" s="57">
        <f>+AN18/AN7</f>
        <v>0.18670255740465719</v>
      </c>
      <c r="AP18" s="54">
        <v>1027.047</v>
      </c>
      <c r="AQ18" s="57">
        <f>+AP18/AP7</f>
        <v>0.17387830768449389</v>
      </c>
      <c r="AR18" s="54">
        <v>961.97699999999975</v>
      </c>
      <c r="AS18" s="57">
        <f>+AR18/AR7</f>
        <v>0.16207087046774057</v>
      </c>
      <c r="AT18" s="54">
        <v>957.3069999999999</v>
      </c>
      <c r="AU18" s="57">
        <f>+AT18/AT7</f>
        <v>0.16035123917452795</v>
      </c>
      <c r="AV18" s="54">
        <v>956.07300000000021</v>
      </c>
      <c r="AW18" s="57">
        <f>+AV18/AV7</f>
        <v>0.1589132929230177</v>
      </c>
      <c r="AX18" s="54">
        <v>1007.3239999999998</v>
      </c>
      <c r="AY18" s="57">
        <f>+AX18/AX7</f>
        <v>0.1624578406707973</v>
      </c>
      <c r="AZ18" s="54">
        <v>1044.6791299999998</v>
      </c>
      <c r="BA18" s="57">
        <f>+AZ18/AZ7</f>
        <v>0.16229677795297806</v>
      </c>
      <c r="BB18" s="58">
        <v>1075.5130000000004</v>
      </c>
      <c r="BC18" s="57">
        <f>+BB18/BB7</f>
        <v>0.15304309749679454</v>
      </c>
      <c r="BD18" s="59">
        <f>+BC18*100</f>
        <v>15.304309749679454</v>
      </c>
      <c r="BE18" s="33">
        <v>1220.5280000000007</v>
      </c>
      <c r="BF18" s="57">
        <f>+BE18/BE7</f>
        <v>0.17051398203532167</v>
      </c>
      <c r="BG18" s="33">
        <f>+BF18*100</f>
        <v>17.051398203532166</v>
      </c>
      <c r="BH18" s="33">
        <v>1307.2630000000008</v>
      </c>
      <c r="BI18" s="57">
        <f>+BH18/BH7</f>
        <v>0.16368417388551892</v>
      </c>
      <c r="BJ18" s="33">
        <f>+BI18*100</f>
        <v>16.368417388551894</v>
      </c>
      <c r="BK18" s="33">
        <v>1281.4440000000011</v>
      </c>
      <c r="BL18" s="57">
        <f>+BK18/BK7</f>
        <v>0.14878786868986776</v>
      </c>
      <c r="BM18" s="33">
        <f>+BL18*100</f>
        <v>14.878786868986776</v>
      </c>
      <c r="BN18" s="33">
        <v>1349.884</v>
      </c>
      <c r="BO18" s="57">
        <f>+BN18/BN7</f>
        <v>0.15531396597342362</v>
      </c>
      <c r="BP18" s="33">
        <f>+BO18*100</f>
        <v>15.531396597342361</v>
      </c>
      <c r="BQ18" s="33">
        <v>1407.0230000000004</v>
      </c>
      <c r="BR18" s="57">
        <f>+BQ18/BQ7</f>
        <v>0.14506742225590696</v>
      </c>
      <c r="BS18" s="33">
        <f>+BR18*100</f>
        <v>14.506742225590695</v>
      </c>
      <c r="BT18" s="33">
        <v>1416.7959999999998</v>
      </c>
      <c r="BU18" s="57">
        <f>+BT18/BT7</f>
        <v>0.12820849032538062</v>
      </c>
      <c r="BV18" s="33">
        <f>+BU18*100</f>
        <v>12.820849032538062</v>
      </c>
    </row>
    <row r="19" spans="2:74" ht="15" x14ac:dyDescent="0.25">
      <c r="B19" s="50" t="s">
        <v>105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1"/>
      <c r="X19" s="56"/>
      <c r="Y19" s="47"/>
      <c r="Z19" s="47"/>
      <c r="AA19" s="48"/>
      <c r="AE19" s="57"/>
      <c r="BB19" s="33"/>
      <c r="BD19" s="59"/>
      <c r="BE19" s="33"/>
      <c r="BF19" s="57"/>
      <c r="BH19" s="33"/>
      <c r="BI19" s="57"/>
      <c r="BK19" s="33"/>
      <c r="BL19" s="57"/>
      <c r="BM19" s="33"/>
      <c r="BN19" s="33"/>
      <c r="BO19" s="57"/>
      <c r="BP19" s="33"/>
      <c r="BQ19" s="33"/>
      <c r="BR19" s="57"/>
      <c r="BS19" s="33"/>
      <c r="BT19" s="33"/>
      <c r="BU19" s="57"/>
      <c r="BV19" s="33"/>
    </row>
    <row r="20" spans="2:74" ht="15" x14ac:dyDescent="0.25">
      <c r="B20" s="44" t="s">
        <v>106</v>
      </c>
      <c r="C20" s="55">
        <v>71.401035479749879</v>
      </c>
      <c r="D20" s="55">
        <v>71.909754259357214</v>
      </c>
      <c r="E20" s="55">
        <v>83.292837049708368</v>
      </c>
      <c r="F20" s="55">
        <v>83.991777620085884</v>
      </c>
      <c r="G20" s="55">
        <v>84.079018267806376</v>
      </c>
      <c r="H20" s="55">
        <v>84.877853294712708</v>
      </c>
      <c r="I20" s="55">
        <v>85.509912472277236</v>
      </c>
      <c r="J20" s="55">
        <v>85.384935101868692</v>
      </c>
      <c r="K20" s="55">
        <v>85.344208260448838</v>
      </c>
      <c r="L20" s="55">
        <v>84.703320066859504</v>
      </c>
      <c r="M20" s="55">
        <v>84.196630040524312</v>
      </c>
      <c r="N20" s="55">
        <v>84.127925683169053</v>
      </c>
      <c r="O20" s="55">
        <v>85.232451654476208</v>
      </c>
      <c r="P20" s="55">
        <v>83.780908879446386</v>
      </c>
      <c r="Q20" s="55">
        <v>84.186056062633781</v>
      </c>
      <c r="R20" s="55">
        <v>84.866387531600651</v>
      </c>
      <c r="S20" s="55">
        <v>84.155613114871798</v>
      </c>
      <c r="T20" s="55">
        <v>85.236501913528642</v>
      </c>
      <c r="U20" s="55">
        <v>87.185557790402598</v>
      </c>
      <c r="V20" s="55">
        <v>86.937242085980103</v>
      </c>
      <c r="W20" s="55">
        <v>87.868519602426488</v>
      </c>
      <c r="X20" s="56"/>
      <c r="Y20" s="47"/>
      <c r="Z20" s="47"/>
      <c r="AA20" s="48"/>
      <c r="AD20" s="4">
        <v>3185.7</v>
      </c>
      <c r="AE20" s="57">
        <f>+AD20/AD7</f>
        <v>0.71401035479749875</v>
      </c>
      <c r="AF20" s="4">
        <v>3352.8339999999998</v>
      </c>
      <c r="AG20" s="57">
        <f>+AF20/AF7</f>
        <v>0.71909754259357217</v>
      </c>
      <c r="AH20" s="4">
        <v>4324.7690000000002</v>
      </c>
      <c r="AI20" s="57">
        <f>+AH20/AH7</f>
        <v>0.83292837049708368</v>
      </c>
      <c r="AJ20" s="4">
        <v>4632.7160000000003</v>
      </c>
      <c r="AK20" s="57">
        <f>+AJ20/AJ7</f>
        <v>0.83991777620085883</v>
      </c>
      <c r="AL20" s="4">
        <v>4827.8289999999997</v>
      </c>
      <c r="AM20" s="57">
        <f>+AL20/AL7</f>
        <v>0.84079018267806371</v>
      </c>
      <c r="AN20" s="4">
        <v>5148.8509999999997</v>
      </c>
      <c r="AO20" s="57">
        <f>+AN20/AN7</f>
        <v>0.84877853294712702</v>
      </c>
      <c r="AP20" s="4">
        <v>5050.8139999999994</v>
      </c>
      <c r="AQ20" s="57">
        <f>+AP20/AP7</f>
        <v>0.85509912472277239</v>
      </c>
      <c r="AR20" s="4">
        <v>5068.0510000000004</v>
      </c>
      <c r="AS20" s="57">
        <f>+AR20/AR7</f>
        <v>0.85384935101868698</v>
      </c>
      <c r="AT20" s="4">
        <v>5095.1030000000001</v>
      </c>
      <c r="AU20" s="57">
        <f>+AT20/AT7</f>
        <v>0.85344208260448839</v>
      </c>
      <c r="AV20" s="54">
        <v>5096.0216000000028</v>
      </c>
      <c r="AW20" s="57">
        <f>+AV20/AV7</f>
        <v>0.847033200668595</v>
      </c>
      <c r="AX20" s="54">
        <v>5220.6336000000001</v>
      </c>
      <c r="AY20" s="57">
        <f>+AX20/AX7</f>
        <v>0.84196630040524312</v>
      </c>
      <c r="AZ20" s="54">
        <v>5415.1837959999993</v>
      </c>
      <c r="BA20" s="57">
        <f>+AZ20/AZ7</f>
        <v>0.84127925683169047</v>
      </c>
      <c r="BB20" s="58">
        <v>5989.7251999999989</v>
      </c>
      <c r="BC20" s="57">
        <f>+BB20/BB7</f>
        <v>0.85232451654476205</v>
      </c>
      <c r="BD20" s="59">
        <f>+BC20*100</f>
        <v>85.232451654476208</v>
      </c>
      <c r="BE20" s="33">
        <v>5996.9830000000029</v>
      </c>
      <c r="BF20" s="57">
        <f>+BE20/BE7</f>
        <v>0.83780908879446381</v>
      </c>
      <c r="BG20" s="33">
        <f>+BF20*100</f>
        <v>83.780908879446386</v>
      </c>
      <c r="BH20" s="33">
        <v>6723.5160000000024</v>
      </c>
      <c r="BI20" s="57">
        <f>+BH20/BH7</f>
        <v>0.84186056062633785</v>
      </c>
      <c r="BJ20" s="33">
        <f>+BI20*100</f>
        <v>84.186056062633781</v>
      </c>
      <c r="BK20" s="33">
        <v>7309.1659999999965</v>
      </c>
      <c r="BL20" s="57">
        <f>+BK20/BK7</f>
        <v>0.84866387531600651</v>
      </c>
      <c r="BM20" s="33">
        <f>+BL20*100</f>
        <v>84.866387531600651</v>
      </c>
      <c r="BN20" s="33">
        <v>7314.2370000000001</v>
      </c>
      <c r="BO20" s="57">
        <f>+BN20/BN7</f>
        <v>0.84155613114871797</v>
      </c>
      <c r="BP20" s="33">
        <f>+BO20*100</f>
        <v>84.155613114871798</v>
      </c>
      <c r="BQ20" s="33">
        <v>8267.1709999999985</v>
      </c>
      <c r="BR20" s="57">
        <f>+BQ20/BQ7</f>
        <v>0.85236501913528639</v>
      </c>
      <c r="BS20" s="33">
        <f>+BR20*100</f>
        <v>85.236501913528642</v>
      </c>
      <c r="BT20" s="33">
        <v>9634.6309999999994</v>
      </c>
      <c r="BU20" s="57">
        <f>+BT20/BT7</f>
        <v>0.87185557790402579</v>
      </c>
      <c r="BV20" s="33">
        <f>+BU20*100</f>
        <v>87.185557790402584</v>
      </c>
    </row>
    <row r="21" spans="2:74" ht="15" x14ac:dyDescent="0.25">
      <c r="B21" s="44" t="s">
        <v>107</v>
      </c>
      <c r="C21" s="55">
        <v>28.598964520250131</v>
      </c>
      <c r="D21" s="55">
        <v>28.0902457406428</v>
      </c>
      <c r="E21" s="55">
        <v>16.70716295029165</v>
      </c>
      <c r="F21" s="55">
        <v>16.009128886784183</v>
      </c>
      <c r="G21" s="55">
        <v>15.920981732193615</v>
      </c>
      <c r="H21" s="55">
        <v>15.122146705287292</v>
      </c>
      <c r="I21" s="55">
        <v>14.489969018233531</v>
      </c>
      <c r="J21" s="55">
        <v>14.615064898131299</v>
      </c>
      <c r="K21" s="55">
        <v>14.655791739551157</v>
      </c>
      <c r="L21" s="55">
        <v>15.296679933140503</v>
      </c>
      <c r="M21" s="55">
        <v>15.803369959475694</v>
      </c>
      <c r="N21" s="55">
        <v>15.872074316830956</v>
      </c>
      <c r="O21" s="55">
        <v>14.767548345523803</v>
      </c>
      <c r="P21" s="55">
        <v>16.219091120553625</v>
      </c>
      <c r="Q21" s="55">
        <v>15.813943937366279</v>
      </c>
      <c r="R21" s="55">
        <v>15.133612468399352</v>
      </c>
      <c r="S21" s="55">
        <v>15.844386885128204</v>
      </c>
      <c r="T21" s="55">
        <v>14.763498086471355</v>
      </c>
      <c r="U21" s="55">
        <v>12.814442209597393</v>
      </c>
      <c r="V21" s="55">
        <v>13.062757914019899</v>
      </c>
      <c r="W21" s="55">
        <v>12.131480397573506</v>
      </c>
      <c r="X21" s="56"/>
      <c r="Y21" s="47"/>
      <c r="Z21" s="47"/>
      <c r="AA21" s="48"/>
      <c r="AD21" s="4">
        <v>1276</v>
      </c>
      <c r="AE21" s="57">
        <f>+AD21/AD7</f>
        <v>0.28598964520250131</v>
      </c>
      <c r="AF21" s="4">
        <v>1309.7239999999999</v>
      </c>
      <c r="AG21" s="57">
        <f>+AF21/AF7</f>
        <v>0.280902457406428</v>
      </c>
      <c r="AH21" s="4">
        <v>867.47699999999998</v>
      </c>
      <c r="AI21" s="57">
        <f>+AH21/AH7</f>
        <v>0.16707162950291649</v>
      </c>
      <c r="AJ21" s="4">
        <v>883.01200000000006</v>
      </c>
      <c r="AK21" s="57">
        <f>+AJ21/AJ7</f>
        <v>0.16009128886784182</v>
      </c>
      <c r="AL21" s="4">
        <v>914.18499999999995</v>
      </c>
      <c r="AM21" s="57">
        <f>+AL21/AL7</f>
        <v>0.15920981732193615</v>
      </c>
      <c r="AN21" s="4">
        <v>917.33800000000019</v>
      </c>
      <c r="AO21" s="57">
        <f>+AN21/AN7</f>
        <v>0.15122146705287293</v>
      </c>
      <c r="AP21" s="4">
        <v>855.87900000000002</v>
      </c>
      <c r="AQ21" s="57">
        <f>+AP21/AP7</f>
        <v>0.14489969018233531</v>
      </c>
      <c r="AR21" s="4">
        <v>867.48199999999974</v>
      </c>
      <c r="AS21" s="57">
        <f>+AR21/AR7</f>
        <v>0.146150648981313</v>
      </c>
      <c r="AT21" s="4">
        <v>874.96</v>
      </c>
      <c r="AU21" s="57">
        <f>+AT21/AT7</f>
        <v>0.14655791739551158</v>
      </c>
      <c r="AV21" s="54">
        <v>920.29700000000003</v>
      </c>
      <c r="AW21" s="57">
        <f>+AV21/AV7</f>
        <v>0.15296679933140503</v>
      </c>
      <c r="AX21" s="54">
        <v>979.89199999999994</v>
      </c>
      <c r="AY21" s="57">
        <f>+AX21/AX7</f>
        <v>0.15803369959475694</v>
      </c>
      <c r="AZ21" s="54">
        <v>1021.66075</v>
      </c>
      <c r="BA21" s="57">
        <f>+AZ21/AZ7</f>
        <v>0.15872074316830956</v>
      </c>
      <c r="BB21" s="58">
        <v>1037.7920000000006</v>
      </c>
      <c r="BC21" s="57">
        <f>+BB21/BB7</f>
        <v>0.14767548345523804</v>
      </c>
      <c r="BD21" s="59">
        <f>+BC21*100</f>
        <v>14.767548345523803</v>
      </c>
      <c r="BE21" s="33">
        <v>1160.9520000000007</v>
      </c>
      <c r="BF21" s="57">
        <f>+BE21/BE7</f>
        <v>0.16219091120553625</v>
      </c>
      <c r="BG21" s="33">
        <f>+BF21*100</f>
        <v>16.219091120553625</v>
      </c>
      <c r="BH21" s="33">
        <v>1262.98</v>
      </c>
      <c r="BI21" s="57">
        <f>+BH21/BH7</f>
        <v>0.15813943937366279</v>
      </c>
      <c r="BJ21" s="33">
        <f>+BI21*100</f>
        <v>15.813943937366279</v>
      </c>
      <c r="BK21" s="33">
        <v>1303.3910000000008</v>
      </c>
      <c r="BL21" s="57">
        <f>+BK21/BK7</f>
        <v>0.15133612468399352</v>
      </c>
      <c r="BM21" s="33">
        <f>+BL21*100</f>
        <v>15.133612468399352</v>
      </c>
      <c r="BN21" s="33">
        <v>1377.087</v>
      </c>
      <c r="BO21" s="57">
        <f>+BN21/BN7</f>
        <v>0.15844386885128203</v>
      </c>
      <c r="BP21" s="33">
        <f>+BO21*100</f>
        <v>15.844386885128204</v>
      </c>
      <c r="BQ21" s="33">
        <v>1431.9260000000006</v>
      </c>
      <c r="BR21" s="57">
        <f>+BQ21/BQ7</f>
        <v>0.14763498086471355</v>
      </c>
      <c r="BS21" s="33">
        <f>+BR21*100</f>
        <v>14.763498086471355</v>
      </c>
      <c r="BT21" s="33">
        <v>1416.0879999999997</v>
      </c>
      <c r="BU21" s="57">
        <f>+BT21/BT7</f>
        <v>0.12814442209597399</v>
      </c>
      <c r="BV21" s="33">
        <f>+BU21*100</f>
        <v>12.814442209597399</v>
      </c>
    </row>
    <row r="22" spans="2:74" ht="13.5" thickBot="1" x14ac:dyDescent="0.25">
      <c r="B22" s="44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6"/>
      <c r="Y22" s="47"/>
      <c r="Z22" s="47"/>
      <c r="AA22" s="48"/>
      <c r="BB22" s="62"/>
      <c r="BD22" s="59"/>
      <c r="BE22" s="33"/>
      <c r="BH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</row>
    <row r="23" spans="2:74" ht="15" x14ac:dyDescent="0.25">
      <c r="B23" s="1451" t="s">
        <v>108</v>
      </c>
      <c r="C23" s="1452">
        <v>4075.4080000000004</v>
      </c>
      <c r="D23" s="1452">
        <v>4003.201</v>
      </c>
      <c r="E23" s="1452">
        <v>4581.0190000000002</v>
      </c>
      <c r="F23" s="1452">
        <v>4781.6309999999994</v>
      </c>
      <c r="G23" s="1452">
        <v>5116.1559999999999</v>
      </c>
      <c r="H23" s="1452">
        <v>5554.8460000000005</v>
      </c>
      <c r="I23" s="1452">
        <v>5387.1769999999997</v>
      </c>
      <c r="J23" s="1452">
        <v>5395.6689999999999</v>
      </c>
      <c r="K23" s="1452">
        <v>5421.8069999999998</v>
      </c>
      <c r="L23" s="1452">
        <v>5417.9590700000017</v>
      </c>
      <c r="M23" s="1452">
        <v>5610.9250000000002</v>
      </c>
      <c r="N23" s="1452">
        <v>5873.4</v>
      </c>
      <c r="O23" s="1452">
        <v>6352.0139999999965</v>
      </c>
      <c r="P23" s="1452">
        <v>6348.9440000000004</v>
      </c>
      <c r="Q23" s="1452">
        <v>7256.3469999999979</v>
      </c>
      <c r="R23" s="1452">
        <v>8000.3869999999997</v>
      </c>
      <c r="S23" s="1452">
        <v>8042.630000000001</v>
      </c>
      <c r="T23" s="1452">
        <v>8939.2570000000014</v>
      </c>
      <c r="U23" s="1452">
        <v>9885.2720000000008</v>
      </c>
      <c r="V23" s="1452">
        <v>10269.342000000006</v>
      </c>
      <c r="W23" s="1453">
        <v>11295.836999999998</v>
      </c>
      <c r="X23" s="1446">
        <f>((W23/V23)-1)*100</f>
        <v>9.9957231923913916</v>
      </c>
      <c r="Y23" s="1447">
        <f>((W23/R23)^(1/5))-1</f>
        <v>7.1424280969060838E-2</v>
      </c>
      <c r="Z23" s="1448">
        <f>((W23/M23)-1)*100</f>
        <v>101.31862393455621</v>
      </c>
      <c r="AA23" s="1449">
        <f>((W23/M23)^(1/10))-1</f>
        <v>7.247800780663094E-2</v>
      </c>
      <c r="AD23" s="43">
        <v>4075.4080000000004</v>
      </c>
      <c r="AF23" s="43">
        <v>4003.201</v>
      </c>
      <c r="AH23" s="43">
        <v>4581.0190000000002</v>
      </c>
      <c r="AJ23" s="43">
        <v>4781.6309999999994</v>
      </c>
      <c r="AL23" s="43">
        <v>5116.1559999999999</v>
      </c>
      <c r="AN23" s="43">
        <v>5554.8460000000005</v>
      </c>
      <c r="AP23" s="43">
        <v>5387.1769999999997</v>
      </c>
      <c r="AR23" s="43">
        <v>5395.6689999999999</v>
      </c>
      <c r="AT23" s="43">
        <v>5421.8069999999998</v>
      </c>
      <c r="AV23" s="43">
        <v>5417.9590700000017</v>
      </c>
      <c r="AX23" s="43">
        <v>5610.9250000000002</v>
      </c>
      <c r="AZ23" s="43">
        <v>5796.6394477799995</v>
      </c>
      <c r="BB23" s="65">
        <v>6352.0139999999965</v>
      </c>
      <c r="BD23" s="59"/>
      <c r="BE23" s="65">
        <v>6348.9440000000004</v>
      </c>
      <c r="BF23" s="66"/>
      <c r="BG23" s="67"/>
      <c r="BH23" s="65">
        <v>7256.3469999999979</v>
      </c>
      <c r="BI23" s="66"/>
      <c r="BJ23" s="67"/>
      <c r="BK23" s="65">
        <v>8000.3869999999997</v>
      </c>
      <c r="BL23" s="68"/>
      <c r="BM23" s="69"/>
      <c r="BN23" s="65">
        <v>8045.5330000000004</v>
      </c>
      <c r="BO23" s="68"/>
      <c r="BP23" s="69"/>
      <c r="BQ23" s="65">
        <v>8939.2570000000014</v>
      </c>
      <c r="BR23" s="68"/>
      <c r="BS23" s="69"/>
      <c r="BT23" s="65">
        <v>9885.2720000000008</v>
      </c>
      <c r="BU23" s="68"/>
      <c r="BV23" s="69"/>
    </row>
    <row r="24" spans="2:74" x14ac:dyDescent="0.2">
      <c r="B24" s="44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6"/>
      <c r="Y24" s="47"/>
      <c r="Z24" s="47"/>
      <c r="AA24" s="48"/>
      <c r="BB24" s="62"/>
      <c r="BD24" s="59"/>
      <c r="BE24" s="33"/>
      <c r="BH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</row>
    <row r="25" spans="2:74" x14ac:dyDescent="0.2">
      <c r="B25" s="50" t="s">
        <v>94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2"/>
      <c r="X25" s="46"/>
      <c r="Y25" s="47"/>
      <c r="Z25" s="47"/>
      <c r="AA25" s="48"/>
      <c r="BB25" s="62"/>
      <c r="BD25" s="59"/>
      <c r="BE25" s="33"/>
      <c r="BH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</row>
    <row r="26" spans="2:74" ht="15" x14ac:dyDescent="0.25">
      <c r="B26" s="44" t="s">
        <v>95</v>
      </c>
      <c r="C26" s="55">
        <v>60.727294052521863</v>
      </c>
      <c r="D26" s="55">
        <v>55.002908922135063</v>
      </c>
      <c r="E26" s="55">
        <v>48.262275271069598</v>
      </c>
      <c r="F26" s="55">
        <v>44.270856534098932</v>
      </c>
      <c r="G26" s="55">
        <v>45.309564446432049</v>
      </c>
      <c r="H26" s="55">
        <v>47.722205080032829</v>
      </c>
      <c r="I26" s="55">
        <v>50.945105386364695</v>
      </c>
      <c r="J26" s="55">
        <v>51.435364178195506</v>
      </c>
      <c r="K26" s="55">
        <v>51.463893864167432</v>
      </c>
      <c r="L26" s="55">
        <v>51.956909117070907</v>
      </c>
      <c r="M26" s="55">
        <v>53.274691784331466</v>
      </c>
      <c r="N26" s="55">
        <v>51</v>
      </c>
      <c r="O26" s="55">
        <v>47.438465973154344</v>
      </c>
      <c r="P26" s="55">
        <v>47.691427109768178</v>
      </c>
      <c r="Q26" s="55">
        <v>42.938519891620395</v>
      </c>
      <c r="R26" s="55">
        <v>41.46605657951298</v>
      </c>
      <c r="S26" s="55">
        <v>41.372324245018945</v>
      </c>
      <c r="T26" s="55">
        <v>37.588537839330485</v>
      </c>
      <c r="U26" s="55">
        <v>34.540354580025706</v>
      </c>
      <c r="V26" s="55">
        <v>34.347750810129803</v>
      </c>
      <c r="W26" s="55">
        <v>35.750232585686213</v>
      </c>
      <c r="X26" s="56"/>
      <c r="Y26" s="47"/>
      <c r="Z26" s="47"/>
      <c r="AA26" s="48"/>
      <c r="AD26" s="4">
        <v>2474.8850000000002</v>
      </c>
      <c r="AE26" s="63">
        <f>+AD26/AD23</f>
        <v>0.60727294052521863</v>
      </c>
      <c r="AF26" s="70">
        <v>2201.877</v>
      </c>
      <c r="AG26" s="63">
        <f>+AF26/AF23</f>
        <v>0.55002908922135063</v>
      </c>
      <c r="AH26" s="54">
        <v>2210.904</v>
      </c>
      <c r="AI26" s="57">
        <f>+AH26/AH23</f>
        <v>0.48262275271069599</v>
      </c>
      <c r="AJ26" s="54">
        <v>2116.8689999999997</v>
      </c>
      <c r="AK26" s="57">
        <f>+AJ26/AJ23</f>
        <v>0.44270856534098929</v>
      </c>
      <c r="AL26" s="54">
        <v>2318.1080000000002</v>
      </c>
      <c r="AM26" s="57">
        <f>+AL26/AL23</f>
        <v>0.45309564446432049</v>
      </c>
      <c r="AN26" s="54">
        <v>2650.8950000000004</v>
      </c>
      <c r="AO26" s="57">
        <f>+AN26/AN23</f>
        <v>0.47722205080032826</v>
      </c>
      <c r="AP26" s="54">
        <v>2744.5029999999997</v>
      </c>
      <c r="AQ26" s="57">
        <f>+AP26/AP23</f>
        <v>0.50945105386364697</v>
      </c>
      <c r="AR26" s="54">
        <v>2775.2819999999997</v>
      </c>
      <c r="AS26" s="57">
        <f>+AR26/AR23</f>
        <v>0.51435364178195508</v>
      </c>
      <c r="AT26" s="54">
        <v>2790.2730000000001</v>
      </c>
      <c r="AU26" s="57">
        <f>+AT26/AT23</f>
        <v>0.51463893864167432</v>
      </c>
      <c r="AV26" s="54">
        <v>2815.0040700000009</v>
      </c>
      <c r="AW26" s="57">
        <f>+AV26/AV23</f>
        <v>0.51956909117070904</v>
      </c>
      <c r="AX26" s="54">
        <v>2989.203</v>
      </c>
      <c r="AY26" s="57">
        <f>+AX26/AX23</f>
        <v>0.53274691784331463</v>
      </c>
      <c r="AZ26" s="54">
        <v>3000.1464645799997</v>
      </c>
      <c r="BA26" s="57">
        <f>+AZ26/AZ23</f>
        <v>0.51756651273678889</v>
      </c>
      <c r="BB26" s="58">
        <v>3013.2979999999984</v>
      </c>
      <c r="BC26" s="57">
        <f>+BB26/BB23</f>
        <v>0.47438465973154342</v>
      </c>
      <c r="BD26" s="59">
        <f>+BC26*100</f>
        <v>47.438465973154344</v>
      </c>
      <c r="BE26" s="33">
        <v>3027.9020000000005</v>
      </c>
      <c r="BF26" s="57">
        <f>+BE26/BE23</f>
        <v>0.47691427109768181</v>
      </c>
      <c r="BG26" s="33">
        <f>+BF26*100</f>
        <v>47.691427109768178</v>
      </c>
      <c r="BH26" s="33">
        <v>3115.7679999999991</v>
      </c>
      <c r="BI26" s="57">
        <f>+BH26/BH23</f>
        <v>0.42938519891620397</v>
      </c>
      <c r="BJ26" s="33">
        <f>+BI26*100</f>
        <v>42.938519891620395</v>
      </c>
      <c r="BK26" s="33">
        <v>3317.4450000000006</v>
      </c>
      <c r="BL26" s="57">
        <f>+BK26/BK23</f>
        <v>0.41466056579512978</v>
      </c>
      <c r="BM26" s="33">
        <f>+BL26*100</f>
        <v>41.46605657951298</v>
      </c>
      <c r="BN26" s="33">
        <v>3328.6240000000003</v>
      </c>
      <c r="BO26" s="57">
        <f>+BN26/BN23</f>
        <v>0.41372324245018943</v>
      </c>
      <c r="BP26" s="33">
        <f>+BO26*100</f>
        <v>41.372324245018945</v>
      </c>
      <c r="BQ26" s="33">
        <v>3360.136</v>
      </c>
      <c r="BR26" s="57">
        <f>+BQ26/BQ23</f>
        <v>0.37588537839330488</v>
      </c>
      <c r="BS26" s="33">
        <f>+BR26*100</f>
        <v>37.588537839330485</v>
      </c>
      <c r="BT26" s="33">
        <v>3414.4079999999994</v>
      </c>
      <c r="BU26" s="57">
        <f>+BT26/BT23</f>
        <v>0.34540354580025712</v>
      </c>
      <c r="BV26" s="33">
        <f>+BU26*100</f>
        <v>34.540354580025713</v>
      </c>
    </row>
    <row r="27" spans="2:74" ht="15" x14ac:dyDescent="0.25">
      <c r="B27" s="44" t="s">
        <v>96</v>
      </c>
      <c r="C27" s="55">
        <v>39.272705947478137</v>
      </c>
      <c r="D27" s="55">
        <v>44.990846075428145</v>
      </c>
      <c r="E27" s="55">
        <v>51.732267427836462</v>
      </c>
      <c r="F27" s="55">
        <v>55.723915124358193</v>
      </c>
      <c r="G27" s="55">
        <v>54.676753406268297</v>
      </c>
      <c r="H27" s="55">
        <v>52.265193310489607</v>
      </c>
      <c r="I27" s="55">
        <v>49.041900795166008</v>
      </c>
      <c r="J27" s="55">
        <v>48.551662453719835</v>
      </c>
      <c r="K27" s="55">
        <v>48.523195311083562</v>
      </c>
      <c r="L27" s="55">
        <v>48.030170888684829</v>
      </c>
      <c r="M27" s="55">
        <v>46.712832554347095</v>
      </c>
      <c r="N27" s="55">
        <v>49</v>
      </c>
      <c r="O27" s="55">
        <v>52.550513900000858</v>
      </c>
      <c r="P27" s="55">
        <v>52.297547434659997</v>
      </c>
      <c r="Q27" s="55">
        <v>57.051833381176507</v>
      </c>
      <c r="R27" s="55">
        <v>58.5251938437478</v>
      </c>
      <c r="S27" s="55">
        <v>58.61897527485128</v>
      </c>
      <c r="T27" s="55">
        <v>61.508702568904773</v>
      </c>
      <c r="U27" s="55">
        <v>64.643279416084866</v>
      </c>
      <c r="V27" s="55">
        <v>63.327854890800197</v>
      </c>
      <c r="W27" s="55">
        <v>61.339845821075492</v>
      </c>
      <c r="X27" s="56"/>
      <c r="Y27" s="47"/>
      <c r="Z27" s="47"/>
      <c r="AA27" s="48"/>
      <c r="AD27" s="4">
        <v>1600.5229999999999</v>
      </c>
      <c r="AE27" s="63">
        <f>+AD27/AD23</f>
        <v>0.39272705947478137</v>
      </c>
      <c r="AF27" s="70">
        <v>1801.0740000000001</v>
      </c>
      <c r="AG27" s="63">
        <f>+AF27/AF23</f>
        <v>0.44990846075428143</v>
      </c>
      <c r="AH27" s="54">
        <v>2369.8649999999998</v>
      </c>
      <c r="AI27" s="57">
        <f>+AH27/AH23</f>
        <v>0.51732267427836465</v>
      </c>
      <c r="AJ27" s="54">
        <v>2664.5119999999997</v>
      </c>
      <c r="AK27" s="57">
        <f>+AJ27/AJ23</f>
        <v>0.55723915124358192</v>
      </c>
      <c r="AL27" s="54">
        <v>2797.348</v>
      </c>
      <c r="AM27" s="57">
        <f>+AL27/AL23</f>
        <v>0.54676753406268297</v>
      </c>
      <c r="AN27" s="54">
        <v>2903.2510000000002</v>
      </c>
      <c r="AO27" s="57">
        <f>+AN27/AN23</f>
        <v>0.5226519331048961</v>
      </c>
      <c r="AP27" s="54">
        <v>2641.9740000000002</v>
      </c>
      <c r="AQ27" s="57">
        <f>+AP27/AP23</f>
        <v>0.4904190079516601</v>
      </c>
      <c r="AR27" s="54">
        <v>2619.6870000000004</v>
      </c>
      <c r="AS27" s="57">
        <f>+AR27/AR23</f>
        <v>0.48551662453719835</v>
      </c>
      <c r="AT27" s="54">
        <v>2630.8340000000003</v>
      </c>
      <c r="AU27" s="57">
        <f>+AT27/AT23</f>
        <v>0.48523195311083561</v>
      </c>
      <c r="AV27" s="54">
        <v>2602.2550000000001</v>
      </c>
      <c r="AW27" s="57">
        <f>+AV27/AV23</f>
        <v>0.48030170888684831</v>
      </c>
      <c r="AX27" s="54">
        <v>2621.0219999999999</v>
      </c>
      <c r="AY27" s="57">
        <f>+AX27/AX23</f>
        <v>0.46712832554347095</v>
      </c>
      <c r="AZ27" s="54">
        <v>2795.7929832</v>
      </c>
      <c r="BA27" s="57">
        <f>+AZ27/AZ23</f>
        <v>0.48231272763924182</v>
      </c>
      <c r="BB27" s="58">
        <v>3338.0159999999987</v>
      </c>
      <c r="BC27" s="57">
        <f>+BB27/BB23</f>
        <v>0.52550513900000861</v>
      </c>
      <c r="BD27" s="59">
        <f>+BC27*100</f>
        <v>52.550513900000858</v>
      </c>
      <c r="BE27" s="33">
        <v>3320.3419999999996</v>
      </c>
      <c r="BF27" s="57">
        <f>+BE27/BE23</f>
        <v>0.52297547434659997</v>
      </c>
      <c r="BG27" s="33">
        <f>+BF27*100</f>
        <v>52.297547434659997</v>
      </c>
      <c r="BH27" s="33">
        <v>4139.878999999999</v>
      </c>
      <c r="BI27" s="57">
        <f>+BH27/BH23</f>
        <v>0.57051833381176509</v>
      </c>
      <c r="BJ27" s="33">
        <f>+BI27*100</f>
        <v>57.051833381176507</v>
      </c>
      <c r="BK27" s="33">
        <v>4682.2419999999993</v>
      </c>
      <c r="BL27" s="57">
        <f>+BK27/BK23</f>
        <v>0.58525193843747803</v>
      </c>
      <c r="BM27" s="33">
        <f>+BL27*100</f>
        <v>58.5251938437478</v>
      </c>
      <c r="BN27" s="33">
        <v>4716.2090000000007</v>
      </c>
      <c r="BO27" s="57">
        <f>+BN27/BN23</f>
        <v>0.58618975274851282</v>
      </c>
      <c r="BP27" s="33">
        <f>+BO27*100</f>
        <v>58.61897527485128</v>
      </c>
      <c r="BQ27" s="33">
        <v>5498.4210000000003</v>
      </c>
      <c r="BR27" s="57">
        <f>+BQ27/BQ23</f>
        <v>0.61508702568904772</v>
      </c>
      <c r="BS27" s="33">
        <f>+BR27*100</f>
        <v>61.508702568904773</v>
      </c>
      <c r="BT27" s="33">
        <v>6390.1639999999998</v>
      </c>
      <c r="BU27" s="57">
        <f>+BT27/BT23</f>
        <v>0.64643279416084853</v>
      </c>
      <c r="BV27" s="33">
        <f>+BU27*100</f>
        <v>64.643279416084852</v>
      </c>
    </row>
    <row r="28" spans="2:74" ht="15" x14ac:dyDescent="0.25">
      <c r="B28" s="44" t="s">
        <v>97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>
        <v>0.89492896333554328</v>
      </c>
      <c r="U28" s="55">
        <v>0.80928476221999757</v>
      </c>
      <c r="V28" s="55">
        <v>0.80928476221999801</v>
      </c>
      <c r="W28" s="55">
        <v>0.84987062047726103</v>
      </c>
      <c r="X28" s="56"/>
      <c r="Y28" s="47"/>
      <c r="Z28" s="47"/>
      <c r="AA28" s="48"/>
      <c r="AE28" s="63"/>
      <c r="AF28" s="70"/>
      <c r="AG28" s="63"/>
      <c r="AH28" s="54"/>
      <c r="AI28" s="57"/>
      <c r="AJ28" s="54"/>
      <c r="AK28" s="57"/>
      <c r="AL28" s="54"/>
      <c r="AM28" s="57"/>
      <c r="AN28" s="54"/>
      <c r="AO28" s="57"/>
      <c r="AP28" s="54"/>
      <c r="AQ28" s="57"/>
      <c r="AR28" s="54"/>
      <c r="AS28" s="57"/>
      <c r="AT28" s="54"/>
      <c r="AU28" s="57"/>
      <c r="AV28" s="54"/>
      <c r="AW28" s="57"/>
      <c r="AX28" s="54"/>
      <c r="AY28" s="57"/>
      <c r="AZ28" s="54"/>
      <c r="BA28" s="57"/>
      <c r="BB28" s="58"/>
      <c r="BC28" s="57"/>
      <c r="BD28" s="59"/>
      <c r="BE28" s="33"/>
      <c r="BF28" s="57"/>
      <c r="BH28" s="33"/>
      <c r="BI28" s="57"/>
      <c r="BK28" s="33"/>
      <c r="BL28" s="57"/>
      <c r="BM28" s="33"/>
      <c r="BN28" s="33"/>
      <c r="BO28" s="57"/>
      <c r="BP28" s="33"/>
      <c r="BQ28" s="33">
        <v>80</v>
      </c>
      <c r="BR28" s="57">
        <f>+BQ28/BQ23</f>
        <v>8.9492896333554332E-3</v>
      </c>
      <c r="BS28" s="33">
        <f>+BR28*100</f>
        <v>0.89492896333554328</v>
      </c>
      <c r="BT28" s="33">
        <v>80</v>
      </c>
      <c r="BU28" s="57">
        <f>+BT28/BT23</f>
        <v>8.0928476221999758E-3</v>
      </c>
      <c r="BV28" s="33">
        <f>+BU28*100</f>
        <v>0.80928476221999757</v>
      </c>
    </row>
    <row r="29" spans="2:74" ht="15" x14ac:dyDescent="0.25">
      <c r="B29" s="44" t="s">
        <v>98</v>
      </c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>
        <v>1.3895729638763601</v>
      </c>
      <c r="W29" s="55">
        <v>2.0600509727610272</v>
      </c>
      <c r="X29" s="56"/>
      <c r="Y29" s="47"/>
      <c r="Z29" s="47"/>
      <c r="AA29" s="48"/>
      <c r="AE29" s="63"/>
      <c r="AF29" s="70"/>
      <c r="AG29" s="63"/>
      <c r="AH29" s="54"/>
      <c r="AI29" s="57"/>
      <c r="AJ29" s="54"/>
      <c r="AK29" s="57"/>
      <c r="AL29" s="54"/>
      <c r="AM29" s="57"/>
      <c r="AN29" s="54"/>
      <c r="AO29" s="57"/>
      <c r="AP29" s="54"/>
      <c r="AQ29" s="57"/>
      <c r="AR29" s="54"/>
      <c r="AS29" s="57"/>
      <c r="AT29" s="54"/>
      <c r="AU29" s="57"/>
      <c r="AV29" s="54"/>
      <c r="AW29" s="57"/>
      <c r="AX29" s="54"/>
      <c r="AY29" s="57"/>
      <c r="AZ29" s="54"/>
      <c r="BA29" s="57"/>
      <c r="BB29" s="58"/>
      <c r="BC29" s="57"/>
      <c r="BD29" s="59"/>
      <c r="BE29" s="33"/>
      <c r="BF29" s="57"/>
      <c r="BH29" s="33"/>
      <c r="BI29" s="57"/>
      <c r="BK29" s="33"/>
      <c r="BL29" s="57"/>
      <c r="BM29" s="33"/>
      <c r="BN29" s="33"/>
      <c r="BO29" s="57"/>
      <c r="BP29" s="33"/>
      <c r="BQ29" s="33"/>
      <c r="BR29" s="57"/>
      <c r="BS29" s="33"/>
      <c r="BT29" s="33"/>
      <c r="BU29" s="57"/>
      <c r="BV29" s="33"/>
    </row>
    <row r="30" spans="2:74" ht="12.75" customHeight="1" x14ac:dyDescent="0.25">
      <c r="B30" s="50" t="s">
        <v>99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1"/>
      <c r="X30" s="56"/>
      <c r="Y30" s="47"/>
      <c r="Z30" s="47"/>
      <c r="AA30" s="48"/>
      <c r="AE30" s="63"/>
      <c r="AF30" s="35"/>
      <c r="AG30" s="35"/>
      <c r="BB30" s="58"/>
      <c r="BC30" s="57"/>
      <c r="BD30" s="59"/>
      <c r="BE30" s="33"/>
      <c r="BH30" s="33"/>
      <c r="BK30" s="33"/>
      <c r="BM30" s="33"/>
      <c r="BN30" s="33"/>
      <c r="BP30" s="33"/>
      <c r="BQ30" s="33"/>
      <c r="BS30" s="33"/>
      <c r="BT30" s="33"/>
      <c r="BV30" s="33"/>
    </row>
    <row r="31" spans="2:74" ht="15" x14ac:dyDescent="0.25">
      <c r="B31" s="44" t="s">
        <v>101</v>
      </c>
      <c r="C31" s="55">
        <v>69.64200884917534</v>
      </c>
      <c r="D31" s="55">
        <v>63.264247785709479</v>
      </c>
      <c r="E31" s="55">
        <v>65.72812730093456</v>
      </c>
      <c r="F31" s="55">
        <v>66.724073856807436</v>
      </c>
      <c r="G31" s="55">
        <v>65.975392462622338</v>
      </c>
      <c r="H31" s="55">
        <v>65.447502955077425</v>
      </c>
      <c r="I31" s="55"/>
      <c r="J31" s="55"/>
      <c r="K31" s="55"/>
      <c r="L31" s="55"/>
      <c r="M31" s="55"/>
      <c r="N31" s="55"/>
      <c r="O31" s="71" t="s">
        <v>109</v>
      </c>
      <c r="P31" s="71" t="s">
        <v>109</v>
      </c>
      <c r="Q31" s="71" t="s">
        <v>109</v>
      </c>
      <c r="R31" s="71" t="s">
        <v>109</v>
      </c>
      <c r="S31" s="71"/>
      <c r="T31" s="71"/>
      <c r="U31" s="55"/>
      <c r="V31" s="55"/>
      <c r="W31" s="55"/>
      <c r="X31" s="56"/>
      <c r="Y31" s="47"/>
      <c r="Z31" s="47"/>
      <c r="AA31" s="48"/>
      <c r="AD31" s="4">
        <v>2838.1959999999999</v>
      </c>
      <c r="AE31" s="63">
        <f>+AD31/AD23</f>
        <v>0.69642008849175341</v>
      </c>
      <c r="AF31" s="70">
        <v>2532.5949999999998</v>
      </c>
      <c r="AG31" s="63">
        <f>+AF31/AF23</f>
        <v>0.63264247785709482</v>
      </c>
      <c r="AH31" s="54">
        <v>3011.0179999999996</v>
      </c>
      <c r="AI31" s="57">
        <f>+AH31/AH23</f>
        <v>0.65728127300934558</v>
      </c>
      <c r="AJ31" s="54">
        <v>3190.4989999999998</v>
      </c>
      <c r="AK31" s="57">
        <f>+AJ31/AJ23</f>
        <v>0.66724073856807442</v>
      </c>
      <c r="AL31" s="54">
        <v>3375.4040000000005</v>
      </c>
      <c r="AM31" s="57">
        <f>+AL31/AL23</f>
        <v>0.6597539246262234</v>
      </c>
      <c r="AN31" s="54">
        <v>3635.5080000000007</v>
      </c>
      <c r="AO31" s="57">
        <f>+AN31/AN23</f>
        <v>0.6544750295507743</v>
      </c>
      <c r="AP31" s="54">
        <v>4519.9249999999993</v>
      </c>
      <c r="BB31" s="58"/>
      <c r="BC31" s="57"/>
      <c r="BD31" s="59"/>
      <c r="BE31" s="33"/>
      <c r="BH31" s="33"/>
      <c r="BK31" s="33"/>
      <c r="BM31" s="33"/>
      <c r="BN31" s="33"/>
      <c r="BP31" s="33"/>
      <c r="BQ31" s="33"/>
      <c r="BS31" s="33"/>
      <c r="BT31" s="33"/>
      <c r="BV31" s="33"/>
    </row>
    <row r="32" spans="2:74" ht="15" x14ac:dyDescent="0.25">
      <c r="B32" s="44" t="s">
        <v>102</v>
      </c>
      <c r="C32" s="55">
        <v>15.532432580983302</v>
      </c>
      <c r="D32" s="55">
        <v>24.150473583514788</v>
      </c>
      <c r="E32" s="55">
        <v>15.149031252653614</v>
      </c>
      <c r="F32" s="55">
        <v>13.433491626601887</v>
      </c>
      <c r="G32" s="55">
        <v>14.771324408403498</v>
      </c>
      <c r="H32" s="55">
        <v>17.205841530080221</v>
      </c>
      <c r="I32" s="55"/>
      <c r="J32" s="55"/>
      <c r="K32" s="55"/>
      <c r="L32" s="55"/>
      <c r="M32" s="55"/>
      <c r="N32" s="55"/>
      <c r="O32" s="71" t="s">
        <v>109</v>
      </c>
      <c r="P32" s="71" t="s">
        <v>109</v>
      </c>
      <c r="Q32" s="71" t="s">
        <v>109</v>
      </c>
      <c r="R32" s="71" t="s">
        <v>109</v>
      </c>
      <c r="S32" s="71"/>
      <c r="T32" s="71"/>
      <c r="U32" s="55"/>
      <c r="V32" s="55"/>
      <c r="W32" s="55"/>
      <c r="X32" s="56"/>
      <c r="Y32" s="47"/>
      <c r="Z32" s="47"/>
      <c r="AA32" s="48"/>
      <c r="AD32" s="4">
        <v>633.01</v>
      </c>
      <c r="AE32" s="63">
        <f>+AD32/AD23</f>
        <v>0.15532432580983302</v>
      </c>
      <c r="AF32" s="70">
        <v>966.79199999999992</v>
      </c>
      <c r="AG32" s="63">
        <f>+AF32/AF23</f>
        <v>0.24150473583514789</v>
      </c>
      <c r="AH32" s="54">
        <v>693.98</v>
      </c>
      <c r="AI32" s="57">
        <f>+AH32/AH23</f>
        <v>0.15149031252653614</v>
      </c>
      <c r="AJ32" s="54">
        <v>642.34</v>
      </c>
      <c r="AK32" s="57">
        <f>+AJ32/AJ23</f>
        <v>0.13433491626601887</v>
      </c>
      <c r="AL32" s="54">
        <v>755.72400000000005</v>
      </c>
      <c r="AM32" s="57">
        <f>+AL32/AL23</f>
        <v>0.14771324408403497</v>
      </c>
      <c r="AN32" s="54">
        <v>955.75800000000004</v>
      </c>
      <c r="AO32" s="57">
        <f>+AN32/AN23</f>
        <v>0.17205841530080221</v>
      </c>
      <c r="AP32" s="54">
        <v>867.25200000000007</v>
      </c>
      <c r="BB32" s="58"/>
      <c r="BC32" s="57"/>
      <c r="BD32" s="59"/>
      <c r="BE32" s="33"/>
      <c r="BH32" s="33"/>
      <c r="BK32" s="33"/>
      <c r="BM32" s="33"/>
      <c r="BN32" s="33"/>
      <c r="BP32" s="33"/>
      <c r="BQ32" s="33"/>
      <c r="BS32" s="33"/>
      <c r="BT32" s="33"/>
      <c r="BV32" s="33"/>
    </row>
    <row r="33" spans="1:74" ht="15" x14ac:dyDescent="0.25">
      <c r="B33" s="44" t="s">
        <v>103</v>
      </c>
      <c r="C33" s="55"/>
      <c r="D33" s="55"/>
      <c r="E33" s="55"/>
      <c r="F33" s="55"/>
      <c r="G33" s="55"/>
      <c r="H33" s="55"/>
      <c r="I33" s="55">
        <v>83.901549921229616</v>
      </c>
      <c r="J33" s="55">
        <v>84.743763933628983</v>
      </c>
      <c r="K33" s="55">
        <v>84.8043834832188</v>
      </c>
      <c r="L33" s="55">
        <v>85.045051290872891</v>
      </c>
      <c r="M33" s="55">
        <v>84.597744578656801</v>
      </c>
      <c r="N33" s="55">
        <v>84.627987477446808</v>
      </c>
      <c r="O33" s="55">
        <v>86.176132483335252</v>
      </c>
      <c r="P33" s="55">
        <v>84.366943542107165</v>
      </c>
      <c r="Q33" s="55">
        <v>85.286480924906201</v>
      </c>
      <c r="R33" s="55">
        <v>86.091285334071969</v>
      </c>
      <c r="S33" s="55">
        <v>85.618466793933976</v>
      </c>
      <c r="T33" s="55">
        <v>87.004423298267398</v>
      </c>
      <c r="U33" s="55">
        <v>87.784028603360625</v>
      </c>
      <c r="V33" s="55">
        <v>88.123396805754396</v>
      </c>
      <c r="W33" s="55">
        <v>89.141628017472271</v>
      </c>
      <c r="X33" s="56"/>
      <c r="Y33" s="47"/>
      <c r="Z33" s="47"/>
      <c r="AA33" s="48"/>
      <c r="AB33" s="32"/>
      <c r="AC33" s="32"/>
      <c r="AE33" s="63"/>
      <c r="AF33" s="70"/>
      <c r="AG33" s="35"/>
      <c r="AP33" s="54">
        <v>4519.9249999999993</v>
      </c>
      <c r="AQ33" s="57">
        <f>+AP33/AP23</f>
        <v>0.83901549921229612</v>
      </c>
      <c r="AR33" s="54">
        <v>4572.4929999999995</v>
      </c>
      <c r="AS33" s="57">
        <f>+AR33/AR23</f>
        <v>0.84743763933628979</v>
      </c>
      <c r="AT33" s="54">
        <v>4597.93</v>
      </c>
      <c r="AU33" s="57">
        <f>+AT33/AT23</f>
        <v>0.84804383483218793</v>
      </c>
      <c r="AV33" s="54">
        <v>4607.7060700000011</v>
      </c>
      <c r="AW33" s="57">
        <f>+AV33/AV23</f>
        <v>0.85045051290872886</v>
      </c>
      <c r="AX33" s="54">
        <v>4746.7159999999994</v>
      </c>
      <c r="AY33" s="57">
        <f>+AX33/AX23</f>
        <v>0.84597744578656808</v>
      </c>
      <c r="AZ33" s="54">
        <v>4905.5793059799998</v>
      </c>
      <c r="BA33" s="57">
        <f>+AZ33/AZ23</f>
        <v>0.84627987477446809</v>
      </c>
      <c r="BB33" s="58">
        <v>5473.92</v>
      </c>
      <c r="BC33" s="57">
        <f>+BB33/BB23</f>
        <v>0.86176132483335255</v>
      </c>
      <c r="BD33" s="59">
        <f>+BC33*100</f>
        <v>86.176132483335252</v>
      </c>
      <c r="BE33" s="33">
        <v>5356.4100000000008</v>
      </c>
      <c r="BF33" s="57">
        <f>+BE33/BE23</f>
        <v>0.84366943542107165</v>
      </c>
      <c r="BG33" s="59">
        <f>+BF33*100</f>
        <v>84.366943542107165</v>
      </c>
      <c r="BH33" s="33">
        <v>6188.6830000000009</v>
      </c>
      <c r="BI33" s="57">
        <f>+BH33/BH23</f>
        <v>0.85286480924906194</v>
      </c>
      <c r="BJ33" s="59">
        <f>+BI33*100</f>
        <v>85.286480924906201</v>
      </c>
      <c r="BK33" s="33">
        <v>6887.6359999999995</v>
      </c>
      <c r="BL33" s="57">
        <f>+BK33/BK23</f>
        <v>0.86091285334071965</v>
      </c>
      <c r="BM33" s="59">
        <f>+BL33*100</f>
        <v>86.091285334071969</v>
      </c>
      <c r="BN33" s="33">
        <v>6888.4620000000004</v>
      </c>
      <c r="BO33" s="57">
        <f>+BN33/BN23</f>
        <v>0.85618466793933978</v>
      </c>
      <c r="BP33" s="54">
        <f>+BO33*100</f>
        <v>85.618466793933976</v>
      </c>
      <c r="BQ33" s="33">
        <v>7777.549</v>
      </c>
      <c r="BR33" s="57">
        <f>+BQ33/BQ23</f>
        <v>0.87004423298267397</v>
      </c>
      <c r="BS33" s="54">
        <f>+BR33*100</f>
        <v>87.004423298267398</v>
      </c>
      <c r="BT33" s="33">
        <v>8677.6899999999987</v>
      </c>
      <c r="BU33" s="57">
        <f>+BT33/BT23</f>
        <v>0.8778402860336062</v>
      </c>
      <c r="BV33" s="54">
        <f>+BU33*100</f>
        <v>87.784028603360625</v>
      </c>
    </row>
    <row r="34" spans="1:74" ht="15" x14ac:dyDescent="0.25">
      <c r="B34" s="44" t="s">
        <v>104</v>
      </c>
      <c r="C34" s="55">
        <v>14.825558569841348</v>
      </c>
      <c r="D34" s="55">
        <v>12.585278630775724</v>
      </c>
      <c r="E34" s="55">
        <v>19.122841446411812</v>
      </c>
      <c r="F34" s="55">
        <v>19.842434516590679</v>
      </c>
      <c r="G34" s="55">
        <v>19.253283128974175</v>
      </c>
      <c r="H34" s="55">
        <v>17.346655514842354</v>
      </c>
      <c r="I34" s="55">
        <v>16.098450078770384</v>
      </c>
      <c r="J34" s="55">
        <v>15.25623606637102</v>
      </c>
      <c r="K34" s="55">
        <v>15.195616516781218</v>
      </c>
      <c r="L34" s="55">
        <v>14.954948709127109</v>
      </c>
      <c r="M34" s="55">
        <v>15.402255421343188</v>
      </c>
      <c r="N34" s="55">
        <v>15.372012522553193</v>
      </c>
      <c r="O34" s="55">
        <v>13.823867516664793</v>
      </c>
      <c r="P34" s="55">
        <v>15.633056457892838</v>
      </c>
      <c r="Q34" s="55">
        <v>14.713519075093867</v>
      </c>
      <c r="R34" s="55">
        <v>13.908714665928054</v>
      </c>
      <c r="S34" s="55">
        <v>14.381533206066022</v>
      </c>
      <c r="T34" s="55">
        <v>12.995576701732592</v>
      </c>
      <c r="U34" s="55">
        <v>12.215971396639381</v>
      </c>
      <c r="V34" s="55">
        <v>11.8766031942456</v>
      </c>
      <c r="W34" s="55">
        <v>10.858371982527729</v>
      </c>
      <c r="X34" s="56"/>
      <c r="Y34" s="47"/>
      <c r="Z34" s="47"/>
      <c r="AA34" s="48"/>
      <c r="AB34" s="32"/>
      <c r="AC34" s="32"/>
      <c r="AD34" s="4">
        <v>604.202</v>
      </c>
      <c r="AE34" s="63">
        <f>+AD34/AD23</f>
        <v>0.14825558569841349</v>
      </c>
      <c r="AF34" s="70">
        <v>503.81400000000002</v>
      </c>
      <c r="AG34" s="63">
        <f>+AF34/AF23</f>
        <v>0.12585278630775723</v>
      </c>
      <c r="AH34" s="54">
        <v>876.02099999999996</v>
      </c>
      <c r="AI34" s="57">
        <f>+AH34/AH23</f>
        <v>0.19122841446411812</v>
      </c>
      <c r="AJ34" s="54">
        <v>948.79199999999992</v>
      </c>
      <c r="AK34" s="57">
        <f>+AJ34/AJ23</f>
        <v>0.19842434516590679</v>
      </c>
      <c r="AL34" s="54">
        <v>985.02800000000002</v>
      </c>
      <c r="AM34" s="57">
        <f>+AL34/AL23</f>
        <v>0.19253283128974175</v>
      </c>
      <c r="AN34" s="54">
        <v>963.58</v>
      </c>
      <c r="AO34" s="57">
        <f>+AN34/AN23</f>
        <v>0.17346655514842355</v>
      </c>
      <c r="AP34" s="54">
        <v>867.25200000000007</v>
      </c>
      <c r="AQ34" s="57">
        <f>+AP34/AP23</f>
        <v>0.16098450078770385</v>
      </c>
      <c r="AR34" s="54">
        <v>823.17600000000061</v>
      </c>
      <c r="AS34" s="57">
        <f>+AR34/AR23</f>
        <v>0.15256236066371021</v>
      </c>
      <c r="AT34" s="54">
        <v>823.87700000000029</v>
      </c>
      <c r="AU34" s="57">
        <f>+AT34/AT23</f>
        <v>0.15195616516781218</v>
      </c>
      <c r="AV34" s="54">
        <v>810.25300000000038</v>
      </c>
      <c r="AW34" s="57">
        <f>+AV34/AV23</f>
        <v>0.14954948709127108</v>
      </c>
      <c r="AX34" s="54">
        <v>864.20900000000029</v>
      </c>
      <c r="AY34" s="57">
        <f>+AX34/AX23</f>
        <v>0.15402255421343189</v>
      </c>
      <c r="AZ34" s="54">
        <v>891.06014179999988</v>
      </c>
      <c r="BA34" s="57">
        <f>+AZ34/AZ23</f>
        <v>0.15372012522553194</v>
      </c>
      <c r="BB34" s="58">
        <v>878.09399999999937</v>
      </c>
      <c r="BC34" s="57">
        <f>+BB34/BB23</f>
        <v>0.13823867516664792</v>
      </c>
      <c r="BD34" s="59">
        <f>+BC34*100</f>
        <v>13.823867516664793</v>
      </c>
      <c r="BE34" s="33">
        <v>992.53399999999988</v>
      </c>
      <c r="BF34" s="57">
        <f>+BE34/BE23</f>
        <v>0.15633056457892838</v>
      </c>
      <c r="BG34" s="59">
        <f>+BF34*100</f>
        <v>15.633056457892838</v>
      </c>
      <c r="BH34" s="33">
        <v>1067.6640000000014</v>
      </c>
      <c r="BI34" s="57">
        <f>+BH34/BH23</f>
        <v>0.14713519075093867</v>
      </c>
      <c r="BJ34" s="59">
        <f>+BI34*100</f>
        <v>14.713519075093867</v>
      </c>
      <c r="BK34" s="33">
        <v>1112.7510000000013</v>
      </c>
      <c r="BL34" s="57">
        <f>+BK34/BK23</f>
        <v>0.13908714665928054</v>
      </c>
      <c r="BM34" s="59">
        <f>+BL34*100</f>
        <v>13.908714665928054</v>
      </c>
      <c r="BN34" s="33">
        <v>1157.0709999999999</v>
      </c>
      <c r="BO34" s="57">
        <f>+BN34/BN23</f>
        <v>0.14381533206066022</v>
      </c>
      <c r="BP34" s="54">
        <f>+BO34*100</f>
        <v>14.381533206066022</v>
      </c>
      <c r="BQ34" s="33">
        <v>1161.7080000000001</v>
      </c>
      <c r="BR34" s="57">
        <f>+BQ34/BQ23</f>
        <v>0.12995576701732592</v>
      </c>
      <c r="BS34" s="54">
        <f>+BR34*100</f>
        <v>12.995576701732592</v>
      </c>
      <c r="BT34" s="33">
        <v>1207.5820000000001</v>
      </c>
      <c r="BU34" s="57">
        <f>+BT34/BT23</f>
        <v>0.12215971396639363</v>
      </c>
      <c r="BV34" s="54">
        <f>+BU34*100</f>
        <v>12.215971396639363</v>
      </c>
    </row>
    <row r="35" spans="1:74" ht="15" x14ac:dyDescent="0.25">
      <c r="B35" s="50" t="s">
        <v>105</v>
      </c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1"/>
      <c r="X35" s="56"/>
      <c r="Y35" s="47"/>
      <c r="Z35" s="47"/>
      <c r="AA35" s="48"/>
      <c r="AB35" s="32"/>
      <c r="AC35" s="32"/>
      <c r="AE35" s="63"/>
      <c r="AF35" s="35"/>
      <c r="AG35" s="35"/>
      <c r="BB35" s="58"/>
      <c r="BC35" s="57"/>
      <c r="BD35" s="59"/>
      <c r="BE35" s="33"/>
      <c r="BF35" s="57"/>
      <c r="BG35" s="59"/>
      <c r="BH35" s="33"/>
      <c r="BI35" s="57"/>
      <c r="BJ35" s="59"/>
      <c r="BK35" s="33"/>
      <c r="BL35" s="57"/>
      <c r="BM35" s="59"/>
      <c r="BN35" s="33"/>
      <c r="BO35" s="57"/>
      <c r="BP35" s="54"/>
      <c r="BQ35" s="33"/>
      <c r="BR35" s="57"/>
      <c r="BS35" s="54"/>
      <c r="BT35" s="33"/>
      <c r="BU35" s="57"/>
      <c r="BV35" s="54"/>
    </row>
    <row r="36" spans="1:74" ht="15" x14ac:dyDescent="0.25">
      <c r="B36" s="44" t="s">
        <v>106</v>
      </c>
      <c r="C36" s="55">
        <v>78.406677319178826</v>
      </c>
      <c r="D36" s="55">
        <v>71.929963047071581</v>
      </c>
      <c r="E36" s="55">
        <v>83.536719668702517</v>
      </c>
      <c r="F36" s="55">
        <v>84.089529284045554</v>
      </c>
      <c r="G36" s="55">
        <v>84.397915153486309</v>
      </c>
      <c r="H36" s="55">
        <v>85.977811086031906</v>
      </c>
      <c r="I36" s="55">
        <v>86.168767055546908</v>
      </c>
      <c r="J36" s="55">
        <v>86.325291636681186</v>
      </c>
      <c r="K36" s="55">
        <v>86.436016626929003</v>
      </c>
      <c r="L36" s="55">
        <v>85.960691282963111</v>
      </c>
      <c r="M36" s="55">
        <v>85.523563405320857</v>
      </c>
      <c r="N36" s="55">
        <v>86</v>
      </c>
      <c r="O36" s="55">
        <v>87.103948448476402</v>
      </c>
      <c r="P36" s="55">
        <v>85.74994518773515</v>
      </c>
      <c r="Q36" s="55">
        <v>86.082005174228854</v>
      </c>
      <c r="R36" s="55">
        <v>85.933817951556591</v>
      </c>
      <c r="S36" s="55">
        <v>85.361914493421381</v>
      </c>
      <c r="T36" s="55">
        <v>86.751113655195269</v>
      </c>
      <c r="U36" s="55">
        <v>87.81165556193092</v>
      </c>
      <c r="V36" s="55">
        <v>88.445783576007102</v>
      </c>
      <c r="W36" s="55">
        <v>89.309008265611496</v>
      </c>
      <c r="X36" s="56"/>
      <c r="Y36" s="47"/>
      <c r="Z36" s="47"/>
      <c r="AA36" s="48"/>
      <c r="AB36" s="32"/>
      <c r="AC36" s="32"/>
      <c r="AD36" s="4">
        <v>3195.3919999999998</v>
      </c>
      <c r="AE36" s="57">
        <f>+AD36/AD23</f>
        <v>0.7840667731917883</v>
      </c>
      <c r="AF36" s="4">
        <v>2879.5010000000002</v>
      </c>
      <c r="AG36" s="57">
        <f>+AF36/AF23</f>
        <v>0.71929963047071588</v>
      </c>
      <c r="AH36" s="4">
        <v>3826.8329999999996</v>
      </c>
      <c r="AI36" s="57">
        <f>+AH36/AH23</f>
        <v>0.83536719668702519</v>
      </c>
      <c r="AJ36" s="4">
        <v>4020.8509999999997</v>
      </c>
      <c r="AK36" s="57">
        <f>+AJ36/AJ23</f>
        <v>0.8408952928404555</v>
      </c>
      <c r="AL36" s="4">
        <v>4317.9289999999992</v>
      </c>
      <c r="AM36" s="57">
        <f>+AL36/AL23</f>
        <v>0.84397915153486314</v>
      </c>
      <c r="AN36" s="4">
        <v>4775.9350000000004</v>
      </c>
      <c r="AO36" s="57">
        <f>+AN36/AN23</f>
        <v>0.85977811086031908</v>
      </c>
      <c r="AP36" s="4">
        <v>4642.0639999999994</v>
      </c>
      <c r="AQ36" s="57">
        <f>+AP36/AP23</f>
        <v>0.86168767055546902</v>
      </c>
      <c r="AR36" s="4">
        <v>4657.8269999999993</v>
      </c>
      <c r="AS36" s="57">
        <f>+AR36/AR23</f>
        <v>0.8632529163668119</v>
      </c>
      <c r="AT36" s="4">
        <v>4686.3940000000002</v>
      </c>
      <c r="AU36" s="57">
        <f>+AT36/AT23</f>
        <v>0.86436016626929002</v>
      </c>
      <c r="AV36" s="54">
        <v>4657.3150700000006</v>
      </c>
      <c r="AW36" s="57">
        <f>+AV36/AV23</f>
        <v>0.85960691282963109</v>
      </c>
      <c r="AX36" s="54">
        <v>4798.6629999999996</v>
      </c>
      <c r="AY36" s="57">
        <f>+AX36/AX23</f>
        <v>0.85523563405320857</v>
      </c>
      <c r="AZ36" s="54">
        <v>4955.0986219799997</v>
      </c>
      <c r="BA36" s="57">
        <f>+AZ36/AZ23</f>
        <v>0.85482263760215527</v>
      </c>
      <c r="BB36" s="58">
        <v>5532.8550000000005</v>
      </c>
      <c r="BC36" s="57">
        <f>+BB36/BB23</f>
        <v>0.87103948448476398</v>
      </c>
      <c r="BD36" s="59">
        <f>+BC36*100</f>
        <v>87.103948448476402</v>
      </c>
      <c r="BE36" s="33">
        <v>5444.2159999999994</v>
      </c>
      <c r="BF36" s="57">
        <f>+BE36/BE23</f>
        <v>0.85749945187735144</v>
      </c>
      <c r="BG36" s="59">
        <f>+BF36*100</f>
        <v>85.74994518773515</v>
      </c>
      <c r="BH36" s="33">
        <v>6246.4089999999978</v>
      </c>
      <c r="BI36" s="57">
        <f>+BH36/BH23</f>
        <v>0.86082005174228848</v>
      </c>
      <c r="BJ36" s="59">
        <f>+BI36*100</f>
        <v>86.082005174228854</v>
      </c>
      <c r="BK36" s="33">
        <v>6875.0379999999996</v>
      </c>
      <c r="BL36" s="57">
        <f>+BK36/BK23</f>
        <v>0.8593381795155659</v>
      </c>
      <c r="BM36" s="59">
        <f>+BL36*100</f>
        <v>85.933817951556591</v>
      </c>
      <c r="BN36" s="33">
        <v>6867.8209999999999</v>
      </c>
      <c r="BO36" s="57">
        <f>+BN36/BN23</f>
        <v>0.85361914493421376</v>
      </c>
      <c r="BP36" s="54">
        <f>+BO36*100</f>
        <v>85.361914493421381</v>
      </c>
      <c r="BQ36" s="33">
        <v>7754.9049999999997</v>
      </c>
      <c r="BR36" s="57">
        <f>BQ36/BQ23</f>
        <v>0.86751113655195267</v>
      </c>
      <c r="BS36" s="54">
        <f>+BR36*100</f>
        <v>86.751113655195269</v>
      </c>
      <c r="BT36" s="33">
        <v>8680.4209999999985</v>
      </c>
      <c r="BU36" s="57">
        <f>+BT36/BT23</f>
        <v>0.87811655561930901</v>
      </c>
      <c r="BV36" s="54">
        <f>+BU36*100</f>
        <v>87.811655561930905</v>
      </c>
    </row>
    <row r="37" spans="1:74" ht="15" x14ac:dyDescent="0.25">
      <c r="B37" s="44" t="s">
        <v>107</v>
      </c>
      <c r="C37" s="55">
        <v>21.593322680821156</v>
      </c>
      <c r="D37" s="55">
        <v>28.070036952928419</v>
      </c>
      <c r="E37" s="55">
        <v>16.463280331297465</v>
      </c>
      <c r="F37" s="55">
        <v>15.911516384263031</v>
      </c>
      <c r="G37" s="55">
        <v>15.602084846513673</v>
      </c>
      <c r="H37" s="55">
        <v>14.022188913968092</v>
      </c>
      <c r="I37" s="55">
        <v>13.831232944453099</v>
      </c>
      <c r="J37" s="55">
        <v>13.674708363318814</v>
      </c>
      <c r="K37" s="55">
        <v>13.563983373071014</v>
      </c>
      <c r="L37" s="55">
        <v>14.039308717036878</v>
      </c>
      <c r="M37" s="55">
        <v>14.476436594679134</v>
      </c>
      <c r="N37" s="55">
        <v>14</v>
      </c>
      <c r="O37" s="55">
        <v>12.896051551523657</v>
      </c>
      <c r="P37" s="55">
        <v>14.250054812264842</v>
      </c>
      <c r="Q37" s="55">
        <v>13.917994825771164</v>
      </c>
      <c r="R37" s="55">
        <v>14.066182048443412</v>
      </c>
      <c r="S37" s="55">
        <v>14.638085506578619</v>
      </c>
      <c r="T37" s="55">
        <v>13.248886344804719</v>
      </c>
      <c r="U37" s="55">
        <v>12.188344438069077</v>
      </c>
      <c r="V37" s="55">
        <v>11.5542164239929</v>
      </c>
      <c r="W37" s="55">
        <v>10.690991734388524</v>
      </c>
      <c r="X37" s="56"/>
      <c r="Y37" s="47"/>
      <c r="Z37" s="47"/>
      <c r="AA37" s="48"/>
      <c r="AB37" s="32"/>
      <c r="AC37" s="32"/>
      <c r="AD37" s="4">
        <v>880.01599999999996</v>
      </c>
      <c r="AE37" s="57">
        <f>+AD37/AD23</f>
        <v>0.21593322680821156</v>
      </c>
      <c r="AF37" s="4">
        <v>1123.7</v>
      </c>
      <c r="AG37" s="57">
        <f>+AF37/AF23</f>
        <v>0.28070036952928418</v>
      </c>
      <c r="AH37" s="4">
        <v>754.18599999999992</v>
      </c>
      <c r="AI37" s="57">
        <f>+AH37/AH23</f>
        <v>0.16463280331297467</v>
      </c>
      <c r="AJ37" s="4">
        <v>760.83</v>
      </c>
      <c r="AK37" s="57">
        <f>+AJ37/AJ23</f>
        <v>0.1591151638426303</v>
      </c>
      <c r="AL37" s="4">
        <v>798.22699999999998</v>
      </c>
      <c r="AM37" s="57">
        <f>+AL37/AL23</f>
        <v>0.15602084846513672</v>
      </c>
      <c r="AN37" s="4">
        <v>778.91100000000006</v>
      </c>
      <c r="AO37" s="57">
        <f>+AN37/AN23</f>
        <v>0.14022188913968092</v>
      </c>
      <c r="AP37" s="4">
        <v>745.11300000000006</v>
      </c>
      <c r="AQ37" s="57">
        <f>+AP37/AP23</f>
        <v>0.13831232944453098</v>
      </c>
      <c r="AR37" s="4">
        <v>737.84200000000055</v>
      </c>
      <c r="AS37" s="57">
        <f>+AR37/AR23</f>
        <v>0.13674708363318813</v>
      </c>
      <c r="AT37" s="4">
        <v>735.41300000000035</v>
      </c>
      <c r="AU37" s="57">
        <f>+AT37/AT23</f>
        <v>0.13563983373071015</v>
      </c>
      <c r="AV37" s="54">
        <v>760.64400000000035</v>
      </c>
      <c r="AW37" s="57">
        <f>+AV37/AV23</f>
        <v>0.14039308717036877</v>
      </c>
      <c r="AX37" s="54">
        <v>812.26200000000028</v>
      </c>
      <c r="AY37" s="57">
        <f>+AX37/AX23</f>
        <v>0.14476436594679135</v>
      </c>
      <c r="AZ37" s="54">
        <v>841.54082579999999</v>
      </c>
      <c r="BA37" s="57">
        <f>+AZ37/AZ23</f>
        <v>0.14517736239784482</v>
      </c>
      <c r="BB37" s="58">
        <v>819.15899999999942</v>
      </c>
      <c r="BC37" s="57">
        <f>+BB37/BB23</f>
        <v>0.12896051551523657</v>
      </c>
      <c r="BD37" s="59">
        <f>+BC37*100</f>
        <v>12.896051551523657</v>
      </c>
      <c r="BE37" s="33">
        <v>904.72799999999995</v>
      </c>
      <c r="BF37" s="57">
        <f>+BE37/BE23</f>
        <v>0.14250054812264842</v>
      </c>
      <c r="BG37" s="59">
        <f>+BF37*100</f>
        <v>14.250054812264842</v>
      </c>
      <c r="BH37" s="33">
        <v>1009.9380000000007</v>
      </c>
      <c r="BI37" s="57">
        <f>+BH37/BH23</f>
        <v>0.13917994825771163</v>
      </c>
      <c r="BJ37" s="59">
        <f>+BI37*100</f>
        <v>13.917994825771164</v>
      </c>
      <c r="BK37" s="33">
        <v>1125.3490000000004</v>
      </c>
      <c r="BL37" s="57">
        <f>+BK37/BK23</f>
        <v>0.14066182048443412</v>
      </c>
      <c r="BM37" s="59">
        <f>+BL37*100</f>
        <v>14.066182048443412</v>
      </c>
      <c r="BN37" s="33">
        <v>1177.712</v>
      </c>
      <c r="BO37" s="57">
        <f>+BN37/BN23</f>
        <v>0.14638085506578619</v>
      </c>
      <c r="BP37" s="54">
        <f>+BO37*100</f>
        <v>14.638085506578619</v>
      </c>
      <c r="BQ37" s="33">
        <v>1184.3520000000001</v>
      </c>
      <c r="BR37" s="57">
        <f>+BQ37/BQ23</f>
        <v>0.13248886344804719</v>
      </c>
      <c r="BS37" s="54">
        <f>+BR37*100</f>
        <v>13.248886344804719</v>
      </c>
      <c r="BT37" s="33">
        <v>1204.8510000000001</v>
      </c>
      <c r="BU37" s="57">
        <f>+BT37/BT23</f>
        <v>0.12188344438069079</v>
      </c>
      <c r="BV37" s="54">
        <f>+BU37*100</f>
        <v>12.188344438069079</v>
      </c>
    </row>
    <row r="38" spans="1:74" ht="15.75" thickBot="1" x14ac:dyDescent="0.3">
      <c r="B38" s="44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6"/>
      <c r="Y38" s="47"/>
      <c r="Z38" s="47"/>
      <c r="AA38" s="48"/>
      <c r="AB38" s="32"/>
      <c r="AC38" s="32"/>
      <c r="AE38" s="57"/>
      <c r="BB38" s="58"/>
      <c r="BC38" s="57"/>
      <c r="BD38" s="59"/>
      <c r="BE38" s="33"/>
      <c r="BH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</row>
    <row r="39" spans="1:74" ht="15" x14ac:dyDescent="0.25">
      <c r="A39" s="35"/>
      <c r="B39" s="1451" t="s">
        <v>110</v>
      </c>
      <c r="C39" s="1452">
        <v>2052.1</v>
      </c>
      <c r="D39" s="1452">
        <v>2024.93</v>
      </c>
      <c r="E39" s="1452">
        <v>2400.9</v>
      </c>
      <c r="F39" s="1452">
        <v>2520.6</v>
      </c>
      <c r="G39" s="1452">
        <v>2580.3000000000002</v>
      </c>
      <c r="H39" s="1452">
        <v>2620.6999999999998</v>
      </c>
      <c r="I39" s="1452">
        <v>2792.22</v>
      </c>
      <c r="J39" s="1452">
        <v>2908.2</v>
      </c>
      <c r="K39" s="1452">
        <v>2964.7548999999999</v>
      </c>
      <c r="L39" s="1452">
        <v>3130.8466199999993</v>
      </c>
      <c r="M39" s="1452">
        <v>3305.0140500000002</v>
      </c>
      <c r="N39" s="1452">
        <v>3580</v>
      </c>
      <c r="O39" s="1452">
        <v>3965.6038100000005</v>
      </c>
      <c r="P39" s="1452">
        <v>4198.6589700000004</v>
      </c>
      <c r="Q39" s="1452">
        <v>4322.3748300000007</v>
      </c>
      <c r="R39" s="1452">
        <v>4578.943119999999</v>
      </c>
      <c r="S39" s="1452">
        <v>4961.1929899999996</v>
      </c>
      <c r="T39" s="1452">
        <v>5290.8930899999987</v>
      </c>
      <c r="U39" s="1452">
        <v>5575.2435699999996</v>
      </c>
      <c r="V39" s="1452">
        <v>5737.2723200000019</v>
      </c>
      <c r="W39" s="1453">
        <v>6274.5590500000017</v>
      </c>
      <c r="X39" s="1446">
        <f>((W39/V39)-1)*100</f>
        <v>9.3648462201633809</v>
      </c>
      <c r="Y39" s="1447">
        <f>((W39/R39)^(1/5))-1</f>
        <v>6.5034294436918216E-2</v>
      </c>
      <c r="Z39" s="1448">
        <f>((W39/M39)-1)*100</f>
        <v>89.849693679819651</v>
      </c>
      <c r="AA39" s="1449">
        <f>((W39/M39)^(1/10))-1</f>
        <v>6.6205675732269986E-2</v>
      </c>
      <c r="AB39" s="32"/>
      <c r="AC39" s="32"/>
      <c r="AE39" s="57"/>
      <c r="BB39" s="58"/>
      <c r="BC39" s="57"/>
      <c r="BD39" s="59"/>
      <c r="BE39" s="33"/>
      <c r="BH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</row>
    <row r="40" spans="1:74" ht="15.75" thickBot="1" x14ac:dyDescent="0.3">
      <c r="B40" s="44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6"/>
      <c r="Y40" s="47"/>
      <c r="Z40" s="47"/>
      <c r="AA40" s="48"/>
      <c r="AB40" s="32"/>
      <c r="AC40" s="32"/>
      <c r="AE40" s="57"/>
      <c r="BB40" s="58"/>
      <c r="BC40" s="57"/>
      <c r="BD40" s="59"/>
      <c r="BE40" s="33"/>
      <c r="BH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</row>
    <row r="41" spans="1:74" ht="15" x14ac:dyDescent="0.25">
      <c r="B41" s="1451" t="s">
        <v>111</v>
      </c>
      <c r="C41" s="1452">
        <v>16880.114601000001</v>
      </c>
      <c r="D41" s="1452">
        <v>17279.812292999999</v>
      </c>
      <c r="E41" s="1452">
        <v>17953.407575000001</v>
      </c>
      <c r="F41" s="1452">
        <v>18582.538846000003</v>
      </c>
      <c r="G41" s="1452">
        <v>19049.617396999998</v>
      </c>
      <c r="H41" s="1452">
        <v>19922.697338000002</v>
      </c>
      <c r="I41" s="1452">
        <v>20785.725534999998</v>
      </c>
      <c r="J41" s="1452">
        <v>21982.323172000008</v>
      </c>
      <c r="K41" s="1452">
        <v>22923.353873999997</v>
      </c>
      <c r="L41" s="1452">
        <v>24267.012071000005</v>
      </c>
      <c r="M41" s="1452">
        <v>25509.736815000004</v>
      </c>
      <c r="N41" s="1452">
        <v>27369.828727579996</v>
      </c>
      <c r="O41" s="1452">
        <v>29943.047141999996</v>
      </c>
      <c r="P41" s="1452">
        <v>32463.106282999997</v>
      </c>
      <c r="Q41" s="1452">
        <v>32944.735821000009</v>
      </c>
      <c r="R41" s="1452">
        <v>35908.007941999997</v>
      </c>
      <c r="S41" s="1452">
        <v>38803.307754008907</v>
      </c>
      <c r="T41" s="1452">
        <v>41020.027595562482</v>
      </c>
      <c r="U41" s="1452">
        <v>43330.175490485381</v>
      </c>
      <c r="V41" s="1452">
        <v>45549.819572254761</v>
      </c>
      <c r="W41" s="1453">
        <v>48066.217187897979</v>
      </c>
      <c r="X41" s="1446">
        <f>((W41/V41)-1)*100</f>
        <v>5.5244952433928018</v>
      </c>
      <c r="Y41" s="1447">
        <f>((W41/R41)^(1/5))-1</f>
        <v>6.0058240394471607E-2</v>
      </c>
      <c r="Z41" s="1448">
        <f>((W41/M41)-1)*100</f>
        <v>88.423022693180116</v>
      </c>
      <c r="AA41" s="1449">
        <f>((W41/M41)^(1/10))-1</f>
        <v>6.5401727527485187E-2</v>
      </c>
      <c r="AB41" s="32"/>
      <c r="AC41" s="32"/>
      <c r="AD41" s="43">
        <v>16880.099999999999</v>
      </c>
      <c r="AF41" s="43">
        <v>17279.808000000001</v>
      </c>
      <c r="AH41" s="43">
        <v>17953.41</v>
      </c>
      <c r="AJ41" s="43">
        <v>18582.5</v>
      </c>
      <c r="AL41" s="43">
        <v>19049.599999999999</v>
      </c>
      <c r="AN41" s="43">
        <v>19922.514233000005</v>
      </c>
      <c r="AP41" s="43">
        <v>20785.5</v>
      </c>
      <c r="AR41" s="43">
        <v>21982.296772000005</v>
      </c>
      <c r="AT41" s="43">
        <v>22923.327473999998</v>
      </c>
      <c r="AV41" s="43">
        <v>24267.012071000008</v>
      </c>
      <c r="AX41" s="43">
        <v>25509.736815000004</v>
      </c>
      <c r="AZ41" s="43">
        <v>26713.006349770003</v>
      </c>
      <c r="BB41" s="72">
        <v>29943.047141999996</v>
      </c>
      <c r="BC41" s="57"/>
      <c r="BD41" s="59"/>
      <c r="BE41" s="65">
        <v>32463.106282999997</v>
      </c>
      <c r="BF41" s="73"/>
      <c r="BG41" s="65"/>
      <c r="BH41" s="65">
        <v>32944.735821000009</v>
      </c>
      <c r="BI41" s="73"/>
      <c r="BJ41" s="65"/>
      <c r="BK41" s="65">
        <v>35908.007941999997</v>
      </c>
      <c r="BL41" s="68"/>
      <c r="BM41" s="69"/>
      <c r="BN41" s="65">
        <v>38806.461244008911</v>
      </c>
      <c r="BO41" s="68"/>
      <c r="BP41" s="69"/>
      <c r="BQ41" s="65">
        <v>41035.983073207899</v>
      </c>
      <c r="BR41" s="68"/>
      <c r="BS41" s="69"/>
      <c r="BT41" s="65">
        <v>43330.17796048538</v>
      </c>
      <c r="BU41" s="68"/>
      <c r="BV41" s="69"/>
    </row>
    <row r="42" spans="1:74" ht="15" x14ac:dyDescent="0.25">
      <c r="B42" s="44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6"/>
      <c r="Y42" s="74"/>
      <c r="Z42" s="74"/>
      <c r="AA42" s="75"/>
      <c r="AB42" s="32"/>
      <c r="AC42" s="32"/>
      <c r="BB42" s="58"/>
      <c r="BC42" s="57"/>
      <c r="BD42" s="59"/>
      <c r="BE42" s="33"/>
      <c r="BH42" s="33"/>
      <c r="BK42" s="33"/>
      <c r="BL42" s="76"/>
      <c r="BM42" s="33"/>
      <c r="BN42" s="33"/>
      <c r="BO42" s="76"/>
      <c r="BP42" s="33"/>
      <c r="BQ42" s="33"/>
      <c r="BR42" s="76"/>
      <c r="BS42" s="33"/>
      <c r="BT42" s="33"/>
      <c r="BU42" s="76"/>
      <c r="BV42" s="33"/>
    </row>
    <row r="43" spans="1:74" ht="15" x14ac:dyDescent="0.25">
      <c r="B43" s="50" t="s">
        <v>94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2"/>
      <c r="X43" s="46"/>
      <c r="Y43" s="47"/>
      <c r="Z43" s="47"/>
      <c r="AA43" s="48"/>
      <c r="AB43" s="32"/>
      <c r="AC43" s="32"/>
      <c r="BB43" s="58"/>
      <c r="BC43" s="57"/>
      <c r="BD43" s="59"/>
      <c r="BE43" s="33"/>
      <c r="BH43" s="33"/>
      <c r="BK43" s="33"/>
      <c r="BL43" s="76"/>
      <c r="BM43" s="33"/>
      <c r="BN43" s="33"/>
      <c r="BO43" s="76"/>
      <c r="BP43" s="33"/>
      <c r="BQ43" s="33"/>
      <c r="BR43" s="76"/>
      <c r="BS43" s="33"/>
      <c r="BT43" s="33"/>
      <c r="BU43" s="76"/>
      <c r="BV43" s="33"/>
    </row>
    <row r="44" spans="1:74" ht="15" x14ac:dyDescent="0.25">
      <c r="B44" s="44" t="s">
        <v>95</v>
      </c>
      <c r="C44" s="55">
        <v>76.644095710333488</v>
      </c>
      <c r="D44" s="55">
        <v>77.105023389148769</v>
      </c>
      <c r="E44" s="55">
        <v>73.604568714244266</v>
      </c>
      <c r="F44" s="55">
        <v>74.312928830889277</v>
      </c>
      <c r="G44" s="55">
        <v>76.332311439610294</v>
      </c>
      <c r="H44" s="55">
        <v>81.193909924310688</v>
      </c>
      <c r="I44" s="55">
        <v>84.745134829568684</v>
      </c>
      <c r="J44" s="55">
        <v>82.066619799158786</v>
      </c>
      <c r="K44" s="55">
        <v>80.850918707248042</v>
      </c>
      <c r="L44" s="55">
        <v>72.218775470686992</v>
      </c>
      <c r="M44" s="55">
        <v>70.471104685914796</v>
      </c>
      <c r="N44" s="55">
        <v>71</v>
      </c>
      <c r="O44" s="55">
        <v>65.286548584361171</v>
      </c>
      <c r="P44" s="55">
        <v>58.71162661652307</v>
      </c>
      <c r="Q44" s="55">
        <v>60.415650355018833</v>
      </c>
      <c r="R44" s="55">
        <v>55.843056828407121</v>
      </c>
      <c r="S44" s="55">
        <v>55.550869689550332</v>
      </c>
      <c r="T44" s="55">
        <v>53.689314586895975</v>
      </c>
      <c r="U44" s="55">
        <v>51.510436542967661</v>
      </c>
      <c r="V44" s="55">
        <v>48.761245810562002</v>
      </c>
      <c r="W44" s="77">
        <v>48.476027917557779</v>
      </c>
      <c r="X44" s="56"/>
      <c r="Y44" s="47"/>
      <c r="Z44" s="47"/>
      <c r="AA44" s="48"/>
      <c r="AB44" s="32"/>
      <c r="AC44" s="32"/>
      <c r="AD44" s="4">
        <v>12937.6</v>
      </c>
      <c r="AE44" s="57">
        <f>+AD44/AD41</f>
        <v>0.76644095710333482</v>
      </c>
      <c r="AF44" s="54">
        <v>13323.6</v>
      </c>
      <c r="AG44" s="57">
        <f>+AF44/AF41</f>
        <v>0.77105023389148764</v>
      </c>
      <c r="AH44" s="54">
        <v>13214.53</v>
      </c>
      <c r="AI44" s="57">
        <f>+AH44/AH41</f>
        <v>0.73604568714244267</v>
      </c>
      <c r="AJ44" s="54">
        <v>13809.2</v>
      </c>
      <c r="AK44" s="57">
        <f>+AJ44/AJ41</f>
        <v>0.7431292883088928</v>
      </c>
      <c r="AL44" s="54">
        <v>14541</v>
      </c>
      <c r="AM44" s="57">
        <f>+AL44/AL41</f>
        <v>0.7633231143961029</v>
      </c>
      <c r="AN44" s="54">
        <v>16175.868261000001</v>
      </c>
      <c r="AO44" s="57">
        <f>+AN44/AN41</f>
        <v>0.81193909924310692</v>
      </c>
      <c r="AP44" s="54">
        <v>17614.7</v>
      </c>
      <c r="AQ44" s="57">
        <f>+AP44/AP41</f>
        <v>0.84745134829568691</v>
      </c>
      <c r="AR44" s="54">
        <v>18040.127915000001</v>
      </c>
      <c r="AS44" s="57">
        <f>+AR44/AR41</f>
        <v>0.82066619799158791</v>
      </c>
      <c r="AT44" s="54">
        <v>18533.720860999994</v>
      </c>
      <c r="AU44" s="57">
        <f>+AT44/AT41</f>
        <v>0.80850918707248043</v>
      </c>
      <c r="AV44" s="54">
        <v>17525.338961000005</v>
      </c>
      <c r="AW44" s="57">
        <f>+AV44/AV41</f>
        <v>0.72218775470686991</v>
      </c>
      <c r="AX44" s="54">
        <v>17976.993336</v>
      </c>
      <c r="AY44" s="57">
        <f>+AX44/AX41</f>
        <v>0.70471104685914798</v>
      </c>
      <c r="AZ44" s="54">
        <v>18419.197389629997</v>
      </c>
      <c r="BA44" s="57">
        <f>+AZ44/AZ41</f>
        <v>0.68952169398142582</v>
      </c>
      <c r="BB44" s="58">
        <v>19548.782019999995</v>
      </c>
      <c r="BC44" s="57">
        <f>+BB44/BB41</f>
        <v>0.6528654858436117</v>
      </c>
      <c r="BD44" s="59">
        <f>+BC44*100</f>
        <v>65.286548584361171</v>
      </c>
      <c r="BE44" s="33">
        <v>19059.617749000001</v>
      </c>
      <c r="BF44" s="57">
        <f>+BE44/BE41</f>
        <v>0.58711626616523072</v>
      </c>
      <c r="BG44" s="59">
        <f>+BF44*100</f>
        <v>58.71162661652307</v>
      </c>
      <c r="BH44" s="33">
        <v>19903.776404000011</v>
      </c>
      <c r="BI44" s="57">
        <f>+BH44/BH41</f>
        <v>0.60415650355018835</v>
      </c>
      <c r="BJ44" s="59">
        <f>+BI44*100</f>
        <v>60.415650355018833</v>
      </c>
      <c r="BK44" s="33">
        <v>20052.129281000001</v>
      </c>
      <c r="BL44" s="57">
        <f>+BK44/BK41</f>
        <v>0.55843056828407123</v>
      </c>
      <c r="BM44" s="59">
        <f>+BL44*100</f>
        <v>55.843056828407121</v>
      </c>
      <c r="BN44" s="33">
        <v>21557.326716785243</v>
      </c>
      <c r="BO44" s="57">
        <f>+BN44/BN41</f>
        <v>0.55550869689550331</v>
      </c>
      <c r="BP44" s="59">
        <f>+BO44*100</f>
        <v>55.550869689550332</v>
      </c>
      <c r="BQ44" s="33">
        <v>22031.93804599997</v>
      </c>
      <c r="BR44" s="57">
        <f>+BQ44/BQ41</f>
        <v>0.53689314586895975</v>
      </c>
      <c r="BS44" s="59">
        <f>+BR44*100</f>
        <v>53.689314586895975</v>
      </c>
      <c r="BT44" s="33">
        <v>22319.562549983006</v>
      </c>
      <c r="BU44" s="57">
        <f>+BT44/BT41</f>
        <v>0.5151043360665899</v>
      </c>
      <c r="BV44" s="59">
        <f>+BU44*100</f>
        <v>51.510433606658992</v>
      </c>
    </row>
    <row r="45" spans="1:74" ht="15" x14ac:dyDescent="0.25">
      <c r="B45" s="44" t="s">
        <v>96</v>
      </c>
      <c r="C45" s="55">
        <v>23.355904289666533</v>
      </c>
      <c r="D45" s="55">
        <v>22.892615473505263</v>
      </c>
      <c r="E45" s="55">
        <v>26.392312101155156</v>
      </c>
      <c r="F45" s="55">
        <v>25.684380465491728</v>
      </c>
      <c r="G45" s="55">
        <v>23.664538887955654</v>
      </c>
      <c r="H45" s="55">
        <v>18.801845129543892</v>
      </c>
      <c r="I45" s="55">
        <v>15.249091915036924</v>
      </c>
      <c r="J45" s="55">
        <v>17.927921262621748</v>
      </c>
      <c r="K45" s="55">
        <v>19.143846450640307</v>
      </c>
      <c r="L45" s="55">
        <v>27.776170755093037</v>
      </c>
      <c r="M45" s="55">
        <v>29.524087738025539</v>
      </c>
      <c r="N45" s="55">
        <v>29</v>
      </c>
      <c r="O45" s="55">
        <v>34.709355640101407</v>
      </c>
      <c r="P45" s="55">
        <v>41.284595556459067</v>
      </c>
      <c r="Q45" s="55">
        <v>39.580627047214207</v>
      </c>
      <c r="R45" s="55">
        <v>44.153527777450222</v>
      </c>
      <c r="S45" s="55">
        <v>44.445970011982133</v>
      </c>
      <c r="T45" s="55">
        <v>46.162256199914872</v>
      </c>
      <c r="U45" s="55">
        <v>48.032251023475482</v>
      </c>
      <c r="V45" s="55">
        <v>50.235799054132301</v>
      </c>
      <c r="W45" s="77">
        <v>49.791354146275204</v>
      </c>
      <c r="X45" s="56"/>
      <c r="Y45" s="47"/>
      <c r="Z45" s="47"/>
      <c r="AA45" s="48"/>
      <c r="AB45" s="32"/>
      <c r="AC45" s="32"/>
      <c r="AD45" s="4">
        <v>3942.5</v>
      </c>
      <c r="AE45" s="57">
        <f>+AD45/AD41</f>
        <v>0.23355904289666532</v>
      </c>
      <c r="AF45" s="54">
        <v>3955.8</v>
      </c>
      <c r="AG45" s="57">
        <f>+AF45/AF41</f>
        <v>0.22892615473505262</v>
      </c>
      <c r="AH45" s="54">
        <v>4738.32</v>
      </c>
      <c r="AI45" s="57">
        <f>+AH45/AH41</f>
        <v>0.26392312101155158</v>
      </c>
      <c r="AJ45" s="54">
        <v>4772.8</v>
      </c>
      <c r="AK45" s="57">
        <f>+AJ45/AJ41</f>
        <v>0.2568438046549173</v>
      </c>
      <c r="AL45" s="54">
        <v>4508</v>
      </c>
      <c r="AM45" s="57">
        <f>+AL45/AL41</f>
        <v>0.23664538887955655</v>
      </c>
      <c r="AN45" s="54">
        <v>3745.8002720000004</v>
      </c>
      <c r="AO45" s="57">
        <f>+AN45/AN41</f>
        <v>0.18801845129543893</v>
      </c>
      <c r="AP45" s="54">
        <v>3169.6</v>
      </c>
      <c r="AQ45" s="57">
        <f>+AP45/AP41</f>
        <v>0.15249091915036925</v>
      </c>
      <c r="AR45" s="54">
        <v>3940.9688570000035</v>
      </c>
      <c r="AS45" s="57">
        <f>+AR45/AR41</f>
        <v>0.17927921262621749</v>
      </c>
      <c r="AT45" s="54">
        <v>4388.4066130000028</v>
      </c>
      <c r="AU45" s="57">
        <f>+AT45/AT41</f>
        <v>0.19143846450640306</v>
      </c>
      <c r="AV45" s="54">
        <v>6740.4467100000011</v>
      </c>
      <c r="AW45" s="57">
        <f>+AV45/AV41</f>
        <v>0.27776170755093038</v>
      </c>
      <c r="AX45" s="54">
        <v>7531.5170790000029</v>
      </c>
      <c r="AY45" s="57">
        <f>+AX45/AX41</f>
        <v>0.2952408773802554</v>
      </c>
      <c r="AZ45" s="54">
        <v>8292.5825601400047</v>
      </c>
      <c r="BA45" s="57">
        <f>+AZ45/AZ41</f>
        <v>0.31043239579851345</v>
      </c>
      <c r="BB45" s="58">
        <v>10393.038721999999</v>
      </c>
      <c r="BC45" s="57">
        <f>+BB45/BB41</f>
        <v>0.34709355640101408</v>
      </c>
      <c r="BD45" s="59">
        <f>+BC45*100</f>
        <v>34.709355640101407</v>
      </c>
      <c r="BE45" s="33">
        <v>13402.262134000001</v>
      </c>
      <c r="BF45" s="57">
        <f>+BE45/BE41</f>
        <v>0.41284595556459064</v>
      </c>
      <c r="BG45" s="59">
        <f>+BF45*100</f>
        <v>41.284595556459067</v>
      </c>
      <c r="BH45" s="33">
        <v>13039.733016999997</v>
      </c>
      <c r="BI45" s="57">
        <f>+BH45/BH41</f>
        <v>0.39580627047214206</v>
      </c>
      <c r="BJ45" s="59">
        <f>+BI45*100</f>
        <v>39.580627047214207</v>
      </c>
      <c r="BK45" s="33">
        <v>15854.652260999999</v>
      </c>
      <c r="BL45" s="57">
        <f>+BK45/BK41</f>
        <v>0.44153527777450219</v>
      </c>
      <c r="BM45" s="59">
        <f>+BL45*100</f>
        <v>44.153527777450222</v>
      </c>
      <c r="BN45" s="33">
        <v>17247.908127223669</v>
      </c>
      <c r="BO45" s="57">
        <f>+BN45/BN41</f>
        <v>0.44445970011982133</v>
      </c>
      <c r="BP45" s="59">
        <f>+BO45*100</f>
        <v>44.445970011982133</v>
      </c>
      <c r="BQ45" s="33">
        <v>18943.135640407931</v>
      </c>
      <c r="BR45" s="57">
        <f>+BQ45/BQ41</f>
        <v>0.4616225619991487</v>
      </c>
      <c r="BS45" s="59">
        <f>+BR45*100</f>
        <v>46.162256199914872</v>
      </c>
      <c r="BT45" s="33">
        <v>20812.461130502368</v>
      </c>
      <c r="BU45" s="57">
        <f>+BT45/BT41</f>
        <v>0.48032253985852841</v>
      </c>
      <c r="BV45" s="59">
        <f>+BU45*100</f>
        <v>48.03225398585284</v>
      </c>
    </row>
    <row r="46" spans="1:74" ht="15" x14ac:dyDescent="0.25">
      <c r="B46" s="44" t="s">
        <v>97</v>
      </c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77">
        <v>0.13545031125586454</v>
      </c>
      <c r="U46" s="77">
        <v>0.45448207345304287</v>
      </c>
      <c r="V46" s="77">
        <v>0.43755079343264203</v>
      </c>
      <c r="W46" s="77">
        <v>0.47941223002882477</v>
      </c>
      <c r="X46" s="56"/>
      <c r="Y46" s="47"/>
      <c r="Z46" s="47"/>
      <c r="AA46" s="48"/>
      <c r="AB46" s="32"/>
      <c r="AC46" s="32"/>
      <c r="AE46" s="57"/>
      <c r="AF46" s="54"/>
      <c r="AG46" s="57"/>
      <c r="AH46" s="54"/>
      <c r="AI46" s="57"/>
      <c r="AJ46" s="54"/>
      <c r="AK46" s="57"/>
      <c r="AL46" s="54"/>
      <c r="AM46" s="57"/>
      <c r="AN46" s="54"/>
      <c r="AO46" s="57"/>
      <c r="AP46" s="54"/>
      <c r="AQ46" s="57"/>
      <c r="AR46" s="54"/>
      <c r="AS46" s="57"/>
      <c r="AT46" s="54"/>
      <c r="AU46" s="57"/>
      <c r="AV46" s="54"/>
      <c r="AW46" s="57"/>
      <c r="AX46" s="54"/>
      <c r="AY46" s="57"/>
      <c r="AZ46" s="54"/>
      <c r="BA46" s="57"/>
      <c r="BB46" s="58"/>
      <c r="BC46" s="57"/>
      <c r="BD46" s="59"/>
      <c r="BE46" s="33"/>
      <c r="BF46" s="57"/>
      <c r="BG46" s="59"/>
      <c r="BH46" s="33"/>
      <c r="BI46" s="57"/>
      <c r="BJ46" s="59"/>
      <c r="BK46" s="33"/>
      <c r="BL46" s="57"/>
      <c r="BM46" s="59"/>
      <c r="BN46" s="33"/>
      <c r="BO46" s="57"/>
      <c r="BP46" s="59"/>
      <c r="BQ46" s="33">
        <v>55.58336679956399</v>
      </c>
      <c r="BR46" s="57">
        <f>+BQ46/BQ41</f>
        <v>1.3545031125586455E-3</v>
      </c>
      <c r="BS46" s="59">
        <f>+BR46*100</f>
        <v>0.13545031125586454</v>
      </c>
      <c r="BT46" s="33">
        <v>196.92788000000002</v>
      </c>
      <c r="BU46" s="57">
        <f>+BT46/BT41</f>
        <v>4.5448204754567787E-3</v>
      </c>
      <c r="BV46" s="59">
        <f>+BU46*100</f>
        <v>0.45448204754567789</v>
      </c>
    </row>
    <row r="47" spans="1:74" ht="15" x14ac:dyDescent="0.25">
      <c r="B47" s="44" t="s">
        <v>98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77"/>
      <c r="U47" s="77"/>
      <c r="V47" s="77">
        <v>0.56540434187312005</v>
      </c>
      <c r="W47" s="77">
        <v>1.2532057061381847</v>
      </c>
      <c r="X47" s="56"/>
      <c r="Y47" s="47"/>
      <c r="Z47" s="47"/>
      <c r="AA47" s="48"/>
      <c r="AB47" s="32"/>
      <c r="AC47" s="32"/>
      <c r="AE47" s="57"/>
      <c r="AF47" s="54"/>
      <c r="AG47" s="57"/>
      <c r="AH47" s="54"/>
      <c r="AI47" s="57"/>
      <c r="AJ47" s="54"/>
      <c r="AK47" s="57"/>
      <c r="AL47" s="54"/>
      <c r="AM47" s="57"/>
      <c r="AN47" s="54"/>
      <c r="AO47" s="57"/>
      <c r="AP47" s="54"/>
      <c r="AQ47" s="57"/>
      <c r="AR47" s="54"/>
      <c r="AS47" s="57"/>
      <c r="AT47" s="54"/>
      <c r="AU47" s="57"/>
      <c r="AV47" s="54"/>
      <c r="AW47" s="57"/>
      <c r="AX47" s="54"/>
      <c r="AY47" s="57"/>
      <c r="AZ47" s="54"/>
      <c r="BA47" s="57"/>
      <c r="BB47" s="58"/>
      <c r="BC47" s="57"/>
      <c r="BD47" s="59"/>
      <c r="BE47" s="33"/>
      <c r="BF47" s="57"/>
      <c r="BG47" s="59"/>
      <c r="BH47" s="33"/>
      <c r="BI47" s="57"/>
      <c r="BJ47" s="59"/>
      <c r="BK47" s="33"/>
      <c r="BL47" s="57"/>
      <c r="BM47" s="59"/>
      <c r="BN47" s="33"/>
      <c r="BO47" s="57"/>
      <c r="BP47" s="59"/>
      <c r="BQ47" s="33"/>
      <c r="BR47" s="57"/>
      <c r="BS47" s="59"/>
      <c r="BT47" s="33"/>
      <c r="BU47" s="57"/>
      <c r="BV47" s="59"/>
    </row>
    <row r="48" spans="1:74" ht="15" x14ac:dyDescent="0.25">
      <c r="B48" s="50" t="s">
        <v>99</v>
      </c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1"/>
      <c r="X48" s="56"/>
      <c r="Y48" s="47"/>
      <c r="Z48" s="47"/>
      <c r="AA48" s="48"/>
      <c r="AB48" s="32"/>
      <c r="AC48" s="32"/>
      <c r="AV48" s="54"/>
      <c r="BB48" s="58"/>
      <c r="BC48" s="57"/>
      <c r="BD48" s="59"/>
      <c r="BE48" s="33"/>
      <c r="BH48" s="33"/>
      <c r="BK48" s="33"/>
      <c r="BM48" s="33"/>
      <c r="BN48" s="33"/>
      <c r="BP48" s="33"/>
      <c r="BQ48" s="33"/>
      <c r="BS48" s="33"/>
      <c r="BT48" s="33"/>
      <c r="BV48" s="33"/>
    </row>
    <row r="49" spans="1:74" ht="15" x14ac:dyDescent="0.25">
      <c r="B49" s="44" t="s">
        <v>101</v>
      </c>
      <c r="C49" s="55">
        <v>73.16539822038969</v>
      </c>
      <c r="D49" s="55">
        <v>72.596126392145095</v>
      </c>
      <c r="E49" s="55">
        <v>73.089561258836056</v>
      </c>
      <c r="F49" s="55">
        <v>73.854972813130644</v>
      </c>
      <c r="G49" s="55">
        <v>73.578406444229799</v>
      </c>
      <c r="H49" s="55">
        <v>74.059561250358357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6"/>
      <c r="Y49" s="47"/>
      <c r="Z49" s="47"/>
      <c r="AA49" s="48"/>
      <c r="AB49" s="32"/>
      <c r="AC49" s="32"/>
      <c r="AD49" s="54">
        <v>12350.392384999999</v>
      </c>
      <c r="AE49" s="57">
        <f>+AD49/AD41</f>
        <v>0.73165398220389688</v>
      </c>
      <c r="AF49" s="54">
        <v>12544.471256000001</v>
      </c>
      <c r="AG49" s="78">
        <f>+AF49/AF41</f>
        <v>0.72596126392145099</v>
      </c>
      <c r="AH49" s="54">
        <v>13122.068599999999</v>
      </c>
      <c r="AI49" s="57">
        <f>+AH49/AH41</f>
        <v>0.73089561258836055</v>
      </c>
      <c r="AJ49" s="54">
        <v>13724.100323000002</v>
      </c>
      <c r="AK49" s="57">
        <f>+AJ49/AJ41</f>
        <v>0.73854972813130648</v>
      </c>
      <c r="AL49" s="54">
        <v>14016.392114</v>
      </c>
      <c r="AM49" s="57">
        <f>+AL49/AL41</f>
        <v>0.73578406444229805</v>
      </c>
      <c r="AN49" s="54">
        <v>14754.526630999999</v>
      </c>
      <c r="AO49" s="57">
        <f>+AN49/AN41</f>
        <v>0.74059561250358352</v>
      </c>
      <c r="AP49" s="54"/>
      <c r="AQ49" s="57"/>
      <c r="AR49" s="54"/>
      <c r="AS49" s="54"/>
      <c r="AT49" s="54"/>
      <c r="AU49" s="54"/>
      <c r="AV49" s="54"/>
      <c r="AW49" s="54"/>
      <c r="BB49" s="58"/>
      <c r="BC49" s="57"/>
      <c r="BD49" s="59"/>
      <c r="BE49" s="33"/>
      <c r="BH49" s="33"/>
      <c r="BK49" s="33"/>
      <c r="BM49" s="33"/>
      <c r="BN49" s="33"/>
      <c r="BP49" s="33"/>
      <c r="BQ49" s="33"/>
      <c r="BS49" s="33"/>
      <c r="BT49" s="33"/>
      <c r="BV49" s="33"/>
    </row>
    <row r="50" spans="1:74" ht="15" x14ac:dyDescent="0.25">
      <c r="B50" s="44" t="s">
        <v>102</v>
      </c>
      <c r="C50" s="55">
        <v>13.176215265312411</v>
      </c>
      <c r="D50" s="55">
        <f>14.5327457862958-0.05</f>
        <v>14.4827457862958</v>
      </c>
      <c r="E50" s="55">
        <f>15.1620682811789</f>
        <v>15.1620682811789</v>
      </c>
      <c r="F50" s="55">
        <f>14.5466937118256-0.05</f>
        <v>14.4966937118256</v>
      </c>
      <c r="G50" s="55">
        <v>15.413174570594659</v>
      </c>
      <c r="H50" s="55">
        <v>15.642660989233583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6"/>
      <c r="Y50" s="47"/>
      <c r="Z50" s="47"/>
      <c r="AA50" s="48"/>
      <c r="AB50" s="32"/>
      <c r="AC50" s="32"/>
      <c r="AD50" s="54">
        <v>2224.1583129999999</v>
      </c>
      <c r="AE50" s="57">
        <f>+AD50/AD41</f>
        <v>0.1317621526531241</v>
      </c>
      <c r="AF50" s="54">
        <v>2511.2305689999998</v>
      </c>
      <c r="AG50" s="79">
        <f>+AF50/AF41</f>
        <v>0.14532745786295773</v>
      </c>
      <c r="AH50" s="54">
        <v>2722.108283</v>
      </c>
      <c r="AI50" s="57">
        <f>+AH50/AH41</f>
        <v>0.15162068281178895</v>
      </c>
      <c r="AJ50" s="54">
        <v>2703.1393589999998</v>
      </c>
      <c r="AK50" s="79">
        <f>+AJ50/AJ41</f>
        <v>0.14546693711825642</v>
      </c>
      <c r="AL50" s="54">
        <v>2936.148103</v>
      </c>
      <c r="AM50" s="57">
        <f>+AL50/AL41</f>
        <v>0.15413174570594659</v>
      </c>
      <c r="AN50" s="54">
        <v>3116.4113620000003</v>
      </c>
      <c r="AO50" s="57">
        <f>+AN50/AN41</f>
        <v>0.15642660989233584</v>
      </c>
      <c r="AP50" s="54"/>
      <c r="AQ50" s="57"/>
      <c r="AR50" s="54"/>
      <c r="AS50" s="54"/>
      <c r="AT50" s="54"/>
      <c r="AU50" s="54"/>
      <c r="AV50" s="54"/>
      <c r="AW50" s="54"/>
      <c r="BB50" s="58"/>
      <c r="BC50" s="57"/>
      <c r="BD50" s="59"/>
      <c r="BE50" s="33"/>
      <c r="BH50" s="33"/>
      <c r="BK50" s="33"/>
      <c r="BM50" s="33"/>
      <c r="BN50" s="33"/>
      <c r="BP50" s="33"/>
      <c r="BQ50" s="33"/>
      <c r="BS50" s="33"/>
      <c r="BT50" s="33"/>
      <c r="BV50" s="33"/>
    </row>
    <row r="51" spans="1:74" ht="15" x14ac:dyDescent="0.25">
      <c r="B51" s="44" t="s">
        <v>103</v>
      </c>
      <c r="C51" s="55"/>
      <c r="D51" s="55"/>
      <c r="E51" s="55"/>
      <c r="F51" s="55"/>
      <c r="G51" s="55"/>
      <c r="H51" s="55"/>
      <c r="I51" s="55">
        <v>90.229162608549203</v>
      </c>
      <c r="J51" s="55">
        <v>91.063648874478943</v>
      </c>
      <c r="K51" s="55">
        <v>91.604430315874311</v>
      </c>
      <c r="L51" s="55">
        <v>91.844778008887985</v>
      </c>
      <c r="M51" s="55">
        <v>91.861432879310541</v>
      </c>
      <c r="N51" s="55">
        <v>92.039650363657728</v>
      </c>
      <c r="O51" s="55">
        <v>92.863670324311315</v>
      </c>
      <c r="P51" s="55">
        <v>92.731715750086408</v>
      </c>
      <c r="Q51" s="55">
        <v>92.558237111626113</v>
      </c>
      <c r="R51" s="55">
        <v>92.810736061522064</v>
      </c>
      <c r="S51" s="55">
        <v>92.964947640438623</v>
      </c>
      <c r="T51" s="55">
        <v>93.078224854389134</v>
      </c>
      <c r="U51" s="55">
        <v>93.426232673940063</v>
      </c>
      <c r="V51" s="55">
        <v>93.577578161787201</v>
      </c>
      <c r="W51" s="55">
        <v>94.203154146552549</v>
      </c>
      <c r="X51" s="56"/>
      <c r="Y51" s="47"/>
      <c r="Z51" s="47"/>
      <c r="AA51" s="48"/>
      <c r="AB51" s="32"/>
      <c r="AC51" s="32"/>
      <c r="AD51" s="54">
        <v>2305.5639030000002</v>
      </c>
      <c r="AE51" s="57">
        <f>+AD51/AD41</f>
        <v>0.13658473012600639</v>
      </c>
      <c r="AF51" s="54">
        <v>2224.1104679999999</v>
      </c>
      <c r="AG51" s="78">
        <f>+AF51/AF41</f>
        <v>0.12871152665585173</v>
      </c>
      <c r="AH51" s="54">
        <v>2109.2306920000001</v>
      </c>
      <c r="AI51" s="57">
        <f>+AH51/AH41</f>
        <v>0.11748356952801725</v>
      </c>
      <c r="AJ51" s="54">
        <v>2155.299164</v>
      </c>
      <c r="AK51" s="57">
        <f>+AJ51/AJ41</f>
        <v>0.11598542521189291</v>
      </c>
      <c r="AL51" s="54">
        <v>2097.0771800000002</v>
      </c>
      <c r="AM51" s="57">
        <f>+AL51/AL41</f>
        <v>0.1100851030992777</v>
      </c>
      <c r="AN51" s="54">
        <v>2051.7593449999995</v>
      </c>
      <c r="AO51" s="57">
        <f>+AN51/AN41</f>
        <v>0.10298696846211454</v>
      </c>
      <c r="AP51" s="54">
        <v>18754.582593999996</v>
      </c>
      <c r="AQ51" s="57">
        <f>+AP51/AP41</f>
        <v>0.90229162608549207</v>
      </c>
      <c r="AR51" s="54">
        <v>20017.881547000005</v>
      </c>
      <c r="AS51" s="57">
        <f>+AR51/AR41</f>
        <v>0.91063648874478942</v>
      </c>
      <c r="AT51" s="54">
        <v>20998.783541999997</v>
      </c>
      <c r="AU51" s="57">
        <f>+AT51/AT41</f>
        <v>0.91604430315874308</v>
      </c>
      <c r="AV51" s="54">
        <v>22287.983366000008</v>
      </c>
      <c r="AW51" s="57">
        <f>+AV51/AV41</f>
        <v>0.91844778008887984</v>
      </c>
      <c r="AX51" s="54">
        <v>23433.609762</v>
      </c>
      <c r="AY51" s="57">
        <f>+AX51/AX41</f>
        <v>0.91861432879310545</v>
      </c>
      <c r="AZ51" s="54">
        <v>24586.557645950001</v>
      </c>
      <c r="BA51" s="57">
        <f>+AZ51/AZ41</f>
        <v>0.92039650363657732</v>
      </c>
      <c r="BB51" s="58">
        <v>27806.212583</v>
      </c>
      <c r="BC51" s="57">
        <f>+BB51/BB41</f>
        <v>0.9286367032431132</v>
      </c>
      <c r="BD51" s="59">
        <f>+BC51*100</f>
        <v>92.863670324311315</v>
      </c>
      <c r="BE51" s="33">
        <v>30103.595441999998</v>
      </c>
      <c r="BF51" s="57">
        <f>+BE51/BE41</f>
        <v>0.92731715750086408</v>
      </c>
      <c r="BG51" s="59">
        <f>+BF51*100</f>
        <v>92.731715750086408</v>
      </c>
      <c r="BH51" s="33">
        <v>30493.066697000009</v>
      </c>
      <c r="BI51" s="57">
        <f>+BH51/BH41</f>
        <v>0.92558237111626107</v>
      </c>
      <c r="BJ51" s="59">
        <f>+BI51*100</f>
        <v>92.558237111626113</v>
      </c>
      <c r="BK51" s="33">
        <v>33326.486475999998</v>
      </c>
      <c r="BL51" s="57">
        <f>+BK51/BK41</f>
        <v>0.9281073606152207</v>
      </c>
      <c r="BM51" s="59">
        <f>+BL51*100</f>
        <v>92.810736061522064</v>
      </c>
      <c r="BN51" s="33">
        <v>36076.406376599989</v>
      </c>
      <c r="BO51" s="57">
        <f>+BN51/BN41</f>
        <v>0.92964947640438622</v>
      </c>
      <c r="BP51" s="59">
        <f>+BO51*100</f>
        <v>92.964947640438623</v>
      </c>
      <c r="BQ51" s="33">
        <v>38195.564596089513</v>
      </c>
      <c r="BR51" s="57">
        <f>+BQ51/BQ41</f>
        <v>0.93078224854389136</v>
      </c>
      <c r="BS51" s="59">
        <f>+BR51*100</f>
        <v>93.078224854389134</v>
      </c>
      <c r="BT51" s="33">
        <v>40481.748241767418</v>
      </c>
      <c r="BU51" s="57">
        <f>+BT51/BT41</f>
        <v>0.93426221970942369</v>
      </c>
      <c r="BV51" s="59">
        <f>+BU51*100</f>
        <v>93.426221970942365</v>
      </c>
    </row>
    <row r="52" spans="1:74" ht="15" x14ac:dyDescent="0.25">
      <c r="B52" s="44" t="s">
        <v>104</v>
      </c>
      <c r="C52" s="55">
        <v>13.65847301260064</v>
      </c>
      <c r="D52" s="55">
        <v>12.871152665585173</v>
      </c>
      <c r="E52" s="55">
        <v>11.748356952801725</v>
      </c>
      <c r="F52" s="55">
        <v>11.598542521189291</v>
      </c>
      <c r="G52" s="55">
        <v>11.00851030992777</v>
      </c>
      <c r="H52" s="55">
        <v>10.298696846211454</v>
      </c>
      <c r="I52" s="55">
        <v>9.7719224507469136</v>
      </c>
      <c r="J52" s="55">
        <v>8.9364712221618952</v>
      </c>
      <c r="K52" s="55">
        <v>8.3956848506521666</v>
      </c>
      <c r="L52" s="55">
        <v>8.1552219911120165</v>
      </c>
      <c r="M52" s="55">
        <v>8.1385671206894532</v>
      </c>
      <c r="N52" s="55">
        <v>7.9603496363422694</v>
      </c>
      <c r="O52" s="55">
        <v>7.1363296756886907</v>
      </c>
      <c r="P52" s="55">
        <v>7.2682842499135978</v>
      </c>
      <c r="Q52" s="55">
        <v>7.4417628883738969</v>
      </c>
      <c r="R52" s="55">
        <v>7.1892639384779411</v>
      </c>
      <c r="S52" s="55">
        <v>6.9750613599603382</v>
      </c>
      <c r="T52" s="55">
        <v>6.7090704518725204</v>
      </c>
      <c r="U52" s="55">
        <v>6.573767326059933</v>
      </c>
      <c r="V52" s="55">
        <v>6.42242183821282</v>
      </c>
      <c r="W52" s="55">
        <v>5.796845853447449</v>
      </c>
      <c r="X52" s="56"/>
      <c r="Y52" s="47"/>
      <c r="Z52" s="47"/>
      <c r="AA52" s="48"/>
      <c r="AB52" s="32"/>
      <c r="AC52" s="32"/>
      <c r="AG52" s="80"/>
      <c r="AP52" s="54">
        <v>2031.1429409999996</v>
      </c>
      <c r="AQ52" s="57">
        <f>+AP52/AP41</f>
        <v>9.771922450746913E-2</v>
      </c>
      <c r="AR52" s="54">
        <v>1964.4416250000036</v>
      </c>
      <c r="AS52" s="57">
        <f>+AR52/AR41</f>
        <v>8.9364712221618944E-2</v>
      </c>
      <c r="AT52" s="54">
        <v>1924.5703320000036</v>
      </c>
      <c r="AU52" s="57">
        <f>+AT52/AT41</f>
        <v>8.3956848506521659E-2</v>
      </c>
      <c r="AV52" s="54">
        <v>1979.0287050000002</v>
      </c>
      <c r="AW52" s="57">
        <f>+AV52/AV41</f>
        <v>8.1552219911120161E-2</v>
      </c>
      <c r="AX52" s="54">
        <v>2076.1270530000033</v>
      </c>
      <c r="AY52" s="57">
        <f>+AX52/AX41</f>
        <v>8.1385671206894536E-2</v>
      </c>
      <c r="AZ52" s="54">
        <v>2126.4487038200036</v>
      </c>
      <c r="BA52" s="57">
        <f>+AZ52/AZ41</f>
        <v>7.9603496363422691E-2</v>
      </c>
      <c r="BB52" s="58">
        <v>2136.8345589999999</v>
      </c>
      <c r="BC52" s="57">
        <f>+BB52/BB41</f>
        <v>7.1363296756886907E-2</v>
      </c>
      <c r="BD52" s="59">
        <f>+BC52*100</f>
        <v>7.1363296756886907</v>
      </c>
      <c r="BE52" s="33">
        <v>2359.5108410000003</v>
      </c>
      <c r="BF52" s="57">
        <f>+BE52/BE41</f>
        <v>7.268284249913598E-2</v>
      </c>
      <c r="BG52" s="59">
        <f>+BF52*100</f>
        <v>7.2682842499135978</v>
      </c>
      <c r="BH52" s="33">
        <v>2451.669124</v>
      </c>
      <c r="BI52" s="57">
        <f>+BH52/BH41</f>
        <v>7.441762888373897E-2</v>
      </c>
      <c r="BJ52" s="59">
        <f>+BI52*100</f>
        <v>7.4417628883738969</v>
      </c>
      <c r="BK52" s="33">
        <v>2581.5214660000011</v>
      </c>
      <c r="BL52" s="57">
        <f>+BK52/BK41</f>
        <v>7.1892639384779411E-2</v>
      </c>
      <c r="BM52" s="59">
        <f>+BL52*100</f>
        <v>7.1892639384779411</v>
      </c>
      <c r="BN52" s="33">
        <v>2706.7744833988495</v>
      </c>
      <c r="BO52" s="57">
        <f>+BN52/BN41</f>
        <v>6.9750613599603384E-2</v>
      </c>
      <c r="BP52" s="59">
        <f>+BO52*100</f>
        <v>6.9750613599603382</v>
      </c>
      <c r="BQ52" s="33">
        <v>2753.1330149999999</v>
      </c>
      <c r="BR52" s="57">
        <f>+BQ52/BQ41</f>
        <v>6.7090704518725203E-2</v>
      </c>
      <c r="BS52" s="59">
        <f>+BR52*100</f>
        <v>6.7090704518725204</v>
      </c>
      <c r="BT52" s="33">
        <v>2848.4297187179518</v>
      </c>
      <c r="BU52" s="57">
        <f>+BT52/BT41</f>
        <v>6.5737780290576128E-2</v>
      </c>
      <c r="BV52" s="59">
        <f>+BU52*100</f>
        <v>6.5737780290576131</v>
      </c>
    </row>
    <row r="53" spans="1:74" ht="15" x14ac:dyDescent="0.25">
      <c r="B53" s="50" t="s">
        <v>105</v>
      </c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1"/>
      <c r="X53" s="56"/>
      <c r="Y53" s="47"/>
      <c r="Z53" s="47"/>
      <c r="AA53" s="48"/>
      <c r="AB53" s="32"/>
      <c r="AC53" s="32"/>
      <c r="AV53" s="54"/>
      <c r="BB53" s="58"/>
      <c r="BC53" s="57"/>
      <c r="BD53" s="59"/>
      <c r="BE53" s="33"/>
      <c r="BF53" s="57"/>
      <c r="BG53" s="59"/>
      <c r="BH53" s="33"/>
      <c r="BI53" s="57"/>
      <c r="BJ53" s="59"/>
      <c r="BK53" s="33"/>
      <c r="BL53" s="57"/>
      <c r="BM53" s="59"/>
      <c r="BN53" s="33"/>
      <c r="BO53" s="57"/>
      <c r="BP53" s="59"/>
      <c r="BQ53" s="33"/>
      <c r="BR53" s="57"/>
      <c r="BS53" s="59"/>
      <c r="BT53" s="33"/>
      <c r="BU53" s="57"/>
      <c r="BV53" s="59"/>
    </row>
    <row r="54" spans="1:74" ht="15" x14ac:dyDescent="0.25">
      <c r="B54" s="44" t="s">
        <v>106</v>
      </c>
      <c r="C54" s="55">
        <v>77.643497372645896</v>
      </c>
      <c r="D54" s="55">
        <v>77.011897354415055</v>
      </c>
      <c r="E54" s="55">
        <v>85.491057130650944</v>
      </c>
      <c r="F54" s="55">
        <v>90.493205973362052</v>
      </c>
      <c r="G54" s="55">
        <v>91.165168822442467</v>
      </c>
      <c r="H54" s="55">
        <v>91.994988180967908</v>
      </c>
      <c r="I54" s="55">
        <v>92.44088427028457</v>
      </c>
      <c r="J54" s="55">
        <v>92.890696931220546</v>
      </c>
      <c r="K54" s="55">
        <v>93.186571426981985</v>
      </c>
      <c r="L54" s="55">
        <v>93.30306942921041</v>
      </c>
      <c r="M54" s="55">
        <v>93.340339484771533</v>
      </c>
      <c r="N54" s="55">
        <v>93.523452583848425</v>
      </c>
      <c r="O54" s="55">
        <v>94.180431793076352</v>
      </c>
      <c r="P54" s="55">
        <v>94.182950298909333</v>
      </c>
      <c r="Q54" s="55">
        <v>93.859920295033646</v>
      </c>
      <c r="R54" s="55">
        <v>93.421545027461534</v>
      </c>
      <c r="S54" s="55">
        <v>93.408497266241767</v>
      </c>
      <c r="T54" s="55">
        <v>93.503682559858291</v>
      </c>
      <c r="U54" s="55">
        <v>93.848376931010321</v>
      </c>
      <c r="V54" s="55">
        <v>94.064582761200199</v>
      </c>
      <c r="W54" s="55">
        <v>94.757817951155616</v>
      </c>
      <c r="X54" s="56"/>
      <c r="Y54" s="47"/>
      <c r="Z54" s="47"/>
      <c r="AA54" s="48"/>
      <c r="AB54" s="32"/>
      <c r="AC54" s="32"/>
      <c r="AD54" s="4">
        <v>13106.3</v>
      </c>
      <c r="AE54" s="57">
        <f>+AD54/AD41</f>
        <v>0.77643497372645898</v>
      </c>
      <c r="AF54" s="4">
        <v>13307.508</v>
      </c>
      <c r="AG54" s="57">
        <f>+AF54/AF41</f>
        <v>0.77011897354415049</v>
      </c>
      <c r="AH54" s="4">
        <v>15348.56</v>
      </c>
      <c r="AI54" s="57">
        <f>+AH54/AH41</f>
        <v>0.85491057130650949</v>
      </c>
      <c r="AJ54" s="4">
        <v>16815.900000000001</v>
      </c>
      <c r="AK54" s="57">
        <f>+AJ54/AJ41</f>
        <v>0.90493205973362045</v>
      </c>
      <c r="AL54" s="4">
        <v>17366.599999999999</v>
      </c>
      <c r="AM54" s="57">
        <f>+AL54/AL41</f>
        <v>0.91165168822442466</v>
      </c>
      <c r="AN54" s="4">
        <v>18327.714614000004</v>
      </c>
      <c r="AO54" s="57">
        <f>+AN54/AN41</f>
        <v>0.91994988180967907</v>
      </c>
      <c r="AP54" s="4">
        <v>19214.3</v>
      </c>
      <c r="AQ54" s="57">
        <f>+AP54/AP41</f>
        <v>0.92440884270284573</v>
      </c>
      <c r="AR54" s="4">
        <v>20419.508673</v>
      </c>
      <c r="AS54" s="57">
        <f>+AR54/AR41</f>
        <v>0.9289069693122054</v>
      </c>
      <c r="AT54" s="4">
        <v>21361.462929999994</v>
      </c>
      <c r="AU54" s="57">
        <f>+AT54/AT41</f>
        <v>0.9318657142698199</v>
      </c>
      <c r="AV54" s="54">
        <v>22641.867121000007</v>
      </c>
      <c r="AW54" s="57">
        <f>+AV54/AV41</f>
        <v>0.93303069429210406</v>
      </c>
      <c r="AX54" s="54">
        <v>23810.874944792748</v>
      </c>
      <c r="AY54" s="57">
        <f>+AX54/AX41</f>
        <v>0.93340339484771528</v>
      </c>
      <c r="AZ54" s="54">
        <v>24982.925827247567</v>
      </c>
      <c r="BA54" s="57">
        <f>+AZ54/AZ41</f>
        <v>0.93523452583848421</v>
      </c>
      <c r="BB54" s="58">
        <v>28200.491090340001</v>
      </c>
      <c r="BC54" s="57">
        <f>+BB54/BB41</f>
        <v>0.94180431793076347</v>
      </c>
      <c r="BD54" s="59">
        <f>+BC54*100</f>
        <v>94.180431793076352</v>
      </c>
      <c r="BE54" s="33">
        <v>30574.711255999999</v>
      </c>
      <c r="BF54" s="57">
        <f>+BE54/BE41</f>
        <v>0.94182950298909329</v>
      </c>
      <c r="BG54" s="59">
        <f>+BF54*100</f>
        <v>94.182950298909333</v>
      </c>
      <c r="BH54" s="33">
        <v>30921.902783000009</v>
      </c>
      <c r="BI54" s="57">
        <f>+BH54/BH41</f>
        <v>0.9385992029503365</v>
      </c>
      <c r="BJ54" s="59">
        <f>+BI54*100</f>
        <v>93.859920295033646</v>
      </c>
      <c r="BK54" s="33">
        <v>33545.815807999992</v>
      </c>
      <c r="BL54" s="57">
        <f>+BK54/BK41</f>
        <v>0.93421545027461539</v>
      </c>
      <c r="BM54" s="59">
        <f>+BL54*100</f>
        <v>93.421545027461534</v>
      </c>
      <c r="BN54" s="33">
        <v>36248.532290235235</v>
      </c>
      <c r="BO54" s="57">
        <f>+BN54/BN41</f>
        <v>0.93408497266241763</v>
      </c>
      <c r="BP54" s="59">
        <f>+BO54*100</f>
        <v>93.408497266241767</v>
      </c>
      <c r="BQ54" s="33">
        <v>38370.155348089495</v>
      </c>
      <c r="BR54" s="57">
        <f>+BQ54/BQ41</f>
        <v>0.93503682559858292</v>
      </c>
      <c r="BS54" s="59">
        <f>+BR54*100</f>
        <v>93.503682559858291</v>
      </c>
      <c r="BT54" s="33">
        <v>40664.66641917896</v>
      </c>
      <c r="BU54" s="57">
        <f>+BT54/BT41</f>
        <v>0.93848371581263268</v>
      </c>
      <c r="BV54" s="59">
        <f>+BU54*100</f>
        <v>93.848371581263265</v>
      </c>
    </row>
    <row r="55" spans="1:74" ht="15" x14ac:dyDescent="0.25">
      <c r="B55" s="44" t="s">
        <v>107</v>
      </c>
      <c r="C55" s="55">
        <v>22.356502627354104</v>
      </c>
      <c r="D55" s="55">
        <v>22.988102645584952</v>
      </c>
      <c r="E55" s="55">
        <v>14.508942869349054</v>
      </c>
      <c r="F55" s="55">
        <v>9.5067940266379658</v>
      </c>
      <c r="G55" s="55">
        <v>8.8348311775575361</v>
      </c>
      <c r="H55" s="55">
        <v>8.0050118190320863</v>
      </c>
      <c r="I55" s="55">
        <v>7.5591157297154261</v>
      </c>
      <c r="J55" s="55">
        <v>7.1094231654202824</v>
      </c>
      <c r="K55" s="55">
        <v>6.8135437395444658</v>
      </c>
      <c r="L55" s="55">
        <v>6.6969305707895925</v>
      </c>
      <c r="M55" s="55">
        <v>6.6596605152284587</v>
      </c>
      <c r="N55" s="55">
        <v>6.4765474161515719</v>
      </c>
      <c r="O55" s="55">
        <v>5.8195682069236758</v>
      </c>
      <c r="P55" s="55">
        <v>5.817049701090677</v>
      </c>
      <c r="Q55" s="55">
        <v>6.1400797049663467</v>
      </c>
      <c r="R55" s="55">
        <v>6.5784549725384514</v>
      </c>
      <c r="S55" s="55">
        <v>6.5315117341572027</v>
      </c>
      <c r="T55" s="55">
        <v>6.2836127464033193</v>
      </c>
      <c r="U55" s="55">
        <v>6.1516230689896734</v>
      </c>
      <c r="V55" s="55">
        <v>5.9354172387997597</v>
      </c>
      <c r="W55" s="55">
        <v>5.2421820488443744</v>
      </c>
      <c r="X55" s="56"/>
      <c r="Y55" s="47"/>
      <c r="Z55" s="47"/>
      <c r="AA55" s="48"/>
      <c r="AB55" s="32"/>
      <c r="AC55" s="32"/>
      <c r="AD55" s="4">
        <v>3773.8</v>
      </c>
      <c r="AE55" s="57">
        <f>+AD55/AD41</f>
        <v>0.22356502627354105</v>
      </c>
      <c r="AF55" s="4">
        <v>3972.3</v>
      </c>
      <c r="AG55" s="57">
        <f>+AF55/AF41</f>
        <v>0.22988102645584951</v>
      </c>
      <c r="AH55" s="4">
        <v>2604.85</v>
      </c>
      <c r="AI55" s="57">
        <f>+AH55/AH41</f>
        <v>0.14508942869349054</v>
      </c>
      <c r="AJ55" s="4">
        <v>1766.6</v>
      </c>
      <c r="AK55" s="57">
        <f>+AJ55/AJ41</f>
        <v>9.5067940266379658E-2</v>
      </c>
      <c r="AL55" s="4">
        <v>1683</v>
      </c>
      <c r="AM55" s="57">
        <f>+AL55/AL41</f>
        <v>8.8348311775575353E-2</v>
      </c>
      <c r="AN55" s="4">
        <v>1594.7996189999999</v>
      </c>
      <c r="AO55" s="57">
        <f>+AN55/AN41</f>
        <v>8.005011819032086E-2</v>
      </c>
      <c r="AP55" s="4">
        <v>1571.2</v>
      </c>
      <c r="AQ55" s="57">
        <f>+AP55/AP41</f>
        <v>7.5591157297154266E-2</v>
      </c>
      <c r="AR55" s="4">
        <v>1562.8144990000035</v>
      </c>
      <c r="AS55" s="57">
        <f>+AR55/AR41</f>
        <v>7.1094231654202825E-2</v>
      </c>
      <c r="AT55" s="4">
        <v>1561.8909440000034</v>
      </c>
      <c r="AU55" s="57">
        <f>+AT55/AT41</f>
        <v>6.8135437395444656E-2</v>
      </c>
      <c r="AV55" s="54">
        <v>1625.1449500000001</v>
      </c>
      <c r="AW55" s="57">
        <f>+AV55/AV41</f>
        <v>6.6969305707895929E-2</v>
      </c>
      <c r="AX55" s="54">
        <v>1698.8618702072531</v>
      </c>
      <c r="AY55" s="57">
        <f>+AX55/AX41</f>
        <v>6.6596605152284591E-2</v>
      </c>
      <c r="AZ55" s="54">
        <v>1730.0805225224344</v>
      </c>
      <c r="BA55" s="57">
        <f>+AZ55/AZ41</f>
        <v>6.4765474161515721E-2</v>
      </c>
      <c r="BB55" s="58">
        <v>1742.5560516600001</v>
      </c>
      <c r="BC55" s="57">
        <f>+BB55/BB41</f>
        <v>5.8195682069236761E-2</v>
      </c>
      <c r="BD55" s="59">
        <f>+BC55*100</f>
        <v>5.8195682069236758</v>
      </c>
      <c r="BE55" s="33">
        <v>1888.395027</v>
      </c>
      <c r="BF55" s="57">
        <f>+BE55/BE41</f>
        <v>5.817049701090677E-2</v>
      </c>
      <c r="BG55" s="59">
        <f>+BF55*100</f>
        <v>5.817049701090677</v>
      </c>
      <c r="BH55" s="33">
        <v>2022.8330379999998</v>
      </c>
      <c r="BI55" s="57">
        <f>+BH55/BH41</f>
        <v>6.1400797049663468E-2</v>
      </c>
      <c r="BJ55" s="59">
        <f>+BI55*100</f>
        <v>6.1400797049663467</v>
      </c>
      <c r="BK55" s="33">
        <v>2362.1921340000008</v>
      </c>
      <c r="BL55" s="57">
        <f>+BK55/BK41</f>
        <v>6.5784549725384514E-2</v>
      </c>
      <c r="BM55" s="59">
        <f>+BL55*100</f>
        <v>6.5784549725384514</v>
      </c>
      <c r="BN55" s="33">
        <v>2534.6485697636094</v>
      </c>
      <c r="BO55" s="57">
        <f>+BN55/BN41</f>
        <v>6.5315117341572027E-2</v>
      </c>
      <c r="BP55" s="59">
        <f>+BO55*100</f>
        <v>6.5315117341572027</v>
      </c>
      <c r="BQ55" s="33">
        <v>2578.5422630000003</v>
      </c>
      <c r="BR55" s="57">
        <f>+BQ55/BQ41</f>
        <v>6.2836127464033192E-2</v>
      </c>
      <c r="BS55" s="59">
        <f>+BR55*100</f>
        <v>6.2836127464033193</v>
      </c>
      <c r="BT55" s="33">
        <v>2665.5115413064068</v>
      </c>
      <c r="BU55" s="57">
        <f>+BT55/BT41</f>
        <v>6.1516284187367043E-2</v>
      </c>
      <c r="BV55" s="59">
        <f>+BU55*100</f>
        <v>6.1516284187367045</v>
      </c>
    </row>
    <row r="56" spans="1:74" ht="15.75" thickBot="1" x14ac:dyDescent="0.3">
      <c r="B56" s="44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6"/>
      <c r="Y56" s="47"/>
      <c r="Z56" s="47"/>
      <c r="AA56" s="48"/>
      <c r="AB56" s="32"/>
      <c r="AC56" s="32"/>
      <c r="BB56" s="58"/>
      <c r="BC56" s="57"/>
      <c r="BD56" s="59"/>
    </row>
    <row r="57" spans="1:74" ht="15" x14ac:dyDescent="0.25">
      <c r="A57" s="35"/>
      <c r="B57" s="1451" t="s">
        <v>112</v>
      </c>
      <c r="C57" s="1452">
        <v>2491835</v>
      </c>
      <c r="D57" s="1452">
        <v>2775713</v>
      </c>
      <c r="E57" s="1452">
        <v>2964315</v>
      </c>
      <c r="F57" s="1452">
        <v>3057320</v>
      </c>
      <c r="G57" s="1452">
        <v>3217058</v>
      </c>
      <c r="H57" s="1452">
        <v>3352209</v>
      </c>
      <c r="I57" s="1452">
        <v>3462851</v>
      </c>
      <c r="J57" s="1452">
        <v>3614484</v>
      </c>
      <c r="K57" s="1452">
        <v>3727266</v>
      </c>
      <c r="L57" s="1452">
        <v>3860515</v>
      </c>
      <c r="M57" s="1452">
        <v>3977100.25</v>
      </c>
      <c r="N57" s="1452">
        <v>4165274</v>
      </c>
      <c r="O57" s="1452">
        <v>4359862</v>
      </c>
      <c r="P57" s="1452">
        <v>4624792</v>
      </c>
      <c r="Q57" s="1452">
        <v>4878964</v>
      </c>
      <c r="R57" s="1452">
        <v>5170896</v>
      </c>
      <c r="S57" s="1452">
        <v>5495222</v>
      </c>
      <c r="T57" s="1452">
        <v>5824944.5</v>
      </c>
      <c r="U57" s="1452">
        <v>6154548</v>
      </c>
      <c r="V57" s="1452">
        <v>6432743</v>
      </c>
      <c r="W57" s="1453">
        <v>6718483</v>
      </c>
      <c r="X57" s="1446">
        <f>((W57/V57)-1)*100</f>
        <v>4.4419620059436449</v>
      </c>
      <c r="Y57" s="1447">
        <f>((W57/R57)^(1/5))-1</f>
        <v>5.3758483203407481E-2</v>
      </c>
      <c r="Z57" s="1448">
        <f>((W57/M57)-1)*100</f>
        <v>68.929184020443031</v>
      </c>
      <c r="AA57" s="1449">
        <f>((W57/M57)^(1/10))-1</f>
        <v>5.3829783308726009E-2</v>
      </c>
      <c r="AB57" s="32"/>
      <c r="AC57" s="32"/>
      <c r="BB57" s="58"/>
      <c r="BC57" s="57"/>
      <c r="BD57" s="59"/>
    </row>
    <row r="58" spans="1:74" ht="15.75" thickBot="1" x14ac:dyDescent="0.3">
      <c r="B58" s="44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6"/>
      <c r="Y58" s="47"/>
      <c r="Z58" s="47"/>
      <c r="AA58" s="48"/>
      <c r="AB58" s="32"/>
      <c r="AC58" s="32"/>
      <c r="BB58" s="58"/>
      <c r="BC58" s="57"/>
      <c r="BD58" s="59"/>
    </row>
    <row r="59" spans="1:74" ht="15" x14ac:dyDescent="0.25">
      <c r="A59" s="35"/>
      <c r="B59" s="1451" t="s">
        <v>319</v>
      </c>
      <c r="C59" s="1452">
        <v>9849.2561280000045</v>
      </c>
      <c r="D59" s="1452">
        <v>10330.839597999991</v>
      </c>
      <c r="E59" s="1452">
        <v>12451.230159999992</v>
      </c>
      <c r="F59" s="1452">
        <v>14008.576822999998</v>
      </c>
      <c r="G59" s="1452">
        <v>14591.991559000011</v>
      </c>
      <c r="H59" s="1452">
        <v>15545.595392000014</v>
      </c>
      <c r="I59" s="1452">
        <v>16628.754544999989</v>
      </c>
      <c r="J59" s="1452">
        <v>17605.325913847999</v>
      </c>
      <c r="K59" s="1452">
        <v>18375.33541</v>
      </c>
      <c r="L59" s="1452">
        <v>19640.651109999999</v>
      </c>
      <c r="M59" s="1452">
        <v>20701.382880222223</v>
      </c>
      <c r="N59" s="1452">
        <v>22290.061152999995</v>
      </c>
      <c r="O59" s="1452">
        <v>24721.748553000001</v>
      </c>
      <c r="P59" s="1452">
        <v>26964.414596000002</v>
      </c>
      <c r="Q59" s="1452">
        <v>27087.005777000002</v>
      </c>
      <c r="R59" s="1452">
        <v>29436.175124000001</v>
      </c>
      <c r="S59" s="1452">
        <v>31820.350805251099</v>
      </c>
      <c r="T59" s="1452">
        <v>33646.914504942906</v>
      </c>
      <c r="U59" s="1452">
        <v>35611.049557999999</v>
      </c>
      <c r="V59" s="1452">
        <v>37327.777000000002</v>
      </c>
      <c r="W59" s="1453">
        <v>39705.955406162728</v>
      </c>
      <c r="X59" s="1446">
        <f>((W59/V59)-1)*100</f>
        <v>6.3710689392586284</v>
      </c>
      <c r="Y59" s="1447">
        <f>((W59/R59)^(1/5))-1</f>
        <v>6.1682978351820017E-2</v>
      </c>
      <c r="Z59" s="1448">
        <f>((W59/M59)-1)*100</f>
        <v>91.803396110784348</v>
      </c>
      <c r="AA59" s="1449">
        <f>((W59/M59)^(1/10))-1</f>
        <v>6.7297836953092771E-2</v>
      </c>
      <c r="AB59" s="32"/>
      <c r="AC59" s="32"/>
      <c r="AD59" s="43">
        <v>9849.2561280000045</v>
      </c>
      <c r="AF59" s="43">
        <v>10330.839597999991</v>
      </c>
      <c r="AH59" s="43">
        <v>12451.230159999992</v>
      </c>
      <c r="AJ59" s="43">
        <v>14008.576822999998</v>
      </c>
      <c r="AL59" s="43">
        <v>14591.991559000011</v>
      </c>
      <c r="AN59" s="43">
        <v>15545.595392000014</v>
      </c>
      <c r="AP59" s="43">
        <v>16628.8</v>
      </c>
      <c r="AR59" s="43">
        <v>17605.325913847999</v>
      </c>
      <c r="AT59" s="43">
        <v>18375.33541</v>
      </c>
      <c r="AV59" s="43">
        <v>19640.651109999999</v>
      </c>
      <c r="AX59" s="43">
        <v>20701.382880222223</v>
      </c>
      <c r="AZ59" s="43">
        <v>21639.57411178889</v>
      </c>
      <c r="BB59" s="72">
        <v>24721.748553000001</v>
      </c>
      <c r="BC59" s="57"/>
      <c r="BD59" s="59"/>
      <c r="BE59" s="65">
        <v>26964.414596000002</v>
      </c>
      <c r="BF59" s="73"/>
      <c r="BG59" s="65"/>
      <c r="BH59" s="65">
        <v>27087.005777000002</v>
      </c>
      <c r="BI59" s="73"/>
      <c r="BJ59" s="65"/>
      <c r="BK59" s="65">
        <v>29436.175124000001</v>
      </c>
      <c r="BL59" s="68"/>
      <c r="BN59" s="65">
        <v>31817.953050000007</v>
      </c>
      <c r="BO59" s="68"/>
      <c r="BQ59" s="65">
        <v>33615.142484000011</v>
      </c>
      <c r="BR59" s="68"/>
      <c r="BT59" s="65">
        <f>BT62+BT63</f>
        <v>35612.750660286001</v>
      </c>
      <c r="BU59" s="68"/>
    </row>
    <row r="60" spans="1:74" ht="15" x14ac:dyDescent="0.25">
      <c r="B60" s="44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6"/>
      <c r="Y60" s="47"/>
      <c r="Z60" s="47"/>
      <c r="AA60" s="48"/>
      <c r="AB60" s="32"/>
      <c r="AC60" s="32"/>
      <c r="BB60" s="58"/>
      <c r="BC60" s="57"/>
      <c r="BD60" s="59"/>
      <c r="BL60" s="81"/>
      <c r="BO60" s="81"/>
      <c r="BR60" s="81"/>
      <c r="BU60" s="81"/>
    </row>
    <row r="61" spans="1:74" ht="15" x14ac:dyDescent="0.25">
      <c r="B61" s="50" t="s">
        <v>113</v>
      </c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2"/>
      <c r="X61" s="46"/>
      <c r="Y61" s="47"/>
      <c r="Z61" s="47"/>
      <c r="AA61" s="48"/>
      <c r="AB61" s="32"/>
      <c r="AC61" s="32"/>
      <c r="BB61" s="58"/>
      <c r="BC61" s="57"/>
      <c r="BD61" s="59"/>
      <c r="BL61" s="81"/>
      <c r="BO61" s="81"/>
      <c r="BR61" s="81"/>
      <c r="BU61" s="81"/>
    </row>
    <row r="62" spans="1:74" ht="15" x14ac:dyDescent="0.25">
      <c r="B62" s="44" t="s">
        <v>114</v>
      </c>
      <c r="C62" s="55">
        <v>88.06460076047685</v>
      </c>
      <c r="D62" s="55">
        <v>84.897366306006205</v>
      </c>
      <c r="E62" s="55">
        <v>75.317013335170699</v>
      </c>
      <c r="F62" s="55">
        <v>70.518666512794553</v>
      </c>
      <c r="G62" s="55">
        <v>69.894441658373239</v>
      </c>
      <c r="H62" s="55">
        <v>69.236777360994139</v>
      </c>
      <c r="I62" s="55">
        <v>63.278016002357283</v>
      </c>
      <c r="J62" s="55">
        <v>63.126051840132682</v>
      </c>
      <c r="K62" s="55">
        <v>61.515141469736037</v>
      </c>
      <c r="L62" s="55">
        <v>61.104416797514219</v>
      </c>
      <c r="M62" s="55">
        <v>62.383696175970591</v>
      </c>
      <c r="N62" s="55">
        <v>63.46632025579634</v>
      </c>
      <c r="O62" s="55">
        <v>60.805492066117786</v>
      </c>
      <c r="P62" s="55">
        <v>60.439571150258097</v>
      </c>
      <c r="Q62" s="55">
        <v>62.763172441287438</v>
      </c>
      <c r="R62" s="55">
        <v>61.812803536302262</v>
      </c>
      <c r="S62" s="55">
        <v>62.07389555186991</v>
      </c>
      <c r="T62" s="55">
        <v>62.253941011734895</v>
      </c>
      <c r="U62" s="55">
        <v>61.603156264340676</v>
      </c>
      <c r="V62" s="55">
        <v>61.27942307563</v>
      </c>
      <c r="W62" s="55">
        <v>59.393980174069142</v>
      </c>
      <c r="X62" s="56"/>
      <c r="Y62" s="47"/>
      <c r="Z62" s="47"/>
      <c r="AA62" s="48"/>
      <c r="AB62" s="32"/>
      <c r="AC62" s="32"/>
      <c r="AD62" s="4">
        <v>8673.7080870000045</v>
      </c>
      <c r="AE62" s="57">
        <f>+AD62/AD59</f>
        <v>0.88064600760476852</v>
      </c>
      <c r="AF62" s="4">
        <v>8770.6107359999914</v>
      </c>
      <c r="AG62" s="57">
        <f>+AF62/AF59</f>
        <v>0.84897366306006206</v>
      </c>
      <c r="AH62" s="4">
        <v>9377.8946799999903</v>
      </c>
      <c r="AI62" s="57">
        <f>+AH62/AH59</f>
        <v>0.75317013335170702</v>
      </c>
      <c r="AJ62" s="4">
        <v>9878.6615729999976</v>
      </c>
      <c r="AK62" s="57">
        <f>+AJ62/AJ59</f>
        <v>0.70518666512794548</v>
      </c>
      <c r="AL62" s="4">
        <v>10198.991027000011</v>
      </c>
      <c r="AM62" s="57">
        <f>+AL62/AL59</f>
        <v>0.69894441658373241</v>
      </c>
      <c r="AN62" s="4">
        <v>10763.269271000014</v>
      </c>
      <c r="AO62" s="57">
        <f>+AN62/AN59</f>
        <v>0.69236777360994139</v>
      </c>
      <c r="AP62" s="4">
        <v>10522.374724999987</v>
      </c>
      <c r="AQ62" s="57">
        <f>+AP62/AP59</f>
        <v>0.63278016002357285</v>
      </c>
      <c r="AR62" s="4">
        <v>11113.547163000001</v>
      </c>
      <c r="AS62" s="57">
        <f>+AR62/AR59</f>
        <v>0.6312605184013268</v>
      </c>
      <c r="AT62" s="4">
        <v>11303.613573000001</v>
      </c>
      <c r="AU62" s="57">
        <f>+AT62/AT59</f>
        <v>0.61515141469736034</v>
      </c>
      <c r="AV62" s="54">
        <v>12001.305316000002</v>
      </c>
      <c r="AW62" s="57">
        <f>+AV62/AV59</f>
        <v>0.61104416797514216</v>
      </c>
      <c r="AX62" s="82">
        <v>12914.287800222222</v>
      </c>
      <c r="AY62" s="57">
        <f>+AX62/AX59</f>
        <v>0.62383696175970593</v>
      </c>
      <c r="AZ62" s="54">
        <v>13733.841407778333</v>
      </c>
      <c r="BA62" s="57">
        <f>+AZ62/AZ59</f>
        <v>0.63466320255796338</v>
      </c>
      <c r="BB62" s="58">
        <v>15032.180855000002</v>
      </c>
      <c r="BC62" s="57">
        <f>+BB62/BB59</f>
        <v>0.60805492066117783</v>
      </c>
      <c r="BD62" s="59">
        <f>+BC62*100</f>
        <v>60.805492066117786</v>
      </c>
      <c r="BE62" s="33">
        <v>16297.176545</v>
      </c>
      <c r="BF62" s="57">
        <f>+BE62/BE59</f>
        <v>0.60439571150258098</v>
      </c>
      <c r="BG62" s="59">
        <f>+BF62*100</f>
        <v>60.439571150258097</v>
      </c>
      <c r="BH62" s="33">
        <v>17000.664145000002</v>
      </c>
      <c r="BI62" s="57">
        <f>+BH62/BH59</f>
        <v>0.6276317244128744</v>
      </c>
      <c r="BJ62" s="59">
        <f>+BI62*100</f>
        <v>62.763172441287438</v>
      </c>
      <c r="BK62" s="33">
        <v>18195.325098000001</v>
      </c>
      <c r="BL62" s="57">
        <f>+BK62/BK59</f>
        <v>0.61812803536302263</v>
      </c>
      <c r="BM62" s="59">
        <f>+BL62*100</f>
        <v>61.812803536302262</v>
      </c>
      <c r="BN62" s="33">
        <v>19750.64294300001</v>
      </c>
      <c r="BO62" s="57">
        <f>+BN62/BN59</f>
        <v>0.62073895551869906</v>
      </c>
      <c r="BP62" s="59">
        <f>+BO62*100</f>
        <v>62.07389555186991</v>
      </c>
      <c r="BQ62" s="33">
        <v>20926.750973000002</v>
      </c>
      <c r="BR62" s="57">
        <f>+BQ62/BQ59</f>
        <v>0.62253941011734892</v>
      </c>
      <c r="BS62" s="59">
        <f>+BR62*100</f>
        <v>62.253941011734895</v>
      </c>
      <c r="BT62" s="33">
        <v>21938.578439286001</v>
      </c>
      <c r="BU62" s="57">
        <f>+BT62/BT59</f>
        <v>0.61603156264340675</v>
      </c>
      <c r="BV62" s="59">
        <f>+BU62*100</f>
        <v>61.603156264340676</v>
      </c>
    </row>
    <row r="63" spans="1:74" ht="15" x14ac:dyDescent="0.25">
      <c r="B63" s="44" t="s">
        <v>115</v>
      </c>
      <c r="C63" s="55">
        <v>11.935399239523152</v>
      </c>
      <c r="D63" s="55">
        <v>15.102633693993797</v>
      </c>
      <c r="E63" s="55">
        <v>24.682986664829283</v>
      </c>
      <c r="F63" s="55">
        <v>29.481333487205458</v>
      </c>
      <c r="G63" s="55">
        <v>30.105558341626761</v>
      </c>
      <c r="H63" s="55">
        <v>30.763222639005861</v>
      </c>
      <c r="I63" s="55">
        <v>36.721710646589052</v>
      </c>
      <c r="J63" s="55">
        <v>36.873948159867325</v>
      </c>
      <c r="K63" s="55">
        <v>38.484858530263971</v>
      </c>
      <c r="L63" s="55">
        <v>38.895583202485795</v>
      </c>
      <c r="M63" s="55">
        <v>37.616303824029409</v>
      </c>
      <c r="N63" s="55">
        <v>37.057720140621008</v>
      </c>
      <c r="O63" s="55">
        <v>39.194507933882221</v>
      </c>
      <c r="P63" s="55">
        <v>39.560428849741896</v>
      </c>
      <c r="Q63" s="55">
        <v>37.236827558712562</v>
      </c>
      <c r="R63" s="55">
        <v>38.187196463697731</v>
      </c>
      <c r="S63" s="55">
        <v>37.926104448130097</v>
      </c>
      <c r="T63" s="55">
        <v>37.746058988265077</v>
      </c>
      <c r="U63" s="55">
        <v>38.396843735659324</v>
      </c>
      <c r="V63" s="55">
        <v>38.720576924369993</v>
      </c>
      <c r="W63" s="55">
        <v>40.606019825930851</v>
      </c>
      <c r="X63" s="56"/>
      <c r="Y63" s="47"/>
      <c r="Z63" s="47"/>
      <c r="AA63" s="48"/>
      <c r="AB63" s="32"/>
      <c r="AC63" s="32"/>
      <c r="AD63" s="4">
        <v>1175.548041</v>
      </c>
      <c r="AE63" s="57">
        <f>+AD63/AD59</f>
        <v>0.11935399239523152</v>
      </c>
      <c r="AF63" s="4">
        <v>1560.2288619999999</v>
      </c>
      <c r="AG63" s="57">
        <f>+AF63/AF59</f>
        <v>0.15102633693993797</v>
      </c>
      <c r="AH63" s="4">
        <v>3073.3354799999997</v>
      </c>
      <c r="AI63" s="57">
        <f>+AH63/AH59</f>
        <v>0.24682986664829282</v>
      </c>
      <c r="AJ63" s="4">
        <v>4129.9152500000009</v>
      </c>
      <c r="AK63" s="57">
        <f>+AJ63/AJ59</f>
        <v>0.29481333487205458</v>
      </c>
      <c r="AL63" s="4">
        <v>4393.000532</v>
      </c>
      <c r="AM63" s="57">
        <f>+AL63/AL59</f>
        <v>0.30105558341626759</v>
      </c>
      <c r="AN63" s="4">
        <v>4782.3261210000001</v>
      </c>
      <c r="AO63" s="57">
        <f>+AN63/AN59</f>
        <v>0.30763222639005861</v>
      </c>
      <c r="AP63" s="4">
        <v>6106.3798200000001</v>
      </c>
      <c r="AQ63" s="57">
        <f>+AP63/AP59</f>
        <v>0.36721710646589051</v>
      </c>
      <c r="AR63" s="4">
        <v>6491.7787508479996</v>
      </c>
      <c r="AS63" s="57">
        <f>+AR63/AR59</f>
        <v>0.36873948159867326</v>
      </c>
      <c r="AT63" s="4">
        <v>7071.721837000001</v>
      </c>
      <c r="AU63" s="57">
        <f>+AT63/AT59</f>
        <v>0.38484858530263971</v>
      </c>
      <c r="AV63" s="54">
        <v>7639.3457939999998</v>
      </c>
      <c r="AW63" s="57">
        <f>+AV63/AV59</f>
        <v>0.38895583202485795</v>
      </c>
      <c r="AX63" s="82">
        <v>7787.095080000001</v>
      </c>
      <c r="AY63" s="57">
        <f>+AX63/AX59</f>
        <v>0.37616303824029407</v>
      </c>
      <c r="AZ63" s="54">
        <v>8019.1328139690013</v>
      </c>
      <c r="BA63" s="57">
        <f>+AZ63/AZ59</f>
        <v>0.37057720140621009</v>
      </c>
      <c r="BB63" s="58">
        <v>9689.5676979999989</v>
      </c>
      <c r="BC63" s="57">
        <f>+BB63/BB59</f>
        <v>0.39194507933882222</v>
      </c>
      <c r="BD63" s="59">
        <f>+BC63*100</f>
        <v>39.194507933882221</v>
      </c>
      <c r="BE63" s="33">
        <v>10667.238051</v>
      </c>
      <c r="BF63" s="57">
        <f>+BE63/BE59</f>
        <v>0.39560428849741897</v>
      </c>
      <c r="BG63" s="59">
        <f>+BF63*100</f>
        <v>39.560428849741896</v>
      </c>
      <c r="BH63" s="33">
        <v>10086.341632000001</v>
      </c>
      <c r="BI63" s="57">
        <f>+BH63/BH59</f>
        <v>0.37236827558712565</v>
      </c>
      <c r="BJ63" s="59">
        <f>+BI63*100</f>
        <v>37.236827558712562</v>
      </c>
      <c r="BK63" s="33">
        <v>11240.850026</v>
      </c>
      <c r="BL63" s="57">
        <f>+BK63/BK59</f>
        <v>0.38187196463697731</v>
      </c>
      <c r="BM63" s="59">
        <f>+BL63*100</f>
        <v>38.187196463697731</v>
      </c>
      <c r="BN63" s="33">
        <v>12067.310106999999</v>
      </c>
      <c r="BO63" s="57">
        <f>+BN63/BN59</f>
        <v>0.37926104448130099</v>
      </c>
      <c r="BP63" s="59">
        <f>+BO63*100</f>
        <v>37.926104448130097</v>
      </c>
      <c r="BQ63" s="33">
        <v>12688.391510999998</v>
      </c>
      <c r="BR63" s="57">
        <f>+BQ63/BQ59</f>
        <v>0.37746058988265074</v>
      </c>
      <c r="BS63" s="59">
        <f>+BR63*100</f>
        <v>37.746058988265077</v>
      </c>
      <c r="BT63" s="33">
        <v>13674.172221000001</v>
      </c>
      <c r="BU63" s="57">
        <f>+BT63/BT59</f>
        <v>0.38396843735659325</v>
      </c>
      <c r="BV63" s="59">
        <f>+BU63*100</f>
        <v>38.396843735659324</v>
      </c>
    </row>
    <row r="64" spans="1:74" ht="15" x14ac:dyDescent="0.25">
      <c r="B64" s="50" t="s">
        <v>116</v>
      </c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1"/>
      <c r="X64" s="56"/>
      <c r="Y64" s="47"/>
      <c r="Z64" s="47"/>
      <c r="AA64" s="48"/>
      <c r="AB64" s="32"/>
      <c r="AC64" s="32"/>
      <c r="AV64" s="54"/>
      <c r="BB64" s="58"/>
      <c r="BC64" s="57"/>
      <c r="BD64" s="59"/>
      <c r="BE64" s="33"/>
      <c r="BF64" s="57"/>
      <c r="BG64" s="59"/>
      <c r="BH64" s="33"/>
      <c r="BI64" s="57"/>
      <c r="BJ64" s="59"/>
      <c r="BK64" s="33"/>
      <c r="BL64" s="81"/>
      <c r="BN64" s="33"/>
      <c r="BO64" s="81"/>
      <c r="BQ64" s="33"/>
      <c r="BR64" s="81"/>
      <c r="BT64" s="33"/>
      <c r="BU64" s="81"/>
    </row>
    <row r="65" spans="1:74" ht="15" x14ac:dyDescent="0.25">
      <c r="B65" s="44" t="s">
        <v>117</v>
      </c>
      <c r="C65" s="55">
        <v>65.288025597378407</v>
      </c>
      <c r="D65" s="55">
        <v>65.646318265486613</v>
      </c>
      <c r="E65" s="55">
        <v>58.561679033326911</v>
      </c>
      <c r="F65" s="55">
        <v>55.364925359627293</v>
      </c>
      <c r="G65" s="55">
        <v>55.317831718600473</v>
      </c>
      <c r="H65" s="55">
        <v>54.07820072511511</v>
      </c>
      <c r="I65" s="55">
        <v>52.04765226594823</v>
      </c>
      <c r="J65" s="55">
        <v>52.381244471857499</v>
      </c>
      <c r="K65" s="55">
        <v>52.302665908181098</v>
      </c>
      <c r="L65" s="55">
        <v>52.709613876950542</v>
      </c>
      <c r="M65" s="55">
        <v>53.861652193655431</v>
      </c>
      <c r="N65" s="55">
        <v>55.034949002463605</v>
      </c>
      <c r="O65" s="55">
        <v>53.985600736888138</v>
      </c>
      <c r="P65" s="55">
        <v>54.032117115426956</v>
      </c>
      <c r="Q65" s="55">
        <v>56.132836892996671</v>
      </c>
      <c r="R65" s="55">
        <v>55.818565081179806</v>
      </c>
      <c r="S65" s="55">
        <v>56.223474652465079</v>
      </c>
      <c r="T65" s="55">
        <v>56.358940795855425</v>
      </c>
      <c r="U65" s="55">
        <v>55.829793032689814</v>
      </c>
      <c r="V65" s="55">
        <v>55.623710336236698</v>
      </c>
      <c r="W65" s="55">
        <v>54.310846503138123</v>
      </c>
      <c r="X65" s="56"/>
      <c r="Y65" s="47"/>
      <c r="Z65" s="47"/>
      <c r="AA65" s="48"/>
      <c r="AB65" s="32"/>
      <c r="AC65" s="32"/>
      <c r="AD65" s="54">
        <v>6430.3848620000044</v>
      </c>
      <c r="AE65" s="57">
        <f>+AD65/AD59</f>
        <v>0.65288025597378407</v>
      </c>
      <c r="AF65" s="54">
        <v>6781.8158419999918</v>
      </c>
      <c r="AG65" s="57">
        <f>+AF65/AF59</f>
        <v>0.65646318265486614</v>
      </c>
      <c r="AH65" s="54">
        <v>7291.6494419999917</v>
      </c>
      <c r="AI65" s="57">
        <f>+AH65/AH59</f>
        <v>0.58561679033326908</v>
      </c>
      <c r="AJ65" s="54">
        <v>7755.838101999997</v>
      </c>
      <c r="AK65" s="57">
        <f>+AJ65/AJ59</f>
        <v>0.55364925359627293</v>
      </c>
      <c r="AL65" s="54">
        <v>8071.9733350000115</v>
      </c>
      <c r="AM65" s="57">
        <f>+AL65/AL59</f>
        <v>0.55317831718600474</v>
      </c>
      <c r="AN65" s="54">
        <v>8406.7782800000132</v>
      </c>
      <c r="AO65" s="57">
        <f>+AN65/AN59</f>
        <v>0.54078200725115111</v>
      </c>
      <c r="AP65" s="54">
        <v>8654.9</v>
      </c>
      <c r="AQ65" s="57">
        <f>+AP65/AP59</f>
        <v>0.5204765226594823</v>
      </c>
      <c r="AR65" s="54">
        <v>9221.8888070000012</v>
      </c>
      <c r="AS65" s="57">
        <f>+AR65/AR59</f>
        <v>0.52381244471857502</v>
      </c>
      <c r="AT65" s="54">
        <v>9610.7902890000005</v>
      </c>
      <c r="AU65" s="57">
        <f>+AT65/AT59</f>
        <v>0.52302665908181101</v>
      </c>
      <c r="AV65" s="54">
        <v>10352.511363000001</v>
      </c>
      <c r="AW65" s="57">
        <f>+AV65/AV59</f>
        <v>0.52709613876950545</v>
      </c>
      <c r="AX65" s="4">
        <v>11150.106846222223</v>
      </c>
      <c r="AY65" s="57">
        <f>+AX65/AX59</f>
        <v>0.53861652193655429</v>
      </c>
      <c r="AZ65" s="54">
        <v>11909.328576773332</v>
      </c>
      <c r="BA65" s="57">
        <f>+AZ65/AZ59</f>
        <v>0.55034949002463607</v>
      </c>
      <c r="BB65" s="58">
        <v>13346.184469000002</v>
      </c>
      <c r="BC65" s="57">
        <f>+BB65/BB59</f>
        <v>0.5398560073688814</v>
      </c>
      <c r="BD65" s="59">
        <f>+BC65*100</f>
        <v>53.985600736888138</v>
      </c>
      <c r="BE65" s="33">
        <v>14569.444074000001</v>
      </c>
      <c r="BF65" s="57">
        <f>+BE65/BE59</f>
        <v>0.54032117115426959</v>
      </c>
      <c r="BG65" s="59">
        <f>+BF65*100</f>
        <v>54.032117115426956</v>
      </c>
      <c r="BH65" s="33">
        <v>15204.704772000001</v>
      </c>
      <c r="BI65" s="57">
        <f>+BH65/BH59</f>
        <v>0.56132836892996685</v>
      </c>
      <c r="BJ65" s="59">
        <f>+BI65*100</f>
        <v>56.132836892996686</v>
      </c>
      <c r="BK65" s="33">
        <v>16430.850569000002</v>
      </c>
      <c r="BL65" s="57">
        <f>+BK65/BK59</f>
        <v>0.55818565081179805</v>
      </c>
      <c r="BM65" s="59">
        <f>+BL65*100</f>
        <v>55.818565081179806</v>
      </c>
      <c r="BN65" s="33">
        <v>17889.158767999994</v>
      </c>
      <c r="BO65" s="57">
        <f>+BN65/BN59</f>
        <v>0.56223474652465077</v>
      </c>
      <c r="BP65" s="59">
        <f>+BO65*100</f>
        <v>56.223474652465079</v>
      </c>
      <c r="BQ65" s="33">
        <v>18945.138251000011</v>
      </c>
      <c r="BR65" s="57">
        <f>+BQ65/BQ59</f>
        <v>0.56358940795855428</v>
      </c>
      <c r="BS65" s="59">
        <f>+BR65*100</f>
        <v>56.358940795855425</v>
      </c>
      <c r="BT65" s="33">
        <v>19883.276369286003</v>
      </c>
      <c r="BU65" s="57">
        <f>+BT65/BT59</f>
        <v>0.55831902901729757</v>
      </c>
      <c r="BV65" s="59">
        <f>+BU65*100</f>
        <v>55.831902901729755</v>
      </c>
    </row>
    <row r="66" spans="1:74" ht="15" x14ac:dyDescent="0.25">
      <c r="B66" s="44" t="s">
        <v>118</v>
      </c>
      <c r="C66" s="55">
        <v>34.711974402621586</v>
      </c>
      <c r="D66" s="55">
        <v>34.353681734513394</v>
      </c>
      <c r="E66" s="55">
        <v>41.438320966673089</v>
      </c>
      <c r="F66" s="55">
        <v>44.635074640372707</v>
      </c>
      <c r="G66" s="55">
        <v>44.682168281399527</v>
      </c>
      <c r="H66" s="55">
        <v>45.921799274884883</v>
      </c>
      <c r="I66" s="55">
        <v>47.952347734051763</v>
      </c>
      <c r="J66" s="55">
        <v>47.618755528142508</v>
      </c>
      <c r="K66" s="55">
        <v>47.697334091818902</v>
      </c>
      <c r="L66" s="55">
        <v>47.290386123049458</v>
      </c>
      <c r="M66" s="55">
        <v>46.138347806344569</v>
      </c>
      <c r="N66" s="55">
        <v>45.489091393953743</v>
      </c>
      <c r="O66" s="55">
        <v>46.014399263111862</v>
      </c>
      <c r="P66" s="55">
        <v>45.967882884573044</v>
      </c>
      <c r="Q66" s="55">
        <v>43.867163107003329</v>
      </c>
      <c r="R66" s="55">
        <v>44.181434918820187</v>
      </c>
      <c r="S66" s="55">
        <v>43.776525347534871</v>
      </c>
      <c r="T66" s="55">
        <v>43.641059204144568</v>
      </c>
      <c r="U66" s="55">
        <v>44.170206967310186</v>
      </c>
      <c r="V66" s="55">
        <v>44.376289663763302</v>
      </c>
      <c r="W66" s="55">
        <v>45.68915349686187</v>
      </c>
      <c r="X66" s="56"/>
      <c r="Y66" s="47"/>
      <c r="Z66" s="47"/>
      <c r="AA66" s="48"/>
      <c r="AB66" s="32"/>
      <c r="AC66" s="32"/>
      <c r="AD66" s="54">
        <v>3418.8712659999997</v>
      </c>
      <c r="AE66" s="57">
        <f>+AD66/AD59</f>
        <v>0.34711974402621587</v>
      </c>
      <c r="AF66" s="54">
        <v>3549.0237560000005</v>
      </c>
      <c r="AG66" s="57">
        <f>+AF66/AF59</f>
        <v>0.34353681734513397</v>
      </c>
      <c r="AH66" s="54">
        <v>5159.5807179999993</v>
      </c>
      <c r="AI66" s="57">
        <f>+AH66/AH59</f>
        <v>0.41438320966673087</v>
      </c>
      <c r="AJ66" s="54">
        <v>6252.7387210000006</v>
      </c>
      <c r="AK66" s="57">
        <f>+AJ66/AJ59</f>
        <v>0.44635074640372707</v>
      </c>
      <c r="AL66" s="54">
        <v>6520.0182239999995</v>
      </c>
      <c r="AM66" s="57">
        <f>+AL66/AL59</f>
        <v>0.44682168281399526</v>
      </c>
      <c r="AN66" s="54">
        <v>7138.8171120000006</v>
      </c>
      <c r="AO66" s="57">
        <f>+AN66/AN59</f>
        <v>0.45921799274884884</v>
      </c>
      <c r="AP66" s="54">
        <v>7973.9</v>
      </c>
      <c r="AQ66" s="57">
        <f>+AP66/AP59</f>
        <v>0.47952347734051765</v>
      </c>
      <c r="AR66" s="54">
        <v>8383.4371068479995</v>
      </c>
      <c r="AS66" s="57">
        <f>+AR66/AR59</f>
        <v>0.47618755528142509</v>
      </c>
      <c r="AT66" s="54">
        <v>8764.545121000001</v>
      </c>
      <c r="AU66" s="57">
        <f>+AT66/AT59</f>
        <v>0.47697334091818905</v>
      </c>
      <c r="AV66" s="54">
        <v>9288.1397469999993</v>
      </c>
      <c r="AW66" s="57">
        <f>+AV66/AV59</f>
        <v>0.4729038612304946</v>
      </c>
      <c r="AX66" s="4">
        <v>9551.2760340000004</v>
      </c>
      <c r="AY66" s="57">
        <f>+AX66/AX59</f>
        <v>0.46138347806344571</v>
      </c>
      <c r="AZ66" s="54">
        <v>9843.6456449740017</v>
      </c>
      <c r="BA66" s="57">
        <f>+AZ66/AZ59</f>
        <v>0.4548909139395374</v>
      </c>
      <c r="BB66" s="58">
        <v>11375.564084</v>
      </c>
      <c r="BC66" s="57">
        <f>+BB66/BB59</f>
        <v>0.4601439926311186</v>
      </c>
      <c r="BD66" s="59">
        <f>+BC66*100</f>
        <v>46.014399263111862</v>
      </c>
      <c r="BE66" s="33">
        <v>12394.970522</v>
      </c>
      <c r="BF66" s="57">
        <f>+BE66/BE59</f>
        <v>0.45967882884573041</v>
      </c>
      <c r="BG66" s="59">
        <f>+BF66*100</f>
        <v>45.967882884573044</v>
      </c>
      <c r="BH66" s="33">
        <v>11882.301005000001</v>
      </c>
      <c r="BI66" s="57">
        <f>+BH66/BH59</f>
        <v>0.43867163107003315</v>
      </c>
      <c r="BJ66" s="59">
        <f>+BI66*100</f>
        <v>43.867163107003314</v>
      </c>
      <c r="BK66" s="33">
        <v>13005.324554999999</v>
      </c>
      <c r="BL66" s="57">
        <f>+BK66/BK59</f>
        <v>0.44181434918820189</v>
      </c>
      <c r="BM66" s="59">
        <f>+BL66*100</f>
        <v>44.181434918820187</v>
      </c>
      <c r="BN66" s="33">
        <v>13928.794281999999</v>
      </c>
      <c r="BO66" s="57">
        <f>+BN66/BN59</f>
        <v>0.43776525347534873</v>
      </c>
      <c r="BP66" s="59">
        <f>+BO66*100</f>
        <v>43.776525347534871</v>
      </c>
      <c r="BQ66" s="33">
        <v>14670.004232999998</v>
      </c>
      <c r="BR66" s="57">
        <f>+BQ66/BQ59</f>
        <v>0.43641059204144567</v>
      </c>
      <c r="BS66" s="59">
        <f>+BR66*100</f>
        <v>43.641059204144568</v>
      </c>
      <c r="BT66" s="33">
        <v>15729.474291</v>
      </c>
      <c r="BU66" s="57">
        <f>+BT66/BT59</f>
        <v>0.44168097098270248</v>
      </c>
      <c r="BV66" s="59">
        <f>+BU66*100</f>
        <v>44.168097098270245</v>
      </c>
    </row>
    <row r="67" spans="1:74" ht="15" x14ac:dyDescent="0.25">
      <c r="B67" s="50" t="s">
        <v>99</v>
      </c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1"/>
      <c r="X67" s="56"/>
      <c r="Y67" s="47"/>
      <c r="Z67" s="47"/>
      <c r="AA67" s="48"/>
      <c r="AB67" s="32"/>
      <c r="AC67" s="32"/>
      <c r="AK67" s="35"/>
      <c r="BB67" s="58"/>
      <c r="BC67" s="57"/>
      <c r="BD67" s="59"/>
      <c r="BE67" s="33"/>
      <c r="BF67" s="57"/>
      <c r="BG67" s="59"/>
      <c r="BH67" s="33"/>
      <c r="BI67" s="57"/>
      <c r="BJ67" s="59"/>
      <c r="BK67" s="33"/>
      <c r="BL67" s="81"/>
      <c r="BN67" s="33"/>
      <c r="BO67" s="81"/>
      <c r="BQ67" s="33"/>
      <c r="BR67" s="81"/>
      <c r="BT67" s="33"/>
      <c r="BU67" s="81"/>
    </row>
    <row r="68" spans="1:74" ht="15" x14ac:dyDescent="0.25">
      <c r="B68" s="44" t="s">
        <v>101</v>
      </c>
      <c r="C68" s="55">
        <v>85.361358855302925</v>
      </c>
      <c r="D68" s="55">
        <v>85.102012944834101</v>
      </c>
      <c r="E68" s="55">
        <f>80.5201220214213-0.05</f>
        <v>80.470122021421304</v>
      </c>
      <c r="F68" s="55">
        <v>80.710376199219724</v>
      </c>
      <c r="G68" s="55">
        <v>79.918814658354833</v>
      </c>
      <c r="H68" s="55">
        <v>79.680001593083972</v>
      </c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6"/>
      <c r="Y68" s="47"/>
      <c r="Z68" s="47"/>
      <c r="AA68" s="48"/>
      <c r="AB68" s="32"/>
      <c r="AC68" s="32"/>
      <c r="AD68" s="54">
        <v>8407.4588679999979</v>
      </c>
      <c r="AE68" s="57">
        <f>+AD68/AD59</f>
        <v>0.85361358855302927</v>
      </c>
      <c r="AF68" s="54">
        <v>8791.7524520000006</v>
      </c>
      <c r="AG68" s="57">
        <f>+AF68/AF59</f>
        <v>0.85102012944834105</v>
      </c>
      <c r="AH68" s="54">
        <v>10025.745718000002</v>
      </c>
      <c r="AI68" s="83">
        <f>+AH68/AH59</f>
        <v>0.80520122021421281</v>
      </c>
      <c r="AJ68" s="54">
        <v>11306.375054</v>
      </c>
      <c r="AK68" s="63">
        <f>+AJ68/AJ59</f>
        <v>0.80710376199219724</v>
      </c>
      <c r="AL68" s="54">
        <v>11661.746689</v>
      </c>
      <c r="AM68" s="57">
        <f>+AL68/AL59</f>
        <v>0.79918814658354831</v>
      </c>
      <c r="AN68" s="54">
        <v>12386.730656</v>
      </c>
      <c r="AO68" s="57">
        <f>+AN68/AN59</f>
        <v>0.79680001593083971</v>
      </c>
      <c r="BB68" s="58"/>
      <c r="BC68" s="57"/>
      <c r="BD68" s="59"/>
      <c r="BF68" s="57"/>
      <c r="BG68" s="59"/>
      <c r="BI68" s="57"/>
      <c r="BJ68" s="59"/>
      <c r="BK68" s="33"/>
      <c r="BL68" s="81"/>
      <c r="BN68" s="33"/>
      <c r="BO68" s="81"/>
      <c r="BQ68" s="33"/>
      <c r="BR68" s="81"/>
      <c r="BT68" s="33"/>
      <c r="BU68" s="81"/>
    </row>
    <row r="69" spans="1:74" ht="15" x14ac:dyDescent="0.25">
      <c r="B69" s="44" t="s">
        <v>102</v>
      </c>
      <c r="C69" s="55">
        <v>10.60635344866523</v>
      </c>
      <c r="D69" s="55">
        <v>12.00624642589675</v>
      </c>
      <c r="E69" s="55">
        <v>16.584800172065901</v>
      </c>
      <c r="F69" s="55">
        <v>16.325212888472738</v>
      </c>
      <c r="G69" s="55">
        <v>16.922858391299854</v>
      </c>
      <c r="H69" s="55">
        <v>17.380843678656817</v>
      </c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6"/>
      <c r="Y69" s="47"/>
      <c r="Z69" s="47"/>
      <c r="AA69" s="48"/>
      <c r="AB69" s="32"/>
      <c r="AC69" s="32"/>
      <c r="AD69" s="54">
        <v>1044.646917</v>
      </c>
      <c r="AE69" s="57">
        <f>+AD69/AD59</f>
        <v>0.1060635344866523</v>
      </c>
      <c r="AF69" s="54">
        <v>1240.3460600000001</v>
      </c>
      <c r="AG69" s="57">
        <f>+AF69/AF59</f>
        <v>0.12006246425896749</v>
      </c>
      <c r="AH69" s="54">
        <v>2065.0116410000001</v>
      </c>
      <c r="AI69" s="57">
        <f>+AH69/AH59</f>
        <v>0.165848001720659</v>
      </c>
      <c r="AJ69" s="54">
        <v>2286.9299890000002</v>
      </c>
      <c r="AK69" s="63">
        <f>+AJ69/AJ59</f>
        <v>0.16325212888472737</v>
      </c>
      <c r="AL69" s="54">
        <v>2469.3820679999999</v>
      </c>
      <c r="AM69" s="57">
        <f>+AL69/AL59</f>
        <v>0.16922858391299855</v>
      </c>
      <c r="AN69" s="54">
        <v>2701.9556339999999</v>
      </c>
      <c r="AO69" s="57">
        <f>+AN69/AN59</f>
        <v>0.17380843678656818</v>
      </c>
      <c r="BB69" s="58"/>
      <c r="BC69" s="57"/>
      <c r="BD69" s="59"/>
      <c r="BF69" s="57"/>
      <c r="BG69" s="59"/>
      <c r="BI69" s="57"/>
      <c r="BJ69" s="59"/>
      <c r="BK69" s="33"/>
      <c r="BL69" s="81"/>
      <c r="BN69" s="33"/>
      <c r="BO69" s="81"/>
      <c r="BQ69" s="33"/>
      <c r="BR69" s="81"/>
      <c r="BT69" s="33"/>
      <c r="BU69" s="81"/>
    </row>
    <row r="70" spans="1:74" ht="15" x14ac:dyDescent="0.25">
      <c r="B70" s="44" t="s">
        <v>103</v>
      </c>
      <c r="C70" s="55"/>
      <c r="D70" s="55"/>
      <c r="E70" s="55"/>
      <c r="F70" s="55"/>
      <c r="G70" s="55"/>
      <c r="H70" s="55"/>
      <c r="I70" s="55">
        <v>97.449293388578852</v>
      </c>
      <c r="J70" s="55">
        <v>97.906578544449985</v>
      </c>
      <c r="K70" s="55">
        <v>98.157896939308159</v>
      </c>
      <c r="L70" s="55">
        <v>98.109471229235652</v>
      </c>
      <c r="M70" s="55">
        <v>98.00259009075647</v>
      </c>
      <c r="N70" s="55">
        <v>96</v>
      </c>
      <c r="O70" s="55">
        <v>98.21486253266481</v>
      </c>
      <c r="P70" s="55">
        <v>98.174498221544866</v>
      </c>
      <c r="Q70" s="55">
        <v>98.200049927947418</v>
      </c>
      <c r="R70" s="55">
        <v>98.918918661614626</v>
      </c>
      <c r="S70" s="55">
        <v>98.929532916637456</v>
      </c>
      <c r="T70" s="55">
        <v>98.894210532717693</v>
      </c>
      <c r="U70" s="55">
        <v>98.841806652375553</v>
      </c>
      <c r="V70" s="55">
        <v>98.954129622801204</v>
      </c>
      <c r="W70" s="55">
        <v>98.532112962280095</v>
      </c>
      <c r="X70" s="56"/>
      <c r="Y70" s="47"/>
      <c r="Z70" s="47"/>
      <c r="AA70" s="48"/>
      <c r="AB70" s="32"/>
      <c r="AC70" s="32"/>
      <c r="AD70" s="54">
        <v>397.15266800000001</v>
      </c>
      <c r="AE70" s="57">
        <f>+AD70/AD59</f>
        <v>4.0323113018754041E-2</v>
      </c>
      <c r="AF70" s="54">
        <v>298.741086</v>
      </c>
      <c r="AG70" s="57">
        <f>+AF70/AF59</f>
        <v>2.8917406292692325E-2</v>
      </c>
      <c r="AH70" s="54">
        <v>360.472802</v>
      </c>
      <c r="AI70" s="57">
        <f>+AH70/AH59</f>
        <v>2.8950778145442318E-2</v>
      </c>
      <c r="AJ70" s="54">
        <v>415.27192100000002</v>
      </c>
      <c r="AK70" s="57">
        <f>+AJ70/AJ59</f>
        <v>2.9644119188337915E-2</v>
      </c>
      <c r="AL70" s="54">
        <v>460.86363500000004</v>
      </c>
      <c r="AM70" s="57">
        <f>+AL70/AL59</f>
        <v>3.1583326589559993E-2</v>
      </c>
      <c r="AN70" s="54">
        <v>456.90958899999998</v>
      </c>
      <c r="AO70" s="57">
        <f>+AN70/AN59</f>
        <v>2.9391578609792728E-2</v>
      </c>
      <c r="AP70" s="54">
        <v>16204.648099</v>
      </c>
      <c r="AQ70" s="57">
        <f>+AP70/AP59</f>
        <v>0.9744929338857885</v>
      </c>
      <c r="AR70" s="54">
        <v>17236.772243847998</v>
      </c>
      <c r="AS70" s="57">
        <f>+AR70/AR59</f>
        <v>0.97906578544449985</v>
      </c>
      <c r="AT70" s="84">
        <v>18036.842793999997</v>
      </c>
      <c r="AU70" s="57">
        <f>+AT70/AT59</f>
        <v>0.98157896939308154</v>
      </c>
      <c r="AV70" s="54">
        <v>19269.338950000001</v>
      </c>
      <c r="AW70" s="57">
        <f>+AV70/AV59</f>
        <v>0.98109471229235645</v>
      </c>
      <c r="AX70" s="4">
        <v>20287.891407222221</v>
      </c>
      <c r="AY70" s="57">
        <f>+AX70/AX59</f>
        <v>0.9800259009075647</v>
      </c>
      <c r="AZ70" s="54">
        <v>21303.729070908055</v>
      </c>
      <c r="BA70" s="57">
        <f>+AZ70/AZ59</f>
        <v>0.98448005311260389</v>
      </c>
      <c r="BB70" s="58">
        <v>24280.431357000001</v>
      </c>
      <c r="BC70" s="57">
        <f>+BB70/BB59</f>
        <v>0.98214862532664804</v>
      </c>
      <c r="BD70" s="59">
        <f>+BC70*100</f>
        <v>98.21486253266481</v>
      </c>
      <c r="BE70" s="33">
        <v>26472.178728000006</v>
      </c>
      <c r="BF70" s="57">
        <f>+BE70/BE59</f>
        <v>0.9817449822154487</v>
      </c>
      <c r="BG70" s="59">
        <f>+BF70*100</f>
        <v>98.174498221544866</v>
      </c>
      <c r="BH70" s="85">
        <v>26599.453197000003</v>
      </c>
      <c r="BI70" s="57">
        <f>+BH70/BH59</f>
        <v>0.98200049927947419</v>
      </c>
      <c r="BJ70" s="59">
        <f>+BI70*100</f>
        <v>98.200049927947418</v>
      </c>
      <c r="BK70" s="33">
        <v>29117.946128</v>
      </c>
      <c r="BL70" s="57">
        <f>+BK70/BK59</f>
        <v>0.9891891866161463</v>
      </c>
      <c r="BM70" s="59">
        <f>+BL70*100</f>
        <v>98.918918661614626</v>
      </c>
      <c r="BN70" s="33">
        <v>31477.352336000007</v>
      </c>
      <c r="BO70" s="57">
        <f>+BN70/BN59</f>
        <v>0.98929532916637453</v>
      </c>
      <c r="BP70" s="59">
        <f>+BO70*100</f>
        <v>98.929532916637456</v>
      </c>
      <c r="BQ70" s="33">
        <v>33243.429778999998</v>
      </c>
      <c r="BR70" s="57">
        <f>+BQ70/BQ59</f>
        <v>0.98894210532717697</v>
      </c>
      <c r="BS70" s="59">
        <f>+BR70*100</f>
        <v>98.894210532717693</v>
      </c>
      <c r="BT70" s="33">
        <v>35198.604751000006</v>
      </c>
      <c r="BU70" s="57">
        <f>+BT70/BT59</f>
        <v>0.98837085309032768</v>
      </c>
      <c r="BV70" s="59">
        <f>+BU70*100</f>
        <v>98.837085309032773</v>
      </c>
    </row>
    <row r="71" spans="1:74" ht="15" x14ac:dyDescent="0.25">
      <c r="B71" s="44" t="s">
        <v>104</v>
      </c>
      <c r="C71" s="55">
        <v>4.0323113018754038</v>
      </c>
      <c r="D71" s="55">
        <v>2.8917406292692327</v>
      </c>
      <c r="E71" s="55">
        <v>2.8950778145442317</v>
      </c>
      <c r="F71" s="55">
        <v>2.9644119188337914</v>
      </c>
      <c r="G71" s="55">
        <v>3.1583326589559992</v>
      </c>
      <c r="H71" s="55">
        <v>2.939157860979273</v>
      </c>
      <c r="I71" s="55">
        <v>2.5505170607620515</v>
      </c>
      <c r="J71" s="55">
        <v>2.0934215237112026</v>
      </c>
      <c r="K71" s="55">
        <v>1.8421030606918316</v>
      </c>
      <c r="L71" s="55">
        <v>1.8905287707643617</v>
      </c>
      <c r="M71" s="55">
        <v>1.997409909243518</v>
      </c>
      <c r="N71" s="55">
        <v>4</v>
      </c>
      <c r="O71" s="55">
        <v>1.7851374673351967</v>
      </c>
      <c r="P71" s="55">
        <v>1.8255017784551495</v>
      </c>
      <c r="Q71" s="55">
        <v>1.7999500720525874</v>
      </c>
      <c r="R71" s="55">
        <v>1.0810813383853681</v>
      </c>
      <c r="S71" s="55">
        <v>1.0704670833625485</v>
      </c>
      <c r="T71" s="55">
        <v>1.1057894672822706</v>
      </c>
      <c r="U71" s="55">
        <v>1.1581933476244441</v>
      </c>
      <c r="V71" s="55">
        <v>1.0458703771987701</v>
      </c>
      <c r="W71" s="55">
        <v>1.4678870377199047</v>
      </c>
      <c r="X71" s="56"/>
      <c r="Y71" s="47"/>
      <c r="Z71" s="47"/>
      <c r="AA71" s="48"/>
      <c r="AB71" s="32"/>
      <c r="AC71" s="32"/>
      <c r="AP71" s="54">
        <v>424.12038100000001</v>
      </c>
      <c r="AQ71" s="57">
        <f>+AP71/AP59</f>
        <v>2.5505170607620517E-2</v>
      </c>
      <c r="AR71" s="54">
        <v>368.55368199999998</v>
      </c>
      <c r="AS71" s="57">
        <f>+AR71/AR59</f>
        <v>2.0934215237112027E-2</v>
      </c>
      <c r="AT71" s="54">
        <v>338.49261599999994</v>
      </c>
      <c r="AU71" s="57">
        <f>+AT71/AT59</f>
        <v>1.8421030606918316E-2</v>
      </c>
      <c r="AV71" s="54">
        <v>371.31215999999995</v>
      </c>
      <c r="AW71" s="57">
        <f>+AV71/AV59</f>
        <v>1.8905287707643617E-2</v>
      </c>
      <c r="AX71" s="4">
        <v>413.49147299999987</v>
      </c>
      <c r="AY71" s="57">
        <f>+AX71/AX59</f>
        <v>1.997409909243518E-2</v>
      </c>
      <c r="AZ71" s="54">
        <v>450.29221409699983</v>
      </c>
      <c r="BA71" s="57">
        <f>+AZ71/AZ59</f>
        <v>2.0808737351798799E-2</v>
      </c>
      <c r="BB71" s="58">
        <v>441.31719599999985</v>
      </c>
      <c r="BC71" s="57">
        <f>+BB71/BB59</f>
        <v>1.7851374673351968E-2</v>
      </c>
      <c r="BD71" s="59">
        <f>+BC71*100</f>
        <v>1.7851374673351967</v>
      </c>
      <c r="BE71" s="33">
        <v>492.23586799999998</v>
      </c>
      <c r="BF71" s="57">
        <f>+BE71/BE59</f>
        <v>1.8255017784551495E-2</v>
      </c>
      <c r="BG71" s="59">
        <f>+BF71*100</f>
        <v>1.8255017784551495</v>
      </c>
      <c r="BH71" s="85">
        <v>487.55258000000003</v>
      </c>
      <c r="BI71" s="57">
        <f>+BH71/BH59</f>
        <v>1.7999500720525873E-2</v>
      </c>
      <c r="BJ71" s="59">
        <f>+BI71*100</f>
        <v>1.7999500720525874</v>
      </c>
      <c r="BK71" s="33">
        <v>318.228996</v>
      </c>
      <c r="BL71" s="57">
        <f>+BK71/BK59</f>
        <v>1.081081338385368E-2</v>
      </c>
      <c r="BM71" s="59">
        <f>+BL71*100</f>
        <v>1.0810813383853681</v>
      </c>
      <c r="BN71" s="33">
        <v>340.6007140000001</v>
      </c>
      <c r="BO71" s="57">
        <f>+BN71/BN59</f>
        <v>1.0704670833625484E-2</v>
      </c>
      <c r="BP71" s="59">
        <f>+BO71*100</f>
        <v>1.0704670833625485</v>
      </c>
      <c r="BQ71" s="33">
        <v>371.71270499999997</v>
      </c>
      <c r="BR71" s="57">
        <f>+BQ71/BQ59</f>
        <v>1.1057894672822706E-2</v>
      </c>
      <c r="BS71" s="59">
        <f>+BR71*100</f>
        <v>1.1057894672822706</v>
      </c>
      <c r="BT71" s="33">
        <v>414.14591128599989</v>
      </c>
      <c r="BU71" s="57">
        <f>+BT71/BT59</f>
        <v>1.1629146965832095E-2</v>
      </c>
      <c r="BV71" s="59">
        <f>+BU71*100</f>
        <v>1.1629146965832096</v>
      </c>
    </row>
    <row r="72" spans="1:74" ht="13.5" thickBot="1" x14ac:dyDescent="0.25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6"/>
      <c r="Y72" s="47"/>
      <c r="Z72" s="47"/>
      <c r="AA72" s="48"/>
      <c r="AB72" s="32"/>
      <c r="AC72" s="32"/>
      <c r="BB72" s="62"/>
      <c r="BD72" s="59"/>
      <c r="BE72" s="33"/>
      <c r="BH72" s="33"/>
    </row>
    <row r="73" spans="1:74" x14ac:dyDescent="0.2">
      <c r="B73" s="1454" t="s">
        <v>119</v>
      </c>
      <c r="C73" s="1455">
        <v>19.7</v>
      </c>
      <c r="D73" s="1455">
        <v>17</v>
      </c>
      <c r="E73" s="1455">
        <v>14.5</v>
      </c>
      <c r="F73" s="1455">
        <v>12.4</v>
      </c>
      <c r="G73" s="1455">
        <v>11.3</v>
      </c>
      <c r="H73" s="1455">
        <v>10.4</v>
      </c>
      <c r="I73" s="1455">
        <v>9.6999999999999993</v>
      </c>
      <c r="J73" s="1455">
        <v>9.1</v>
      </c>
      <c r="K73" s="1455">
        <v>9.07</v>
      </c>
      <c r="L73" s="1455">
        <v>8.6999999999999993</v>
      </c>
      <c r="M73" s="1455">
        <v>8.4</v>
      </c>
      <c r="N73" s="1455">
        <v>8.5519999999999996</v>
      </c>
      <c r="O73" s="1455">
        <v>8.1739999999999995</v>
      </c>
      <c r="P73" s="1455">
        <v>8.0039999999999996</v>
      </c>
      <c r="Q73" s="1455">
        <v>7.85</v>
      </c>
      <c r="R73" s="1455">
        <v>7.81</v>
      </c>
      <c r="S73" s="1455">
        <v>7.7</v>
      </c>
      <c r="T73" s="1455">
        <v>7.633</v>
      </c>
      <c r="U73" s="1455">
        <v>7.468</v>
      </c>
      <c r="V73" s="1455">
        <v>7.4</v>
      </c>
      <c r="W73" s="1455">
        <v>7.45</v>
      </c>
      <c r="X73" s="1446">
        <f>((W73/V73)-1)*100</f>
        <v>0.67567567567567988</v>
      </c>
      <c r="Y73" s="1447">
        <f>((W73/R73)^(1/5))-1</f>
        <v>-9.3937864063762255E-3</v>
      </c>
      <c r="Z73" s="1448">
        <f>((W73/M73)-1)*100</f>
        <v>-11.309523809523814</v>
      </c>
      <c r="AA73" s="1449">
        <f>((W73/M73)^(1/10))-1</f>
        <v>-1.1930033400898377E-2</v>
      </c>
      <c r="AB73" s="32"/>
      <c r="AC73" s="32"/>
      <c r="BB73" s="62"/>
      <c r="BD73" s="59"/>
    </row>
    <row r="74" spans="1:74" ht="13.5" thickBot="1" x14ac:dyDescent="0.25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6"/>
      <c r="Y74" s="47"/>
      <c r="Z74" s="47"/>
      <c r="AA74" s="48"/>
      <c r="AB74" s="32"/>
      <c r="AC74" s="32"/>
      <c r="BB74" s="62"/>
      <c r="BD74" s="59"/>
    </row>
    <row r="75" spans="1:74" x14ac:dyDescent="0.2">
      <c r="A75" s="35"/>
      <c r="B75" s="1454" t="s">
        <v>120</v>
      </c>
      <c r="C75" s="1456">
        <v>295.166629</v>
      </c>
      <c r="D75" s="1456">
        <v>508.84737699999999</v>
      </c>
      <c r="E75" s="1456">
        <v>594.18388100000004</v>
      </c>
      <c r="F75" s="1456">
        <v>612.99943099999996</v>
      </c>
      <c r="G75" s="1456">
        <v>764.17922801183431</v>
      </c>
      <c r="H75" s="1456">
        <v>659.21399999999994</v>
      </c>
      <c r="I75" s="1456">
        <v>351.06397000000004</v>
      </c>
      <c r="J75" s="1456">
        <v>259.529</v>
      </c>
      <c r="K75" s="1456">
        <v>235.38499999999999</v>
      </c>
      <c r="L75" s="1456">
        <v>323.77300000000002</v>
      </c>
      <c r="M75" s="1456">
        <v>393.73589000000004</v>
      </c>
      <c r="N75" s="1456">
        <v>480.15670999999998</v>
      </c>
      <c r="O75" s="1456">
        <v>629.00013000000001</v>
      </c>
      <c r="P75" s="1456">
        <v>862.00699999999995</v>
      </c>
      <c r="Q75" s="1457">
        <v>1176.8417200000001</v>
      </c>
      <c r="R75" s="1457">
        <v>1367.7389999999998</v>
      </c>
      <c r="S75" s="1457">
        <v>1880</v>
      </c>
      <c r="T75" s="1457">
        <v>2738.9250697518219</v>
      </c>
      <c r="U75" s="1457">
        <v>2589.0289318988771</v>
      </c>
      <c r="V75" s="1457">
        <v>2585.5924817041569</v>
      </c>
      <c r="W75" s="1456">
        <v>2383.7920826942809</v>
      </c>
      <c r="X75" s="1446">
        <f>((W75/V75)-1)*100</f>
        <v>-7.8048029779569035</v>
      </c>
      <c r="Y75" s="1447">
        <f>((W75/R75)^(1/5))-1</f>
        <v>0.11751414377582559</v>
      </c>
      <c r="Z75" s="1448">
        <f>((W75/M75)-1)*100</f>
        <v>505.42920857285338</v>
      </c>
      <c r="AA75" s="1449">
        <f>((W75/M75)^(1/10))-1</f>
        <v>0.19730924783283621</v>
      </c>
      <c r="AB75" s="32"/>
      <c r="AC75" s="32"/>
      <c r="BB75" s="62"/>
      <c r="BD75" s="59"/>
    </row>
    <row r="76" spans="1:74" x14ac:dyDescent="0.2">
      <c r="B76" s="44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6"/>
      <c r="Y76" s="47"/>
      <c r="Z76" s="47"/>
      <c r="AA76" s="48"/>
      <c r="AB76" s="32"/>
      <c r="AC76" s="32"/>
      <c r="BB76" s="62"/>
      <c r="BD76" s="59"/>
    </row>
    <row r="77" spans="1:74" x14ac:dyDescent="0.2">
      <c r="B77" s="1454" t="s">
        <v>121</v>
      </c>
      <c r="C77" s="1458"/>
      <c r="D77" s="1458"/>
      <c r="E77" s="1458"/>
      <c r="F77" s="1458"/>
      <c r="G77" s="1458"/>
      <c r="H77" s="1458"/>
      <c r="I77" s="1458"/>
      <c r="J77" s="1458"/>
      <c r="K77" s="1458"/>
      <c r="L77" s="1458"/>
      <c r="M77" s="1458"/>
      <c r="N77" s="1458"/>
      <c r="O77" s="1458"/>
      <c r="P77" s="1458"/>
      <c r="Q77" s="1458"/>
      <c r="R77" s="1458"/>
      <c r="S77" s="1458"/>
      <c r="T77" s="1458"/>
      <c r="U77" s="1458"/>
      <c r="V77" s="1458"/>
      <c r="W77" s="1458"/>
      <c r="X77" s="1459"/>
      <c r="Y77" s="1460"/>
      <c r="Z77" s="1461"/>
      <c r="AA77" s="1462"/>
      <c r="AB77" s="32"/>
      <c r="AC77" s="32"/>
      <c r="BB77" s="62"/>
      <c r="BD77" s="59"/>
    </row>
    <row r="78" spans="1:74" x14ac:dyDescent="0.2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6"/>
      <c r="Y78" s="47"/>
      <c r="Z78" s="47"/>
      <c r="AA78" s="48"/>
      <c r="AB78" s="32"/>
      <c r="AC78" s="32"/>
      <c r="BB78" s="62"/>
      <c r="BD78" s="59"/>
    </row>
    <row r="79" spans="1:74" ht="14.25" x14ac:dyDescent="0.2">
      <c r="B79" s="44" t="s">
        <v>122</v>
      </c>
      <c r="C79" s="86">
        <v>23345374.457474682</v>
      </c>
      <c r="D79" s="86">
        <v>23706552.27896985</v>
      </c>
      <c r="E79" s="86">
        <v>24073317.906262591</v>
      </c>
      <c r="F79" s="86">
        <v>24445757.788663395</v>
      </c>
      <c r="G79" s="86">
        <v>24823959.712945703</v>
      </c>
      <c r="H79" s="86">
        <v>25208012.824037906</v>
      </c>
      <c r="I79" s="86">
        <v>25598007.646035425</v>
      </c>
      <c r="J79" s="86">
        <v>25994036.103537917</v>
      </c>
      <c r="K79" s="86">
        <v>26396191.543316551</v>
      </c>
      <c r="L79" s="86">
        <v>26804568.756316524</v>
      </c>
      <c r="M79" s="86">
        <v>27810540</v>
      </c>
      <c r="N79" s="86">
        <v>28151443</v>
      </c>
      <c r="O79" s="86">
        <v>28481901</v>
      </c>
      <c r="P79" s="86">
        <v>28807034</v>
      </c>
      <c r="Q79" s="86">
        <v>29132013</v>
      </c>
      <c r="R79" s="86">
        <v>29461933</v>
      </c>
      <c r="S79" s="86">
        <v>29797694</v>
      </c>
      <c r="T79" s="86">
        <v>30135875</v>
      </c>
      <c r="U79" s="86">
        <v>30475144</v>
      </c>
      <c r="V79" s="86">
        <v>30814175</v>
      </c>
      <c r="W79" s="86">
        <v>31151643</v>
      </c>
      <c r="X79" s="87">
        <f>((W79/V79)-1)*100</f>
        <v>1.0951712969761385</v>
      </c>
      <c r="Y79" s="88">
        <f>((W79/R79)^(1/5))-1</f>
        <v>1.1216026291823722E-2</v>
      </c>
      <c r="Z79" s="89">
        <f>((W79/M79)-1)*100</f>
        <v>12.013801242262833</v>
      </c>
      <c r="AA79" s="90">
        <f>((W79/M79)^(1/10))-1</f>
        <v>1.1409791052277907E-2</v>
      </c>
      <c r="AB79" s="32"/>
      <c r="AC79" s="32"/>
      <c r="BD79" s="59"/>
    </row>
    <row r="80" spans="1:74" x14ac:dyDescent="0.2">
      <c r="B80" s="44" t="s">
        <v>123</v>
      </c>
      <c r="C80" s="55">
        <v>583.54412574599746</v>
      </c>
      <c r="D80" s="55">
        <v>603.34119570344888</v>
      </c>
      <c r="E80" s="55">
        <v>625.42605130816651</v>
      </c>
      <c r="F80" s="55">
        <v>645.31347153883951</v>
      </c>
      <c r="G80" s="55">
        <v>655.61625732548214</v>
      </c>
      <c r="H80" s="55">
        <v>679.95819942836761</v>
      </c>
      <c r="I80" s="55">
        <v>710.99105823647039</v>
      </c>
      <c r="J80" s="55">
        <v>737.40531622325182</v>
      </c>
      <c r="K80" s="55">
        <v>755.30692832269779</v>
      </c>
      <c r="L80" s="55">
        <v>794.18268518061961</v>
      </c>
      <c r="M80" s="55">
        <v>805.45882066401725</v>
      </c>
      <c r="N80" s="55">
        <v>854.17028500533377</v>
      </c>
      <c r="O80" s="55">
        <v>929.16215826534892</v>
      </c>
      <c r="P80" s="86">
        <v>1001.5890432524227</v>
      </c>
      <c r="Q80" s="86">
        <v>999.23883787227453</v>
      </c>
      <c r="R80" s="86">
        <v>1079.3034950558063</v>
      </c>
      <c r="S80" s="86">
        <v>1149.4124694618326</v>
      </c>
      <c r="T80" s="86">
        <v>1116.5069706767401</v>
      </c>
      <c r="U80" s="86">
        <v>1256.0486081150725</v>
      </c>
      <c r="V80" s="86">
        <v>1299.0571028214181</v>
      </c>
      <c r="W80" s="55">
        <v>1355.4878635179934</v>
      </c>
      <c r="X80" s="87">
        <f>((W80/V80)-1)*100</f>
        <v>4.3439784574530016</v>
      </c>
      <c r="Y80" s="88">
        <f>((W80/R80)^(1/5))-1</f>
        <v>4.6623326989950087E-2</v>
      </c>
      <c r="Z80" s="89">
        <f>((W80/M80)-1)*100</f>
        <v>68.287667692376175</v>
      </c>
      <c r="AA80" s="90">
        <f>((W80/M80)^(1/10))-1</f>
        <v>5.342890106896836E-2</v>
      </c>
      <c r="AB80" s="32"/>
      <c r="AC80" s="32"/>
      <c r="AD80" s="33"/>
      <c r="AE80" s="33"/>
      <c r="AF80" s="33"/>
      <c r="AG80" s="33"/>
      <c r="AH80" s="33"/>
      <c r="AI80" s="33"/>
      <c r="BD80" s="59"/>
    </row>
    <row r="81" spans="2:81" x14ac:dyDescent="0.2">
      <c r="B81" s="44" t="s">
        <v>124</v>
      </c>
      <c r="C81" s="55">
        <v>723.06034892472485</v>
      </c>
      <c r="D81" s="55">
        <v>728.90448554718648</v>
      </c>
      <c r="E81" s="55">
        <v>745.78035503487797</v>
      </c>
      <c r="F81" s="55">
        <v>760.15392963672286</v>
      </c>
      <c r="G81" s="55">
        <v>767.38834647180067</v>
      </c>
      <c r="H81" s="55">
        <v>790.33192648180807</v>
      </c>
      <c r="I81" s="55">
        <v>812.00559912401047</v>
      </c>
      <c r="J81" s="55">
        <v>845.66794800320008</v>
      </c>
      <c r="K81" s="55">
        <v>868.4341389318389</v>
      </c>
      <c r="L81" s="55">
        <v>905.33118781407211</v>
      </c>
      <c r="M81" s="55">
        <v>917.2686619893035</v>
      </c>
      <c r="N81" s="55">
        <v>972.23537449146022</v>
      </c>
      <c r="O81" s="86">
        <v>1051.300864433171</v>
      </c>
      <c r="P81" s="86">
        <v>1126.915956811104</v>
      </c>
      <c r="Q81" s="86">
        <v>1130.8774241244505</v>
      </c>
      <c r="R81" s="86">
        <v>1218.793347401883</v>
      </c>
      <c r="S81" s="86">
        <v>1302.3310207833167</v>
      </c>
      <c r="T81" s="86">
        <v>1361.6987418884603</v>
      </c>
      <c r="U81" s="86">
        <v>1421.8202860824999</v>
      </c>
      <c r="V81" s="86">
        <v>1478.2099333262943</v>
      </c>
      <c r="W81" s="55">
        <v>1542.9753476533479</v>
      </c>
      <c r="X81" s="87">
        <f>((W81/V81)-1)*100</f>
        <v>4.3813407599905263</v>
      </c>
      <c r="Y81" s="88">
        <f>((W81/R81)^(1/5))-1</f>
        <v>4.8300474708410812E-2</v>
      </c>
      <c r="Z81" s="89">
        <f>((W81/M81)-1)*100</f>
        <v>68.214113442735382</v>
      </c>
      <c r="AA81" s="90">
        <f>((W81/M81)^(1/10))-1</f>
        <v>5.3382849318705849E-2</v>
      </c>
      <c r="AB81" s="32"/>
      <c r="AC81" s="32"/>
      <c r="BD81" s="59"/>
    </row>
    <row r="82" spans="2:81" ht="13.5" thickBot="1" x14ac:dyDescent="0.25">
      <c r="B82" s="91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3"/>
      <c r="Y82" s="94"/>
      <c r="Z82" s="94"/>
      <c r="AA82" s="95"/>
      <c r="AB82" s="32"/>
      <c r="AC82" s="32"/>
      <c r="BD82" s="59"/>
    </row>
    <row r="83" spans="2:81" x14ac:dyDescent="0.2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96"/>
      <c r="M83" s="97"/>
      <c r="N83" s="97"/>
      <c r="O83" s="97"/>
      <c r="P83" s="97"/>
      <c r="Q83" s="97"/>
      <c r="R83" s="97"/>
      <c r="S83" s="32"/>
      <c r="T83" s="32"/>
      <c r="U83" s="32"/>
      <c r="V83" s="32"/>
      <c r="W83" s="32"/>
      <c r="AB83" s="32"/>
      <c r="AC83" s="32"/>
      <c r="AD83" s="33"/>
      <c r="BD83" s="59"/>
    </row>
    <row r="84" spans="2:81" ht="23.25" x14ac:dyDescent="0.35">
      <c r="B84" s="98" t="s">
        <v>125</v>
      </c>
      <c r="C84" s="32"/>
      <c r="D84" s="32"/>
      <c r="E84" s="32"/>
      <c r="F84" s="32"/>
      <c r="G84" s="32"/>
      <c r="H84" s="32"/>
      <c r="I84" s="32"/>
      <c r="J84" s="32"/>
      <c r="K84" s="32"/>
      <c r="L84" s="97"/>
      <c r="M84" s="97"/>
      <c r="N84" s="97"/>
      <c r="O84" s="97"/>
      <c r="P84" s="97"/>
      <c r="Q84" s="97"/>
      <c r="R84" s="97"/>
      <c r="S84" s="32"/>
      <c r="T84" s="99"/>
      <c r="U84"/>
      <c r="V84"/>
      <c r="W84"/>
      <c r="AB84" s="32"/>
      <c r="AC84" s="32"/>
      <c r="BD84" s="59"/>
    </row>
    <row r="85" spans="2:81" ht="15" x14ac:dyDescent="0.25">
      <c r="B85" s="100" t="s">
        <v>126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1346"/>
      <c r="S85" s="1346"/>
      <c r="T85" s="1346"/>
      <c r="U85"/>
      <c r="V85"/>
      <c r="W85"/>
      <c r="AB85" s="32"/>
      <c r="AC85" s="32"/>
      <c r="BD85" s="59"/>
    </row>
    <row r="86" spans="2:81" ht="15" x14ac:dyDescent="0.25">
      <c r="B86" s="101" t="s">
        <v>127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/>
      <c r="V86"/>
      <c r="W86"/>
      <c r="AB86" s="32"/>
      <c r="AC86" s="32"/>
      <c r="AE86" s="33"/>
      <c r="BD86" s="59"/>
    </row>
    <row r="87" spans="2:81" x14ac:dyDescent="0.2">
      <c r="B87" s="101" t="s">
        <v>318</v>
      </c>
      <c r="AB87" s="32"/>
      <c r="AC87" s="32"/>
      <c r="BD87" s="59"/>
    </row>
    <row r="88" spans="2:81" x14ac:dyDescent="0.2">
      <c r="BD88" s="59"/>
    </row>
    <row r="89" spans="2:81" s="104" customFormat="1" x14ac:dyDescent="0.2">
      <c r="B89" s="102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2"/>
      <c r="AB89" s="102"/>
      <c r="AC89" s="102"/>
      <c r="BD89" s="105"/>
      <c r="BG89" s="106"/>
      <c r="BJ89" s="106"/>
      <c r="BW89" s="4"/>
      <c r="BX89" s="4"/>
      <c r="BY89" s="4"/>
      <c r="BZ89" s="4"/>
      <c r="CA89" s="4"/>
      <c r="CB89" s="4"/>
      <c r="CC89" s="4"/>
    </row>
    <row r="90" spans="2:81" s="104" customFormat="1" x14ac:dyDescent="0.2">
      <c r="B90" s="102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2"/>
      <c r="AB90" s="102"/>
      <c r="AC90" s="102"/>
      <c r="BD90" s="105"/>
      <c r="BG90" s="106"/>
      <c r="BJ90" s="106"/>
      <c r="BW90" s="4"/>
      <c r="BX90" s="4"/>
      <c r="BY90" s="4"/>
      <c r="BZ90" s="4"/>
      <c r="CA90" s="4"/>
      <c r="CB90" s="4"/>
      <c r="CC90" s="4"/>
    </row>
    <row r="91" spans="2:81" s="104" customFormat="1" x14ac:dyDescent="0.2"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9"/>
      <c r="Q91" s="109"/>
      <c r="R91" s="109"/>
      <c r="S91" s="109"/>
      <c r="T91" s="109"/>
      <c r="U91" s="109"/>
      <c r="V91" s="109"/>
      <c r="X91" s="102"/>
      <c r="Y91" s="102"/>
      <c r="Z91" s="102"/>
      <c r="AA91" s="102"/>
      <c r="BD91" s="105"/>
      <c r="BG91" s="106"/>
      <c r="BJ91" s="106"/>
      <c r="BW91" s="4"/>
      <c r="BX91" s="4"/>
      <c r="BY91" s="4"/>
      <c r="BZ91" s="4"/>
      <c r="CA91" s="4"/>
      <c r="CB91" s="4"/>
      <c r="CC91" s="4"/>
    </row>
    <row r="92" spans="2:81" s="104" customFormat="1" x14ac:dyDescent="0.2">
      <c r="X92" s="102"/>
      <c r="Y92" s="102"/>
      <c r="Z92" s="102"/>
      <c r="AA92" s="102"/>
      <c r="BD92" s="105"/>
      <c r="BG92" s="106"/>
      <c r="BJ92" s="106"/>
      <c r="BW92" s="4"/>
      <c r="BX92" s="4"/>
      <c r="BY92" s="4"/>
      <c r="BZ92" s="4"/>
      <c r="CA92" s="4"/>
      <c r="CB92" s="4"/>
      <c r="CC92" s="4"/>
    </row>
    <row r="93" spans="2:81" s="104" customFormat="1" x14ac:dyDescent="0.2"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9"/>
      <c r="O93" s="109"/>
      <c r="P93" s="109"/>
      <c r="Q93" s="109"/>
      <c r="R93" s="109"/>
      <c r="S93" s="109"/>
      <c r="T93" s="109"/>
      <c r="U93" s="109"/>
      <c r="V93" s="109"/>
      <c r="X93" s="102"/>
      <c r="Y93" s="102"/>
      <c r="Z93" s="102"/>
      <c r="AA93" s="102"/>
      <c r="BD93" s="105"/>
      <c r="BG93" s="106"/>
      <c r="BJ93" s="106"/>
      <c r="BW93" s="4"/>
      <c r="BX93" s="4"/>
      <c r="BY93" s="4"/>
      <c r="BZ93" s="4"/>
      <c r="CA93" s="4"/>
      <c r="CB93" s="4"/>
      <c r="CC93" s="4"/>
    </row>
    <row r="94" spans="2:81" s="104" customFormat="1" x14ac:dyDescent="0.2">
      <c r="X94" s="102"/>
      <c r="Y94" s="102"/>
      <c r="Z94" s="102"/>
      <c r="AA94" s="102"/>
      <c r="BG94" s="106"/>
      <c r="BJ94" s="106"/>
      <c r="BW94" s="4"/>
      <c r="BX94" s="4"/>
      <c r="BY94" s="4"/>
      <c r="BZ94" s="4"/>
      <c r="CA94" s="4"/>
      <c r="CB94" s="4"/>
      <c r="CC94" s="4"/>
    </row>
    <row r="95" spans="2:81" s="104" customFormat="1" x14ac:dyDescent="0.2">
      <c r="X95" s="102"/>
      <c r="Y95" s="102"/>
      <c r="Z95" s="102"/>
      <c r="AA95" s="102"/>
      <c r="BG95" s="106"/>
      <c r="BJ95" s="106"/>
      <c r="BW95" s="4"/>
      <c r="BX95" s="4"/>
      <c r="BY95" s="4"/>
      <c r="BZ95" s="4"/>
      <c r="CA95" s="4"/>
      <c r="CB95" s="4"/>
      <c r="CC95" s="4"/>
    </row>
    <row r="96" spans="2:81" s="104" customFormat="1" x14ac:dyDescent="0.2">
      <c r="X96" s="102"/>
      <c r="Y96" s="102"/>
      <c r="Z96" s="102"/>
      <c r="AA96" s="102"/>
      <c r="AE96" s="110"/>
      <c r="AF96" s="110"/>
      <c r="AG96" s="110"/>
      <c r="AH96" s="111"/>
      <c r="AI96" s="111"/>
      <c r="AJ96" s="111"/>
      <c r="AK96" s="111"/>
      <c r="AL96" s="111"/>
      <c r="AM96" s="111"/>
      <c r="BG96" s="106"/>
      <c r="BJ96" s="106"/>
    </row>
    <row r="97" spans="2:62" s="104" customFormat="1" x14ac:dyDescent="0.2">
      <c r="X97" s="102"/>
      <c r="Y97" s="102"/>
      <c r="Z97" s="102"/>
      <c r="AA97" s="102"/>
      <c r="AB97" s="106"/>
      <c r="AC97" s="106"/>
      <c r="BG97" s="106"/>
      <c r="BJ97" s="106"/>
    </row>
    <row r="98" spans="2:62" s="104" customFormat="1" x14ac:dyDescent="0.2">
      <c r="X98" s="102"/>
      <c r="Y98" s="102"/>
      <c r="Z98" s="102"/>
      <c r="AA98" s="102"/>
      <c r="BG98" s="106"/>
      <c r="BJ98" s="106"/>
    </row>
    <row r="99" spans="2:62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112"/>
    </row>
    <row r="100" spans="2:62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112"/>
      <c r="AE100" s="54"/>
      <c r="AF100" s="54"/>
      <c r="AG100" s="54"/>
      <c r="AH100" s="54"/>
      <c r="AI100" s="54"/>
    </row>
    <row r="101" spans="2:62" x14ac:dyDescent="0.2">
      <c r="AE101" s="54"/>
      <c r="AF101" s="54"/>
      <c r="AG101" s="54"/>
      <c r="AH101" s="54"/>
      <c r="AI101" s="54"/>
    </row>
    <row r="102" spans="2:62" x14ac:dyDescent="0.2">
      <c r="AE102" s="54"/>
      <c r="AF102" s="54"/>
      <c r="AG102" s="54"/>
      <c r="AH102" s="54"/>
      <c r="AI102" s="54"/>
    </row>
    <row r="103" spans="2:62" x14ac:dyDescent="0.2">
      <c r="AE103" s="54"/>
      <c r="AF103" s="54"/>
      <c r="AG103" s="54"/>
      <c r="AH103" s="54"/>
      <c r="AI103" s="54"/>
    </row>
    <row r="104" spans="2:62" x14ac:dyDescent="0.2">
      <c r="AE104" s="54"/>
      <c r="AF104" s="54"/>
      <c r="AG104" s="54"/>
      <c r="AH104" s="54"/>
      <c r="AI104" s="54"/>
    </row>
    <row r="105" spans="2:62" x14ac:dyDescent="0.2">
      <c r="AE105" s="54"/>
      <c r="AF105" s="54"/>
      <c r="AG105" s="54"/>
      <c r="AH105" s="54"/>
      <c r="AI105" s="54"/>
    </row>
    <row r="106" spans="2:62" x14ac:dyDescent="0.2">
      <c r="AE106" s="54"/>
      <c r="AF106" s="54"/>
      <c r="AG106" s="54"/>
      <c r="AH106" s="54"/>
      <c r="AI106" s="54"/>
    </row>
    <row r="107" spans="2:62" x14ac:dyDescent="0.2">
      <c r="AE107" s="54"/>
      <c r="AF107" s="54"/>
      <c r="AG107" s="54"/>
      <c r="AH107" s="54"/>
      <c r="AI107" s="54"/>
    </row>
    <row r="108" spans="2:62" x14ac:dyDescent="0.2">
      <c r="AE108" s="54"/>
      <c r="AF108" s="54"/>
      <c r="AG108" s="54"/>
      <c r="AH108" s="54"/>
      <c r="AI108" s="54"/>
    </row>
    <row r="109" spans="2:62" x14ac:dyDescent="0.2">
      <c r="AE109" s="54"/>
      <c r="AF109" s="54"/>
      <c r="AG109" s="54"/>
      <c r="AH109" s="54"/>
      <c r="AI109" s="54"/>
    </row>
    <row r="110" spans="2:62" x14ac:dyDescent="0.2">
      <c r="AE110" s="54"/>
      <c r="AF110" s="54"/>
      <c r="AG110" s="54"/>
      <c r="AH110" s="54"/>
      <c r="AI110" s="54"/>
    </row>
    <row r="111" spans="2:62" x14ac:dyDescent="0.2">
      <c r="AE111" s="54"/>
      <c r="AF111" s="54"/>
      <c r="AG111" s="54"/>
      <c r="AH111" s="54"/>
      <c r="AI111" s="54"/>
    </row>
    <row r="112" spans="2:62" x14ac:dyDescent="0.2">
      <c r="AE112" s="67"/>
      <c r="AF112" s="67"/>
      <c r="AG112" s="67"/>
      <c r="AH112" s="113"/>
      <c r="AI112" s="113"/>
    </row>
  </sheetData>
  <mergeCells count="1">
    <mergeCell ref="R85:T85"/>
  </mergeCells>
  <printOptions horizontalCentered="1" verticalCentered="1"/>
  <pageMargins left="0.47244094488188981" right="0.23622047244094491" top="0.47244094488188981" bottom="0.19685039370078741" header="0" footer="0"/>
  <pageSetup paperSize="8" scale="58" orientation="landscape" r:id="rId1"/>
  <headerFooter alignWithMargins="0"/>
  <colBreaks count="1" manualBreakCount="1">
    <brk id="27" max="87" man="1"/>
  </col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view="pageBreakPreview" topLeftCell="A22" zoomScaleNormal="100" zoomScaleSheetLayoutView="100" workbookViewId="0">
      <selection activeCell="B59" sqref="B59"/>
    </sheetView>
  </sheetViews>
  <sheetFormatPr baseColWidth="10" defaultRowHeight="12.75" x14ac:dyDescent="0.2"/>
  <cols>
    <col min="1" max="1" width="18.5703125" style="157" customWidth="1"/>
    <col min="2" max="6" width="16.42578125" style="157" customWidth="1"/>
    <col min="7" max="8" width="10.7109375" style="157" customWidth="1"/>
    <col min="9" max="9" width="2" style="157" customWidth="1"/>
    <col min="10" max="10" width="12.85546875" style="157" customWidth="1"/>
    <col min="11" max="11" width="13.7109375" style="157" bestFit="1" customWidth="1"/>
    <col min="12" max="12" width="16.28515625" style="157" customWidth="1"/>
    <col min="13" max="16" width="11.7109375" style="157" customWidth="1"/>
    <col min="17" max="17" width="10.7109375" style="157" customWidth="1"/>
    <col min="18" max="20" width="11.42578125" style="157"/>
    <col min="21" max="21" width="12.5703125" style="157" bestFit="1" customWidth="1"/>
    <col min="22" max="256" width="11.42578125" style="157"/>
    <col min="257" max="257" width="18.5703125" style="157" customWidth="1"/>
    <col min="258" max="262" width="16.42578125" style="157" customWidth="1"/>
    <col min="263" max="264" width="10.7109375" style="157" customWidth="1"/>
    <col min="265" max="265" width="2" style="157" customWidth="1"/>
    <col min="266" max="266" width="12.85546875" style="157" customWidth="1"/>
    <col min="267" max="267" width="13.7109375" style="157" bestFit="1" customWidth="1"/>
    <col min="268" max="268" width="16.28515625" style="157" customWidth="1"/>
    <col min="269" max="272" width="11.7109375" style="157" customWidth="1"/>
    <col min="273" max="273" width="10.7109375" style="157" customWidth="1"/>
    <col min="274" max="276" width="11.42578125" style="157"/>
    <col min="277" max="277" width="12.5703125" style="157" bestFit="1" customWidth="1"/>
    <col min="278" max="512" width="11.42578125" style="157"/>
    <col min="513" max="513" width="18.5703125" style="157" customWidth="1"/>
    <col min="514" max="518" width="16.42578125" style="157" customWidth="1"/>
    <col min="519" max="520" width="10.7109375" style="157" customWidth="1"/>
    <col min="521" max="521" width="2" style="157" customWidth="1"/>
    <col min="522" max="522" width="12.85546875" style="157" customWidth="1"/>
    <col min="523" max="523" width="13.7109375" style="157" bestFit="1" customWidth="1"/>
    <col min="524" max="524" width="16.28515625" style="157" customWidth="1"/>
    <col min="525" max="528" width="11.7109375" style="157" customWidth="1"/>
    <col min="529" max="529" width="10.7109375" style="157" customWidth="1"/>
    <col min="530" max="532" width="11.42578125" style="157"/>
    <col min="533" max="533" width="12.5703125" style="157" bestFit="1" customWidth="1"/>
    <col min="534" max="768" width="11.42578125" style="157"/>
    <col min="769" max="769" width="18.5703125" style="157" customWidth="1"/>
    <col min="770" max="774" width="16.42578125" style="157" customWidth="1"/>
    <col min="775" max="776" width="10.7109375" style="157" customWidth="1"/>
    <col min="777" max="777" width="2" style="157" customWidth="1"/>
    <col min="778" max="778" width="12.85546875" style="157" customWidth="1"/>
    <col min="779" max="779" width="13.7109375" style="157" bestFit="1" customWidth="1"/>
    <col min="780" max="780" width="16.28515625" style="157" customWidth="1"/>
    <col min="781" max="784" width="11.7109375" style="157" customWidth="1"/>
    <col min="785" max="785" width="10.7109375" style="157" customWidth="1"/>
    <col min="786" max="788" width="11.42578125" style="157"/>
    <col min="789" max="789" width="12.5703125" style="157" bestFit="1" customWidth="1"/>
    <col min="790" max="1024" width="11.42578125" style="157"/>
    <col min="1025" max="1025" width="18.5703125" style="157" customWidth="1"/>
    <col min="1026" max="1030" width="16.42578125" style="157" customWidth="1"/>
    <col min="1031" max="1032" width="10.7109375" style="157" customWidth="1"/>
    <col min="1033" max="1033" width="2" style="157" customWidth="1"/>
    <col min="1034" max="1034" width="12.85546875" style="157" customWidth="1"/>
    <col min="1035" max="1035" width="13.7109375" style="157" bestFit="1" customWidth="1"/>
    <col min="1036" max="1036" width="16.28515625" style="157" customWidth="1"/>
    <col min="1037" max="1040" width="11.7109375" style="157" customWidth="1"/>
    <col min="1041" max="1041" width="10.7109375" style="157" customWidth="1"/>
    <col min="1042" max="1044" width="11.42578125" style="157"/>
    <col min="1045" max="1045" width="12.5703125" style="157" bestFit="1" customWidth="1"/>
    <col min="1046" max="1280" width="11.42578125" style="157"/>
    <col min="1281" max="1281" width="18.5703125" style="157" customWidth="1"/>
    <col min="1282" max="1286" width="16.42578125" style="157" customWidth="1"/>
    <col min="1287" max="1288" width="10.7109375" style="157" customWidth="1"/>
    <col min="1289" max="1289" width="2" style="157" customWidth="1"/>
    <col min="1290" max="1290" width="12.85546875" style="157" customWidth="1"/>
    <col min="1291" max="1291" width="13.7109375" style="157" bestFit="1" customWidth="1"/>
    <col min="1292" max="1292" width="16.28515625" style="157" customWidth="1"/>
    <col min="1293" max="1296" width="11.7109375" style="157" customWidth="1"/>
    <col min="1297" max="1297" width="10.7109375" style="157" customWidth="1"/>
    <col min="1298" max="1300" width="11.42578125" style="157"/>
    <col min="1301" max="1301" width="12.5703125" style="157" bestFit="1" customWidth="1"/>
    <col min="1302" max="1536" width="11.42578125" style="157"/>
    <col min="1537" max="1537" width="18.5703125" style="157" customWidth="1"/>
    <col min="1538" max="1542" width="16.42578125" style="157" customWidth="1"/>
    <col min="1543" max="1544" width="10.7109375" style="157" customWidth="1"/>
    <col min="1545" max="1545" width="2" style="157" customWidth="1"/>
    <col min="1546" max="1546" width="12.85546875" style="157" customWidth="1"/>
    <col min="1547" max="1547" width="13.7109375" style="157" bestFit="1" customWidth="1"/>
    <col min="1548" max="1548" width="16.28515625" style="157" customWidth="1"/>
    <col min="1549" max="1552" width="11.7109375" style="157" customWidth="1"/>
    <col min="1553" max="1553" width="10.7109375" style="157" customWidth="1"/>
    <col min="1554" max="1556" width="11.42578125" style="157"/>
    <col min="1557" max="1557" width="12.5703125" style="157" bestFit="1" customWidth="1"/>
    <col min="1558" max="1792" width="11.42578125" style="157"/>
    <col min="1793" max="1793" width="18.5703125" style="157" customWidth="1"/>
    <col min="1794" max="1798" width="16.42578125" style="157" customWidth="1"/>
    <col min="1799" max="1800" width="10.7109375" style="157" customWidth="1"/>
    <col min="1801" max="1801" width="2" style="157" customWidth="1"/>
    <col min="1802" max="1802" width="12.85546875" style="157" customWidth="1"/>
    <col min="1803" max="1803" width="13.7109375" style="157" bestFit="1" customWidth="1"/>
    <col min="1804" max="1804" width="16.28515625" style="157" customWidth="1"/>
    <col min="1805" max="1808" width="11.7109375" style="157" customWidth="1"/>
    <col min="1809" max="1809" width="10.7109375" style="157" customWidth="1"/>
    <col min="1810" max="1812" width="11.42578125" style="157"/>
    <col min="1813" max="1813" width="12.5703125" style="157" bestFit="1" customWidth="1"/>
    <col min="1814" max="2048" width="11.42578125" style="157"/>
    <col min="2049" max="2049" width="18.5703125" style="157" customWidth="1"/>
    <col min="2050" max="2054" width="16.42578125" style="157" customWidth="1"/>
    <col min="2055" max="2056" width="10.7109375" style="157" customWidth="1"/>
    <col min="2057" max="2057" width="2" style="157" customWidth="1"/>
    <col min="2058" max="2058" width="12.85546875" style="157" customWidth="1"/>
    <col min="2059" max="2059" width="13.7109375" style="157" bestFit="1" customWidth="1"/>
    <col min="2060" max="2060" width="16.28515625" style="157" customWidth="1"/>
    <col min="2061" max="2064" width="11.7109375" style="157" customWidth="1"/>
    <col min="2065" max="2065" width="10.7109375" style="157" customWidth="1"/>
    <col min="2066" max="2068" width="11.42578125" style="157"/>
    <col min="2069" max="2069" width="12.5703125" style="157" bestFit="1" customWidth="1"/>
    <col min="2070" max="2304" width="11.42578125" style="157"/>
    <col min="2305" max="2305" width="18.5703125" style="157" customWidth="1"/>
    <col min="2306" max="2310" width="16.42578125" style="157" customWidth="1"/>
    <col min="2311" max="2312" width="10.7109375" style="157" customWidth="1"/>
    <col min="2313" max="2313" width="2" style="157" customWidth="1"/>
    <col min="2314" max="2314" width="12.85546875" style="157" customWidth="1"/>
    <col min="2315" max="2315" width="13.7109375" style="157" bestFit="1" customWidth="1"/>
    <col min="2316" max="2316" width="16.28515625" style="157" customWidth="1"/>
    <col min="2317" max="2320" width="11.7109375" style="157" customWidth="1"/>
    <col min="2321" max="2321" width="10.7109375" style="157" customWidth="1"/>
    <col min="2322" max="2324" width="11.42578125" style="157"/>
    <col min="2325" max="2325" width="12.5703125" style="157" bestFit="1" customWidth="1"/>
    <col min="2326" max="2560" width="11.42578125" style="157"/>
    <col min="2561" max="2561" width="18.5703125" style="157" customWidth="1"/>
    <col min="2562" max="2566" width="16.42578125" style="157" customWidth="1"/>
    <col min="2567" max="2568" width="10.7109375" style="157" customWidth="1"/>
    <col min="2569" max="2569" width="2" style="157" customWidth="1"/>
    <col min="2570" max="2570" width="12.85546875" style="157" customWidth="1"/>
    <col min="2571" max="2571" width="13.7109375" style="157" bestFit="1" customWidth="1"/>
    <col min="2572" max="2572" width="16.28515625" style="157" customWidth="1"/>
    <col min="2573" max="2576" width="11.7109375" style="157" customWidth="1"/>
    <col min="2577" max="2577" width="10.7109375" style="157" customWidth="1"/>
    <col min="2578" max="2580" width="11.42578125" style="157"/>
    <col min="2581" max="2581" width="12.5703125" style="157" bestFit="1" customWidth="1"/>
    <col min="2582" max="2816" width="11.42578125" style="157"/>
    <col min="2817" max="2817" width="18.5703125" style="157" customWidth="1"/>
    <col min="2818" max="2822" width="16.42578125" style="157" customWidth="1"/>
    <col min="2823" max="2824" width="10.7109375" style="157" customWidth="1"/>
    <col min="2825" max="2825" width="2" style="157" customWidth="1"/>
    <col min="2826" max="2826" width="12.85546875" style="157" customWidth="1"/>
    <col min="2827" max="2827" width="13.7109375" style="157" bestFit="1" customWidth="1"/>
    <col min="2828" max="2828" width="16.28515625" style="157" customWidth="1"/>
    <col min="2829" max="2832" width="11.7109375" style="157" customWidth="1"/>
    <col min="2833" max="2833" width="10.7109375" style="157" customWidth="1"/>
    <col min="2834" max="2836" width="11.42578125" style="157"/>
    <col min="2837" max="2837" width="12.5703125" style="157" bestFit="1" customWidth="1"/>
    <col min="2838" max="3072" width="11.42578125" style="157"/>
    <col min="3073" max="3073" width="18.5703125" style="157" customWidth="1"/>
    <col min="3074" max="3078" width="16.42578125" style="157" customWidth="1"/>
    <col min="3079" max="3080" width="10.7109375" style="157" customWidth="1"/>
    <col min="3081" max="3081" width="2" style="157" customWidth="1"/>
    <col min="3082" max="3082" width="12.85546875" style="157" customWidth="1"/>
    <col min="3083" max="3083" width="13.7109375" style="157" bestFit="1" customWidth="1"/>
    <col min="3084" max="3084" width="16.28515625" style="157" customWidth="1"/>
    <col min="3085" max="3088" width="11.7109375" style="157" customWidth="1"/>
    <col min="3089" max="3089" width="10.7109375" style="157" customWidth="1"/>
    <col min="3090" max="3092" width="11.42578125" style="157"/>
    <col min="3093" max="3093" width="12.5703125" style="157" bestFit="1" customWidth="1"/>
    <col min="3094" max="3328" width="11.42578125" style="157"/>
    <col min="3329" max="3329" width="18.5703125" style="157" customWidth="1"/>
    <col min="3330" max="3334" width="16.42578125" style="157" customWidth="1"/>
    <col min="3335" max="3336" width="10.7109375" style="157" customWidth="1"/>
    <col min="3337" max="3337" width="2" style="157" customWidth="1"/>
    <col min="3338" max="3338" width="12.85546875" style="157" customWidth="1"/>
    <col min="3339" max="3339" width="13.7109375" style="157" bestFit="1" customWidth="1"/>
    <col min="3340" max="3340" width="16.28515625" style="157" customWidth="1"/>
    <col min="3341" max="3344" width="11.7109375" style="157" customWidth="1"/>
    <col min="3345" max="3345" width="10.7109375" style="157" customWidth="1"/>
    <col min="3346" max="3348" width="11.42578125" style="157"/>
    <col min="3349" max="3349" width="12.5703125" style="157" bestFit="1" customWidth="1"/>
    <col min="3350" max="3584" width="11.42578125" style="157"/>
    <col min="3585" max="3585" width="18.5703125" style="157" customWidth="1"/>
    <col min="3586" max="3590" width="16.42578125" style="157" customWidth="1"/>
    <col min="3591" max="3592" width="10.7109375" style="157" customWidth="1"/>
    <col min="3593" max="3593" width="2" style="157" customWidth="1"/>
    <col min="3594" max="3594" width="12.85546875" style="157" customWidth="1"/>
    <col min="3595" max="3595" width="13.7109375" style="157" bestFit="1" customWidth="1"/>
    <col min="3596" max="3596" width="16.28515625" style="157" customWidth="1"/>
    <col min="3597" max="3600" width="11.7109375" style="157" customWidth="1"/>
    <col min="3601" max="3601" width="10.7109375" style="157" customWidth="1"/>
    <col min="3602" max="3604" width="11.42578125" style="157"/>
    <col min="3605" max="3605" width="12.5703125" style="157" bestFit="1" customWidth="1"/>
    <col min="3606" max="3840" width="11.42578125" style="157"/>
    <col min="3841" max="3841" width="18.5703125" style="157" customWidth="1"/>
    <col min="3842" max="3846" width="16.42578125" style="157" customWidth="1"/>
    <col min="3847" max="3848" width="10.7109375" style="157" customWidth="1"/>
    <col min="3849" max="3849" width="2" style="157" customWidth="1"/>
    <col min="3850" max="3850" width="12.85546875" style="157" customWidth="1"/>
    <col min="3851" max="3851" width="13.7109375" style="157" bestFit="1" customWidth="1"/>
    <col min="3852" max="3852" width="16.28515625" style="157" customWidth="1"/>
    <col min="3853" max="3856" width="11.7109375" style="157" customWidth="1"/>
    <col min="3857" max="3857" width="10.7109375" style="157" customWidth="1"/>
    <col min="3858" max="3860" width="11.42578125" style="157"/>
    <col min="3861" max="3861" width="12.5703125" style="157" bestFit="1" customWidth="1"/>
    <col min="3862" max="4096" width="11.42578125" style="157"/>
    <col min="4097" max="4097" width="18.5703125" style="157" customWidth="1"/>
    <col min="4098" max="4102" width="16.42578125" style="157" customWidth="1"/>
    <col min="4103" max="4104" width="10.7109375" style="157" customWidth="1"/>
    <col min="4105" max="4105" width="2" style="157" customWidth="1"/>
    <col min="4106" max="4106" width="12.85546875" style="157" customWidth="1"/>
    <col min="4107" max="4107" width="13.7109375" style="157" bestFit="1" customWidth="1"/>
    <col min="4108" max="4108" width="16.28515625" style="157" customWidth="1"/>
    <col min="4109" max="4112" width="11.7109375" style="157" customWidth="1"/>
    <col min="4113" max="4113" width="10.7109375" style="157" customWidth="1"/>
    <col min="4114" max="4116" width="11.42578125" style="157"/>
    <col min="4117" max="4117" width="12.5703125" style="157" bestFit="1" customWidth="1"/>
    <col min="4118" max="4352" width="11.42578125" style="157"/>
    <col min="4353" max="4353" width="18.5703125" style="157" customWidth="1"/>
    <col min="4354" max="4358" width="16.42578125" style="157" customWidth="1"/>
    <col min="4359" max="4360" width="10.7109375" style="157" customWidth="1"/>
    <col min="4361" max="4361" width="2" style="157" customWidth="1"/>
    <col min="4362" max="4362" width="12.85546875" style="157" customWidth="1"/>
    <col min="4363" max="4363" width="13.7109375" style="157" bestFit="1" customWidth="1"/>
    <col min="4364" max="4364" width="16.28515625" style="157" customWidth="1"/>
    <col min="4365" max="4368" width="11.7109375" style="157" customWidth="1"/>
    <col min="4369" max="4369" width="10.7109375" style="157" customWidth="1"/>
    <col min="4370" max="4372" width="11.42578125" style="157"/>
    <col min="4373" max="4373" width="12.5703125" style="157" bestFit="1" customWidth="1"/>
    <col min="4374" max="4608" width="11.42578125" style="157"/>
    <col min="4609" max="4609" width="18.5703125" style="157" customWidth="1"/>
    <col min="4610" max="4614" width="16.42578125" style="157" customWidth="1"/>
    <col min="4615" max="4616" width="10.7109375" style="157" customWidth="1"/>
    <col min="4617" max="4617" width="2" style="157" customWidth="1"/>
    <col min="4618" max="4618" width="12.85546875" style="157" customWidth="1"/>
    <col min="4619" max="4619" width="13.7109375" style="157" bestFit="1" customWidth="1"/>
    <col min="4620" max="4620" width="16.28515625" style="157" customWidth="1"/>
    <col min="4621" max="4624" width="11.7109375" style="157" customWidth="1"/>
    <col min="4625" max="4625" width="10.7109375" style="157" customWidth="1"/>
    <col min="4626" max="4628" width="11.42578125" style="157"/>
    <col min="4629" max="4629" width="12.5703125" style="157" bestFit="1" customWidth="1"/>
    <col min="4630" max="4864" width="11.42578125" style="157"/>
    <col min="4865" max="4865" width="18.5703125" style="157" customWidth="1"/>
    <col min="4866" max="4870" width="16.42578125" style="157" customWidth="1"/>
    <col min="4871" max="4872" width="10.7109375" style="157" customWidth="1"/>
    <col min="4873" max="4873" width="2" style="157" customWidth="1"/>
    <col min="4874" max="4874" width="12.85546875" style="157" customWidth="1"/>
    <col min="4875" max="4875" width="13.7109375" style="157" bestFit="1" customWidth="1"/>
    <col min="4876" max="4876" width="16.28515625" style="157" customWidth="1"/>
    <col min="4877" max="4880" width="11.7109375" style="157" customWidth="1"/>
    <col min="4881" max="4881" width="10.7109375" style="157" customWidth="1"/>
    <col min="4882" max="4884" width="11.42578125" style="157"/>
    <col min="4885" max="4885" width="12.5703125" style="157" bestFit="1" customWidth="1"/>
    <col min="4886" max="5120" width="11.42578125" style="157"/>
    <col min="5121" max="5121" width="18.5703125" style="157" customWidth="1"/>
    <col min="5122" max="5126" width="16.42578125" style="157" customWidth="1"/>
    <col min="5127" max="5128" width="10.7109375" style="157" customWidth="1"/>
    <col min="5129" max="5129" width="2" style="157" customWidth="1"/>
    <col min="5130" max="5130" width="12.85546875" style="157" customWidth="1"/>
    <col min="5131" max="5131" width="13.7109375" style="157" bestFit="1" customWidth="1"/>
    <col min="5132" max="5132" width="16.28515625" style="157" customWidth="1"/>
    <col min="5133" max="5136" width="11.7109375" style="157" customWidth="1"/>
    <col min="5137" max="5137" width="10.7109375" style="157" customWidth="1"/>
    <col min="5138" max="5140" width="11.42578125" style="157"/>
    <col min="5141" max="5141" width="12.5703125" style="157" bestFit="1" customWidth="1"/>
    <col min="5142" max="5376" width="11.42578125" style="157"/>
    <col min="5377" max="5377" width="18.5703125" style="157" customWidth="1"/>
    <col min="5378" max="5382" width="16.42578125" style="157" customWidth="1"/>
    <col min="5383" max="5384" width="10.7109375" style="157" customWidth="1"/>
    <col min="5385" max="5385" width="2" style="157" customWidth="1"/>
    <col min="5386" max="5386" width="12.85546875" style="157" customWidth="1"/>
    <col min="5387" max="5387" width="13.7109375" style="157" bestFit="1" customWidth="1"/>
    <col min="5388" max="5388" width="16.28515625" style="157" customWidth="1"/>
    <col min="5389" max="5392" width="11.7109375" style="157" customWidth="1"/>
    <col min="5393" max="5393" width="10.7109375" style="157" customWidth="1"/>
    <col min="5394" max="5396" width="11.42578125" style="157"/>
    <col min="5397" max="5397" width="12.5703125" style="157" bestFit="1" customWidth="1"/>
    <col min="5398" max="5632" width="11.42578125" style="157"/>
    <col min="5633" max="5633" width="18.5703125" style="157" customWidth="1"/>
    <col min="5634" max="5638" width="16.42578125" style="157" customWidth="1"/>
    <col min="5639" max="5640" width="10.7109375" style="157" customWidth="1"/>
    <col min="5641" max="5641" width="2" style="157" customWidth="1"/>
    <col min="5642" max="5642" width="12.85546875" style="157" customWidth="1"/>
    <col min="5643" max="5643" width="13.7109375" style="157" bestFit="1" customWidth="1"/>
    <col min="5644" max="5644" width="16.28515625" style="157" customWidth="1"/>
    <col min="5645" max="5648" width="11.7109375" style="157" customWidth="1"/>
    <col min="5649" max="5649" width="10.7109375" style="157" customWidth="1"/>
    <col min="5650" max="5652" width="11.42578125" style="157"/>
    <col min="5653" max="5653" width="12.5703125" style="157" bestFit="1" customWidth="1"/>
    <col min="5654" max="5888" width="11.42578125" style="157"/>
    <col min="5889" max="5889" width="18.5703125" style="157" customWidth="1"/>
    <col min="5890" max="5894" width="16.42578125" style="157" customWidth="1"/>
    <col min="5895" max="5896" width="10.7109375" style="157" customWidth="1"/>
    <col min="5897" max="5897" width="2" style="157" customWidth="1"/>
    <col min="5898" max="5898" width="12.85546875" style="157" customWidth="1"/>
    <col min="5899" max="5899" width="13.7109375" style="157" bestFit="1" customWidth="1"/>
    <col min="5900" max="5900" width="16.28515625" style="157" customWidth="1"/>
    <col min="5901" max="5904" width="11.7109375" style="157" customWidth="1"/>
    <col min="5905" max="5905" width="10.7109375" style="157" customWidth="1"/>
    <col min="5906" max="5908" width="11.42578125" style="157"/>
    <col min="5909" max="5909" width="12.5703125" style="157" bestFit="1" customWidth="1"/>
    <col min="5910" max="6144" width="11.42578125" style="157"/>
    <col min="6145" max="6145" width="18.5703125" style="157" customWidth="1"/>
    <col min="6146" max="6150" width="16.42578125" style="157" customWidth="1"/>
    <col min="6151" max="6152" width="10.7109375" style="157" customWidth="1"/>
    <col min="6153" max="6153" width="2" style="157" customWidth="1"/>
    <col min="6154" max="6154" width="12.85546875" style="157" customWidth="1"/>
    <col min="6155" max="6155" width="13.7109375" style="157" bestFit="1" customWidth="1"/>
    <col min="6156" max="6156" width="16.28515625" style="157" customWidth="1"/>
    <col min="6157" max="6160" width="11.7109375" style="157" customWidth="1"/>
    <col min="6161" max="6161" width="10.7109375" style="157" customWidth="1"/>
    <col min="6162" max="6164" width="11.42578125" style="157"/>
    <col min="6165" max="6165" width="12.5703125" style="157" bestFit="1" customWidth="1"/>
    <col min="6166" max="6400" width="11.42578125" style="157"/>
    <col min="6401" max="6401" width="18.5703125" style="157" customWidth="1"/>
    <col min="6402" max="6406" width="16.42578125" style="157" customWidth="1"/>
    <col min="6407" max="6408" width="10.7109375" style="157" customWidth="1"/>
    <col min="6409" max="6409" width="2" style="157" customWidth="1"/>
    <col min="6410" max="6410" width="12.85546875" style="157" customWidth="1"/>
    <col min="6411" max="6411" width="13.7109375" style="157" bestFit="1" customWidth="1"/>
    <col min="6412" max="6412" width="16.28515625" style="157" customWidth="1"/>
    <col min="6413" max="6416" width="11.7109375" style="157" customWidth="1"/>
    <col min="6417" max="6417" width="10.7109375" style="157" customWidth="1"/>
    <col min="6418" max="6420" width="11.42578125" style="157"/>
    <col min="6421" max="6421" width="12.5703125" style="157" bestFit="1" customWidth="1"/>
    <col min="6422" max="6656" width="11.42578125" style="157"/>
    <col min="6657" max="6657" width="18.5703125" style="157" customWidth="1"/>
    <col min="6658" max="6662" width="16.42578125" style="157" customWidth="1"/>
    <col min="6663" max="6664" width="10.7109375" style="157" customWidth="1"/>
    <col min="6665" max="6665" width="2" style="157" customWidth="1"/>
    <col min="6666" max="6666" width="12.85546875" style="157" customWidth="1"/>
    <col min="6667" max="6667" width="13.7109375" style="157" bestFit="1" customWidth="1"/>
    <col min="6668" max="6668" width="16.28515625" style="157" customWidth="1"/>
    <col min="6669" max="6672" width="11.7109375" style="157" customWidth="1"/>
    <col min="6673" max="6673" width="10.7109375" style="157" customWidth="1"/>
    <col min="6674" max="6676" width="11.42578125" style="157"/>
    <col min="6677" max="6677" width="12.5703125" style="157" bestFit="1" customWidth="1"/>
    <col min="6678" max="6912" width="11.42578125" style="157"/>
    <col min="6913" max="6913" width="18.5703125" style="157" customWidth="1"/>
    <col min="6914" max="6918" width="16.42578125" style="157" customWidth="1"/>
    <col min="6919" max="6920" width="10.7109375" style="157" customWidth="1"/>
    <col min="6921" max="6921" width="2" style="157" customWidth="1"/>
    <col min="6922" max="6922" width="12.85546875" style="157" customWidth="1"/>
    <col min="6923" max="6923" width="13.7109375" style="157" bestFit="1" customWidth="1"/>
    <col min="6924" max="6924" width="16.28515625" style="157" customWidth="1"/>
    <col min="6925" max="6928" width="11.7109375" style="157" customWidth="1"/>
    <col min="6929" max="6929" width="10.7109375" style="157" customWidth="1"/>
    <col min="6930" max="6932" width="11.42578125" style="157"/>
    <col min="6933" max="6933" width="12.5703125" style="157" bestFit="1" customWidth="1"/>
    <col min="6934" max="7168" width="11.42578125" style="157"/>
    <col min="7169" max="7169" width="18.5703125" style="157" customWidth="1"/>
    <col min="7170" max="7174" width="16.42578125" style="157" customWidth="1"/>
    <col min="7175" max="7176" width="10.7109375" style="157" customWidth="1"/>
    <col min="7177" max="7177" width="2" style="157" customWidth="1"/>
    <col min="7178" max="7178" width="12.85546875" style="157" customWidth="1"/>
    <col min="7179" max="7179" width="13.7109375" style="157" bestFit="1" customWidth="1"/>
    <col min="7180" max="7180" width="16.28515625" style="157" customWidth="1"/>
    <col min="7181" max="7184" width="11.7109375" style="157" customWidth="1"/>
    <col min="7185" max="7185" width="10.7109375" style="157" customWidth="1"/>
    <col min="7186" max="7188" width="11.42578125" style="157"/>
    <col min="7189" max="7189" width="12.5703125" style="157" bestFit="1" customWidth="1"/>
    <col min="7190" max="7424" width="11.42578125" style="157"/>
    <col min="7425" max="7425" width="18.5703125" style="157" customWidth="1"/>
    <col min="7426" max="7430" width="16.42578125" style="157" customWidth="1"/>
    <col min="7431" max="7432" width="10.7109375" style="157" customWidth="1"/>
    <col min="7433" max="7433" width="2" style="157" customWidth="1"/>
    <col min="7434" max="7434" width="12.85546875" style="157" customWidth="1"/>
    <col min="7435" max="7435" width="13.7109375" style="157" bestFit="1" customWidth="1"/>
    <col min="7436" max="7436" width="16.28515625" style="157" customWidth="1"/>
    <col min="7437" max="7440" width="11.7109375" style="157" customWidth="1"/>
    <col min="7441" max="7441" width="10.7109375" style="157" customWidth="1"/>
    <col min="7442" max="7444" width="11.42578125" style="157"/>
    <col min="7445" max="7445" width="12.5703125" style="157" bestFit="1" customWidth="1"/>
    <col min="7446" max="7680" width="11.42578125" style="157"/>
    <col min="7681" max="7681" width="18.5703125" style="157" customWidth="1"/>
    <col min="7682" max="7686" width="16.42578125" style="157" customWidth="1"/>
    <col min="7687" max="7688" width="10.7109375" style="157" customWidth="1"/>
    <col min="7689" max="7689" width="2" style="157" customWidth="1"/>
    <col min="7690" max="7690" width="12.85546875" style="157" customWidth="1"/>
    <col min="7691" max="7691" width="13.7109375" style="157" bestFit="1" customWidth="1"/>
    <col min="7692" max="7692" width="16.28515625" style="157" customWidth="1"/>
    <col min="7693" max="7696" width="11.7109375" style="157" customWidth="1"/>
    <col min="7697" max="7697" width="10.7109375" style="157" customWidth="1"/>
    <col min="7698" max="7700" width="11.42578125" style="157"/>
    <col min="7701" max="7701" width="12.5703125" style="157" bestFit="1" customWidth="1"/>
    <col min="7702" max="7936" width="11.42578125" style="157"/>
    <col min="7937" max="7937" width="18.5703125" style="157" customWidth="1"/>
    <col min="7938" max="7942" width="16.42578125" style="157" customWidth="1"/>
    <col min="7943" max="7944" width="10.7109375" style="157" customWidth="1"/>
    <col min="7945" max="7945" width="2" style="157" customWidth="1"/>
    <col min="7946" max="7946" width="12.85546875" style="157" customWidth="1"/>
    <col min="7947" max="7947" width="13.7109375" style="157" bestFit="1" customWidth="1"/>
    <col min="7948" max="7948" width="16.28515625" style="157" customWidth="1"/>
    <col min="7949" max="7952" width="11.7109375" style="157" customWidth="1"/>
    <col min="7953" max="7953" width="10.7109375" style="157" customWidth="1"/>
    <col min="7954" max="7956" width="11.42578125" style="157"/>
    <col min="7957" max="7957" width="12.5703125" style="157" bestFit="1" customWidth="1"/>
    <col min="7958" max="8192" width="11.42578125" style="157"/>
    <col min="8193" max="8193" width="18.5703125" style="157" customWidth="1"/>
    <col min="8194" max="8198" width="16.42578125" style="157" customWidth="1"/>
    <col min="8199" max="8200" width="10.7109375" style="157" customWidth="1"/>
    <col min="8201" max="8201" width="2" style="157" customWidth="1"/>
    <col min="8202" max="8202" width="12.85546875" style="157" customWidth="1"/>
    <col min="8203" max="8203" width="13.7109375" style="157" bestFit="1" customWidth="1"/>
    <col min="8204" max="8204" width="16.28515625" style="157" customWidth="1"/>
    <col min="8205" max="8208" width="11.7109375" style="157" customWidth="1"/>
    <col min="8209" max="8209" width="10.7109375" style="157" customWidth="1"/>
    <col min="8210" max="8212" width="11.42578125" style="157"/>
    <col min="8213" max="8213" width="12.5703125" style="157" bestFit="1" customWidth="1"/>
    <col min="8214" max="8448" width="11.42578125" style="157"/>
    <col min="8449" max="8449" width="18.5703125" style="157" customWidth="1"/>
    <col min="8450" max="8454" width="16.42578125" style="157" customWidth="1"/>
    <col min="8455" max="8456" width="10.7109375" style="157" customWidth="1"/>
    <col min="8457" max="8457" width="2" style="157" customWidth="1"/>
    <col min="8458" max="8458" width="12.85546875" style="157" customWidth="1"/>
    <col min="8459" max="8459" width="13.7109375" style="157" bestFit="1" customWidth="1"/>
    <col min="8460" max="8460" width="16.28515625" style="157" customWidth="1"/>
    <col min="8461" max="8464" width="11.7109375" style="157" customWidth="1"/>
    <col min="8465" max="8465" width="10.7109375" style="157" customWidth="1"/>
    <col min="8466" max="8468" width="11.42578125" style="157"/>
    <col min="8469" max="8469" width="12.5703125" style="157" bestFit="1" customWidth="1"/>
    <col min="8470" max="8704" width="11.42578125" style="157"/>
    <col min="8705" max="8705" width="18.5703125" style="157" customWidth="1"/>
    <col min="8706" max="8710" width="16.42578125" style="157" customWidth="1"/>
    <col min="8711" max="8712" width="10.7109375" style="157" customWidth="1"/>
    <col min="8713" max="8713" width="2" style="157" customWidth="1"/>
    <col min="8714" max="8714" width="12.85546875" style="157" customWidth="1"/>
    <col min="8715" max="8715" width="13.7109375" style="157" bestFit="1" customWidth="1"/>
    <col min="8716" max="8716" width="16.28515625" style="157" customWidth="1"/>
    <col min="8717" max="8720" width="11.7109375" style="157" customWidth="1"/>
    <col min="8721" max="8721" width="10.7109375" style="157" customWidth="1"/>
    <col min="8722" max="8724" width="11.42578125" style="157"/>
    <col min="8725" max="8725" width="12.5703125" style="157" bestFit="1" customWidth="1"/>
    <col min="8726" max="8960" width="11.42578125" style="157"/>
    <col min="8961" max="8961" width="18.5703125" style="157" customWidth="1"/>
    <col min="8962" max="8966" width="16.42578125" style="157" customWidth="1"/>
    <col min="8967" max="8968" width="10.7109375" style="157" customWidth="1"/>
    <col min="8969" max="8969" width="2" style="157" customWidth="1"/>
    <col min="8970" max="8970" width="12.85546875" style="157" customWidth="1"/>
    <col min="8971" max="8971" width="13.7109375" style="157" bestFit="1" customWidth="1"/>
    <col min="8972" max="8972" width="16.28515625" style="157" customWidth="1"/>
    <col min="8973" max="8976" width="11.7109375" style="157" customWidth="1"/>
    <col min="8977" max="8977" width="10.7109375" style="157" customWidth="1"/>
    <col min="8978" max="8980" width="11.42578125" style="157"/>
    <col min="8981" max="8981" width="12.5703125" style="157" bestFit="1" customWidth="1"/>
    <col min="8982" max="9216" width="11.42578125" style="157"/>
    <col min="9217" max="9217" width="18.5703125" style="157" customWidth="1"/>
    <col min="9218" max="9222" width="16.42578125" style="157" customWidth="1"/>
    <col min="9223" max="9224" width="10.7109375" style="157" customWidth="1"/>
    <col min="9225" max="9225" width="2" style="157" customWidth="1"/>
    <col min="9226" max="9226" width="12.85546875" style="157" customWidth="1"/>
    <col min="9227" max="9227" width="13.7109375" style="157" bestFit="1" customWidth="1"/>
    <col min="9228" max="9228" width="16.28515625" style="157" customWidth="1"/>
    <col min="9229" max="9232" width="11.7109375" style="157" customWidth="1"/>
    <col min="9233" max="9233" width="10.7109375" style="157" customWidth="1"/>
    <col min="9234" max="9236" width="11.42578125" style="157"/>
    <col min="9237" max="9237" width="12.5703125" style="157" bestFit="1" customWidth="1"/>
    <col min="9238" max="9472" width="11.42578125" style="157"/>
    <col min="9473" max="9473" width="18.5703125" style="157" customWidth="1"/>
    <col min="9474" max="9478" width="16.42578125" style="157" customWidth="1"/>
    <col min="9479" max="9480" width="10.7109375" style="157" customWidth="1"/>
    <col min="9481" max="9481" width="2" style="157" customWidth="1"/>
    <col min="9482" max="9482" width="12.85546875" style="157" customWidth="1"/>
    <col min="9483" max="9483" width="13.7109375" style="157" bestFit="1" customWidth="1"/>
    <col min="9484" max="9484" width="16.28515625" style="157" customWidth="1"/>
    <col min="9485" max="9488" width="11.7109375" style="157" customWidth="1"/>
    <col min="9489" max="9489" width="10.7109375" style="157" customWidth="1"/>
    <col min="9490" max="9492" width="11.42578125" style="157"/>
    <col min="9493" max="9493" width="12.5703125" style="157" bestFit="1" customWidth="1"/>
    <col min="9494" max="9728" width="11.42578125" style="157"/>
    <col min="9729" max="9729" width="18.5703125" style="157" customWidth="1"/>
    <col min="9730" max="9734" width="16.42578125" style="157" customWidth="1"/>
    <col min="9735" max="9736" width="10.7109375" style="157" customWidth="1"/>
    <col min="9737" max="9737" width="2" style="157" customWidth="1"/>
    <col min="9738" max="9738" width="12.85546875" style="157" customWidth="1"/>
    <col min="9739" max="9739" width="13.7109375" style="157" bestFit="1" customWidth="1"/>
    <col min="9740" max="9740" width="16.28515625" style="157" customWidth="1"/>
    <col min="9741" max="9744" width="11.7109375" style="157" customWidth="1"/>
    <col min="9745" max="9745" width="10.7109375" style="157" customWidth="1"/>
    <col min="9746" max="9748" width="11.42578125" style="157"/>
    <col min="9749" max="9749" width="12.5703125" style="157" bestFit="1" customWidth="1"/>
    <col min="9750" max="9984" width="11.42578125" style="157"/>
    <col min="9985" max="9985" width="18.5703125" style="157" customWidth="1"/>
    <col min="9986" max="9990" width="16.42578125" style="157" customWidth="1"/>
    <col min="9991" max="9992" width="10.7109375" style="157" customWidth="1"/>
    <col min="9993" max="9993" width="2" style="157" customWidth="1"/>
    <col min="9994" max="9994" width="12.85546875" style="157" customWidth="1"/>
    <col min="9995" max="9995" width="13.7109375" style="157" bestFit="1" customWidth="1"/>
    <col min="9996" max="9996" width="16.28515625" style="157" customWidth="1"/>
    <col min="9997" max="10000" width="11.7109375" style="157" customWidth="1"/>
    <col min="10001" max="10001" width="10.7109375" style="157" customWidth="1"/>
    <col min="10002" max="10004" width="11.42578125" style="157"/>
    <col min="10005" max="10005" width="12.5703125" style="157" bestFit="1" customWidth="1"/>
    <col min="10006" max="10240" width="11.42578125" style="157"/>
    <col min="10241" max="10241" width="18.5703125" style="157" customWidth="1"/>
    <col min="10242" max="10246" width="16.42578125" style="157" customWidth="1"/>
    <col min="10247" max="10248" width="10.7109375" style="157" customWidth="1"/>
    <col min="10249" max="10249" width="2" style="157" customWidth="1"/>
    <col min="10250" max="10250" width="12.85546875" style="157" customWidth="1"/>
    <col min="10251" max="10251" width="13.7109375" style="157" bestFit="1" customWidth="1"/>
    <col min="10252" max="10252" width="16.28515625" style="157" customWidth="1"/>
    <col min="10253" max="10256" width="11.7109375" style="157" customWidth="1"/>
    <col min="10257" max="10257" width="10.7109375" style="157" customWidth="1"/>
    <col min="10258" max="10260" width="11.42578125" style="157"/>
    <col min="10261" max="10261" width="12.5703125" style="157" bestFit="1" customWidth="1"/>
    <col min="10262" max="10496" width="11.42578125" style="157"/>
    <col min="10497" max="10497" width="18.5703125" style="157" customWidth="1"/>
    <col min="10498" max="10502" width="16.42578125" style="157" customWidth="1"/>
    <col min="10503" max="10504" width="10.7109375" style="157" customWidth="1"/>
    <col min="10505" max="10505" width="2" style="157" customWidth="1"/>
    <col min="10506" max="10506" width="12.85546875" style="157" customWidth="1"/>
    <col min="10507" max="10507" width="13.7109375" style="157" bestFit="1" customWidth="1"/>
    <col min="10508" max="10508" width="16.28515625" style="157" customWidth="1"/>
    <col min="10509" max="10512" width="11.7109375" style="157" customWidth="1"/>
    <col min="10513" max="10513" width="10.7109375" style="157" customWidth="1"/>
    <col min="10514" max="10516" width="11.42578125" style="157"/>
    <col min="10517" max="10517" width="12.5703125" style="157" bestFit="1" customWidth="1"/>
    <col min="10518" max="10752" width="11.42578125" style="157"/>
    <col min="10753" max="10753" width="18.5703125" style="157" customWidth="1"/>
    <col min="10754" max="10758" width="16.42578125" style="157" customWidth="1"/>
    <col min="10759" max="10760" width="10.7109375" style="157" customWidth="1"/>
    <col min="10761" max="10761" width="2" style="157" customWidth="1"/>
    <col min="10762" max="10762" width="12.85546875" style="157" customWidth="1"/>
    <col min="10763" max="10763" width="13.7109375" style="157" bestFit="1" customWidth="1"/>
    <col min="10764" max="10764" width="16.28515625" style="157" customWidth="1"/>
    <col min="10765" max="10768" width="11.7109375" style="157" customWidth="1"/>
    <col min="10769" max="10769" width="10.7109375" style="157" customWidth="1"/>
    <col min="10770" max="10772" width="11.42578125" style="157"/>
    <col min="10773" max="10773" width="12.5703125" style="157" bestFit="1" customWidth="1"/>
    <col min="10774" max="11008" width="11.42578125" style="157"/>
    <col min="11009" max="11009" width="18.5703125" style="157" customWidth="1"/>
    <col min="11010" max="11014" width="16.42578125" style="157" customWidth="1"/>
    <col min="11015" max="11016" width="10.7109375" style="157" customWidth="1"/>
    <col min="11017" max="11017" width="2" style="157" customWidth="1"/>
    <col min="11018" max="11018" width="12.85546875" style="157" customWidth="1"/>
    <col min="11019" max="11019" width="13.7109375" style="157" bestFit="1" customWidth="1"/>
    <col min="11020" max="11020" width="16.28515625" style="157" customWidth="1"/>
    <col min="11021" max="11024" width="11.7109375" style="157" customWidth="1"/>
    <col min="11025" max="11025" width="10.7109375" style="157" customWidth="1"/>
    <col min="11026" max="11028" width="11.42578125" style="157"/>
    <col min="11029" max="11029" width="12.5703125" style="157" bestFit="1" customWidth="1"/>
    <col min="11030" max="11264" width="11.42578125" style="157"/>
    <col min="11265" max="11265" width="18.5703125" style="157" customWidth="1"/>
    <col min="11266" max="11270" width="16.42578125" style="157" customWidth="1"/>
    <col min="11271" max="11272" width="10.7109375" style="157" customWidth="1"/>
    <col min="11273" max="11273" width="2" style="157" customWidth="1"/>
    <col min="11274" max="11274" width="12.85546875" style="157" customWidth="1"/>
    <col min="11275" max="11275" width="13.7109375" style="157" bestFit="1" customWidth="1"/>
    <col min="11276" max="11276" width="16.28515625" style="157" customWidth="1"/>
    <col min="11277" max="11280" width="11.7109375" style="157" customWidth="1"/>
    <col min="11281" max="11281" width="10.7109375" style="157" customWidth="1"/>
    <col min="11282" max="11284" width="11.42578125" style="157"/>
    <col min="11285" max="11285" width="12.5703125" style="157" bestFit="1" customWidth="1"/>
    <col min="11286" max="11520" width="11.42578125" style="157"/>
    <col min="11521" max="11521" width="18.5703125" style="157" customWidth="1"/>
    <col min="11522" max="11526" width="16.42578125" style="157" customWidth="1"/>
    <col min="11527" max="11528" width="10.7109375" style="157" customWidth="1"/>
    <col min="11529" max="11529" width="2" style="157" customWidth="1"/>
    <col min="11530" max="11530" width="12.85546875" style="157" customWidth="1"/>
    <col min="11531" max="11531" width="13.7109375" style="157" bestFit="1" customWidth="1"/>
    <col min="11532" max="11532" width="16.28515625" style="157" customWidth="1"/>
    <col min="11533" max="11536" width="11.7109375" style="157" customWidth="1"/>
    <col min="11537" max="11537" width="10.7109375" style="157" customWidth="1"/>
    <col min="11538" max="11540" width="11.42578125" style="157"/>
    <col min="11541" max="11541" width="12.5703125" style="157" bestFit="1" customWidth="1"/>
    <col min="11542" max="11776" width="11.42578125" style="157"/>
    <col min="11777" max="11777" width="18.5703125" style="157" customWidth="1"/>
    <col min="11778" max="11782" width="16.42578125" style="157" customWidth="1"/>
    <col min="11783" max="11784" width="10.7109375" style="157" customWidth="1"/>
    <col min="11785" max="11785" width="2" style="157" customWidth="1"/>
    <col min="11786" max="11786" width="12.85546875" style="157" customWidth="1"/>
    <col min="11787" max="11787" width="13.7109375" style="157" bestFit="1" customWidth="1"/>
    <col min="11788" max="11788" width="16.28515625" style="157" customWidth="1"/>
    <col min="11789" max="11792" width="11.7109375" style="157" customWidth="1"/>
    <col min="11793" max="11793" width="10.7109375" style="157" customWidth="1"/>
    <col min="11794" max="11796" width="11.42578125" style="157"/>
    <col min="11797" max="11797" width="12.5703125" style="157" bestFit="1" customWidth="1"/>
    <col min="11798" max="12032" width="11.42578125" style="157"/>
    <col min="12033" max="12033" width="18.5703125" style="157" customWidth="1"/>
    <col min="12034" max="12038" width="16.42578125" style="157" customWidth="1"/>
    <col min="12039" max="12040" width="10.7109375" style="157" customWidth="1"/>
    <col min="12041" max="12041" width="2" style="157" customWidth="1"/>
    <col min="12042" max="12042" width="12.85546875" style="157" customWidth="1"/>
    <col min="12043" max="12043" width="13.7109375" style="157" bestFit="1" customWidth="1"/>
    <col min="12044" max="12044" width="16.28515625" style="157" customWidth="1"/>
    <col min="12045" max="12048" width="11.7109375" style="157" customWidth="1"/>
    <col min="12049" max="12049" width="10.7109375" style="157" customWidth="1"/>
    <col min="12050" max="12052" width="11.42578125" style="157"/>
    <col min="12053" max="12053" width="12.5703125" style="157" bestFit="1" customWidth="1"/>
    <col min="12054" max="12288" width="11.42578125" style="157"/>
    <col min="12289" max="12289" width="18.5703125" style="157" customWidth="1"/>
    <col min="12290" max="12294" width="16.42578125" style="157" customWidth="1"/>
    <col min="12295" max="12296" width="10.7109375" style="157" customWidth="1"/>
    <col min="12297" max="12297" width="2" style="157" customWidth="1"/>
    <col min="12298" max="12298" width="12.85546875" style="157" customWidth="1"/>
    <col min="12299" max="12299" width="13.7109375" style="157" bestFit="1" customWidth="1"/>
    <col min="12300" max="12300" width="16.28515625" style="157" customWidth="1"/>
    <col min="12301" max="12304" width="11.7109375" style="157" customWidth="1"/>
    <col min="12305" max="12305" width="10.7109375" style="157" customWidth="1"/>
    <col min="12306" max="12308" width="11.42578125" style="157"/>
    <col min="12309" max="12309" width="12.5703125" style="157" bestFit="1" customWidth="1"/>
    <col min="12310" max="12544" width="11.42578125" style="157"/>
    <col min="12545" max="12545" width="18.5703125" style="157" customWidth="1"/>
    <col min="12546" max="12550" width="16.42578125" style="157" customWidth="1"/>
    <col min="12551" max="12552" width="10.7109375" style="157" customWidth="1"/>
    <col min="12553" max="12553" width="2" style="157" customWidth="1"/>
    <col min="12554" max="12554" width="12.85546875" style="157" customWidth="1"/>
    <col min="12555" max="12555" width="13.7109375" style="157" bestFit="1" customWidth="1"/>
    <col min="12556" max="12556" width="16.28515625" style="157" customWidth="1"/>
    <col min="12557" max="12560" width="11.7109375" style="157" customWidth="1"/>
    <col min="12561" max="12561" width="10.7109375" style="157" customWidth="1"/>
    <col min="12562" max="12564" width="11.42578125" style="157"/>
    <col min="12565" max="12565" width="12.5703125" style="157" bestFit="1" customWidth="1"/>
    <col min="12566" max="12800" width="11.42578125" style="157"/>
    <col min="12801" max="12801" width="18.5703125" style="157" customWidth="1"/>
    <col min="12802" max="12806" width="16.42578125" style="157" customWidth="1"/>
    <col min="12807" max="12808" width="10.7109375" style="157" customWidth="1"/>
    <col min="12809" max="12809" width="2" style="157" customWidth="1"/>
    <col min="12810" max="12810" width="12.85546875" style="157" customWidth="1"/>
    <col min="12811" max="12811" width="13.7109375" style="157" bestFit="1" customWidth="1"/>
    <col min="12812" max="12812" width="16.28515625" style="157" customWidth="1"/>
    <col min="12813" max="12816" width="11.7109375" style="157" customWidth="1"/>
    <col min="12817" max="12817" width="10.7109375" style="157" customWidth="1"/>
    <col min="12818" max="12820" width="11.42578125" style="157"/>
    <col min="12821" max="12821" width="12.5703125" style="157" bestFit="1" customWidth="1"/>
    <col min="12822" max="13056" width="11.42578125" style="157"/>
    <col min="13057" max="13057" width="18.5703125" style="157" customWidth="1"/>
    <col min="13058" max="13062" width="16.42578125" style="157" customWidth="1"/>
    <col min="13063" max="13064" width="10.7109375" style="157" customWidth="1"/>
    <col min="13065" max="13065" width="2" style="157" customWidth="1"/>
    <col min="13066" max="13066" width="12.85546875" style="157" customWidth="1"/>
    <col min="13067" max="13067" width="13.7109375" style="157" bestFit="1" customWidth="1"/>
    <col min="13068" max="13068" width="16.28515625" style="157" customWidth="1"/>
    <col min="13069" max="13072" width="11.7109375" style="157" customWidth="1"/>
    <col min="13073" max="13073" width="10.7109375" style="157" customWidth="1"/>
    <col min="13074" max="13076" width="11.42578125" style="157"/>
    <col min="13077" max="13077" width="12.5703125" style="157" bestFit="1" customWidth="1"/>
    <col min="13078" max="13312" width="11.42578125" style="157"/>
    <col min="13313" max="13313" width="18.5703125" style="157" customWidth="1"/>
    <col min="13314" max="13318" width="16.42578125" style="157" customWidth="1"/>
    <col min="13319" max="13320" width="10.7109375" style="157" customWidth="1"/>
    <col min="13321" max="13321" width="2" style="157" customWidth="1"/>
    <col min="13322" max="13322" width="12.85546875" style="157" customWidth="1"/>
    <col min="13323" max="13323" width="13.7109375" style="157" bestFit="1" customWidth="1"/>
    <col min="13324" max="13324" width="16.28515625" style="157" customWidth="1"/>
    <col min="13325" max="13328" width="11.7109375" style="157" customWidth="1"/>
    <col min="13329" max="13329" width="10.7109375" style="157" customWidth="1"/>
    <col min="13330" max="13332" width="11.42578125" style="157"/>
    <col min="13333" max="13333" width="12.5703125" style="157" bestFit="1" customWidth="1"/>
    <col min="13334" max="13568" width="11.42578125" style="157"/>
    <col min="13569" max="13569" width="18.5703125" style="157" customWidth="1"/>
    <col min="13570" max="13574" width="16.42578125" style="157" customWidth="1"/>
    <col min="13575" max="13576" width="10.7109375" style="157" customWidth="1"/>
    <col min="13577" max="13577" width="2" style="157" customWidth="1"/>
    <col min="13578" max="13578" width="12.85546875" style="157" customWidth="1"/>
    <col min="13579" max="13579" width="13.7109375" style="157" bestFit="1" customWidth="1"/>
    <col min="13580" max="13580" width="16.28515625" style="157" customWidth="1"/>
    <col min="13581" max="13584" width="11.7109375" style="157" customWidth="1"/>
    <col min="13585" max="13585" width="10.7109375" style="157" customWidth="1"/>
    <col min="13586" max="13588" width="11.42578125" style="157"/>
    <col min="13589" max="13589" width="12.5703125" style="157" bestFit="1" customWidth="1"/>
    <col min="13590" max="13824" width="11.42578125" style="157"/>
    <col min="13825" max="13825" width="18.5703125" style="157" customWidth="1"/>
    <col min="13826" max="13830" width="16.42578125" style="157" customWidth="1"/>
    <col min="13831" max="13832" width="10.7109375" style="157" customWidth="1"/>
    <col min="13833" max="13833" width="2" style="157" customWidth="1"/>
    <col min="13834" max="13834" width="12.85546875" style="157" customWidth="1"/>
    <col min="13835" max="13835" width="13.7109375" style="157" bestFit="1" customWidth="1"/>
    <col min="13836" max="13836" width="16.28515625" style="157" customWidth="1"/>
    <col min="13837" max="13840" width="11.7109375" style="157" customWidth="1"/>
    <col min="13841" max="13841" width="10.7109375" style="157" customWidth="1"/>
    <col min="13842" max="13844" width="11.42578125" style="157"/>
    <col min="13845" max="13845" width="12.5703125" style="157" bestFit="1" customWidth="1"/>
    <col min="13846" max="14080" width="11.42578125" style="157"/>
    <col min="14081" max="14081" width="18.5703125" style="157" customWidth="1"/>
    <col min="14082" max="14086" width="16.42578125" style="157" customWidth="1"/>
    <col min="14087" max="14088" width="10.7109375" style="157" customWidth="1"/>
    <col min="14089" max="14089" width="2" style="157" customWidth="1"/>
    <col min="14090" max="14090" width="12.85546875" style="157" customWidth="1"/>
    <col min="14091" max="14091" width="13.7109375" style="157" bestFit="1" customWidth="1"/>
    <col min="14092" max="14092" width="16.28515625" style="157" customWidth="1"/>
    <col min="14093" max="14096" width="11.7109375" style="157" customWidth="1"/>
    <col min="14097" max="14097" width="10.7109375" style="157" customWidth="1"/>
    <col min="14098" max="14100" width="11.42578125" style="157"/>
    <col min="14101" max="14101" width="12.5703125" style="157" bestFit="1" customWidth="1"/>
    <col min="14102" max="14336" width="11.42578125" style="157"/>
    <col min="14337" max="14337" width="18.5703125" style="157" customWidth="1"/>
    <col min="14338" max="14342" width="16.42578125" style="157" customWidth="1"/>
    <col min="14343" max="14344" width="10.7109375" style="157" customWidth="1"/>
    <col min="14345" max="14345" width="2" style="157" customWidth="1"/>
    <col min="14346" max="14346" width="12.85546875" style="157" customWidth="1"/>
    <col min="14347" max="14347" width="13.7109375" style="157" bestFit="1" customWidth="1"/>
    <col min="14348" max="14348" width="16.28515625" style="157" customWidth="1"/>
    <col min="14349" max="14352" width="11.7109375" style="157" customWidth="1"/>
    <col min="14353" max="14353" width="10.7109375" style="157" customWidth="1"/>
    <col min="14354" max="14356" width="11.42578125" style="157"/>
    <col min="14357" max="14357" width="12.5703125" style="157" bestFit="1" customWidth="1"/>
    <col min="14358" max="14592" width="11.42578125" style="157"/>
    <col min="14593" max="14593" width="18.5703125" style="157" customWidth="1"/>
    <col min="14594" max="14598" width="16.42578125" style="157" customWidth="1"/>
    <col min="14599" max="14600" width="10.7109375" style="157" customWidth="1"/>
    <col min="14601" max="14601" width="2" style="157" customWidth="1"/>
    <col min="14602" max="14602" width="12.85546875" style="157" customWidth="1"/>
    <col min="14603" max="14603" width="13.7109375" style="157" bestFit="1" customWidth="1"/>
    <col min="14604" max="14604" width="16.28515625" style="157" customWidth="1"/>
    <col min="14605" max="14608" width="11.7109375" style="157" customWidth="1"/>
    <col min="14609" max="14609" width="10.7109375" style="157" customWidth="1"/>
    <col min="14610" max="14612" width="11.42578125" style="157"/>
    <col min="14613" max="14613" width="12.5703125" style="157" bestFit="1" customWidth="1"/>
    <col min="14614" max="14848" width="11.42578125" style="157"/>
    <col min="14849" max="14849" width="18.5703125" style="157" customWidth="1"/>
    <col min="14850" max="14854" width="16.42578125" style="157" customWidth="1"/>
    <col min="14855" max="14856" width="10.7109375" style="157" customWidth="1"/>
    <col min="14857" max="14857" width="2" style="157" customWidth="1"/>
    <col min="14858" max="14858" width="12.85546875" style="157" customWidth="1"/>
    <col min="14859" max="14859" width="13.7109375" style="157" bestFit="1" customWidth="1"/>
    <col min="14860" max="14860" width="16.28515625" style="157" customWidth="1"/>
    <col min="14861" max="14864" width="11.7109375" style="157" customWidth="1"/>
    <col min="14865" max="14865" width="10.7109375" style="157" customWidth="1"/>
    <col min="14866" max="14868" width="11.42578125" style="157"/>
    <col min="14869" max="14869" width="12.5703125" style="157" bestFit="1" customWidth="1"/>
    <col min="14870" max="15104" width="11.42578125" style="157"/>
    <col min="15105" max="15105" width="18.5703125" style="157" customWidth="1"/>
    <col min="15106" max="15110" width="16.42578125" style="157" customWidth="1"/>
    <col min="15111" max="15112" width="10.7109375" style="157" customWidth="1"/>
    <col min="15113" max="15113" width="2" style="157" customWidth="1"/>
    <col min="15114" max="15114" width="12.85546875" style="157" customWidth="1"/>
    <col min="15115" max="15115" width="13.7109375" style="157" bestFit="1" customWidth="1"/>
    <col min="15116" max="15116" width="16.28515625" style="157" customWidth="1"/>
    <col min="15117" max="15120" width="11.7109375" style="157" customWidth="1"/>
    <col min="15121" max="15121" width="10.7109375" style="157" customWidth="1"/>
    <col min="15122" max="15124" width="11.42578125" style="157"/>
    <col min="15125" max="15125" width="12.5703125" style="157" bestFit="1" customWidth="1"/>
    <col min="15126" max="15360" width="11.42578125" style="157"/>
    <col min="15361" max="15361" width="18.5703125" style="157" customWidth="1"/>
    <col min="15362" max="15366" width="16.42578125" style="157" customWidth="1"/>
    <col min="15367" max="15368" width="10.7109375" style="157" customWidth="1"/>
    <col min="15369" max="15369" width="2" style="157" customWidth="1"/>
    <col min="15370" max="15370" width="12.85546875" style="157" customWidth="1"/>
    <col min="15371" max="15371" width="13.7109375" style="157" bestFit="1" customWidth="1"/>
    <col min="15372" max="15372" width="16.28515625" style="157" customWidth="1"/>
    <col min="15373" max="15376" width="11.7109375" style="157" customWidth="1"/>
    <col min="15377" max="15377" width="10.7109375" style="157" customWidth="1"/>
    <col min="15378" max="15380" width="11.42578125" style="157"/>
    <col min="15381" max="15381" width="12.5703125" style="157" bestFit="1" customWidth="1"/>
    <col min="15382" max="15616" width="11.42578125" style="157"/>
    <col min="15617" max="15617" width="18.5703125" style="157" customWidth="1"/>
    <col min="15618" max="15622" width="16.42578125" style="157" customWidth="1"/>
    <col min="15623" max="15624" width="10.7109375" style="157" customWidth="1"/>
    <col min="15625" max="15625" width="2" style="157" customWidth="1"/>
    <col min="15626" max="15626" width="12.85546875" style="157" customWidth="1"/>
    <col min="15627" max="15627" width="13.7109375" style="157" bestFit="1" customWidth="1"/>
    <col min="15628" max="15628" width="16.28515625" style="157" customWidth="1"/>
    <col min="15629" max="15632" width="11.7109375" style="157" customWidth="1"/>
    <col min="15633" max="15633" width="10.7109375" style="157" customWidth="1"/>
    <col min="15634" max="15636" width="11.42578125" style="157"/>
    <col min="15637" max="15637" width="12.5703125" style="157" bestFit="1" customWidth="1"/>
    <col min="15638" max="15872" width="11.42578125" style="157"/>
    <col min="15873" max="15873" width="18.5703125" style="157" customWidth="1"/>
    <col min="15874" max="15878" width="16.42578125" style="157" customWidth="1"/>
    <col min="15879" max="15880" width="10.7109375" style="157" customWidth="1"/>
    <col min="15881" max="15881" width="2" style="157" customWidth="1"/>
    <col min="15882" max="15882" width="12.85546875" style="157" customWidth="1"/>
    <col min="15883" max="15883" width="13.7109375" style="157" bestFit="1" customWidth="1"/>
    <col min="15884" max="15884" width="16.28515625" style="157" customWidth="1"/>
    <col min="15885" max="15888" width="11.7109375" style="157" customWidth="1"/>
    <col min="15889" max="15889" width="10.7109375" style="157" customWidth="1"/>
    <col min="15890" max="15892" width="11.42578125" style="157"/>
    <col min="15893" max="15893" width="12.5703125" style="157" bestFit="1" customWidth="1"/>
    <col min="15894" max="16128" width="11.42578125" style="157"/>
    <col min="16129" max="16129" width="18.5703125" style="157" customWidth="1"/>
    <col min="16130" max="16134" width="16.42578125" style="157" customWidth="1"/>
    <col min="16135" max="16136" width="10.7109375" style="157" customWidth="1"/>
    <col min="16137" max="16137" width="2" style="157" customWidth="1"/>
    <col min="16138" max="16138" width="12.85546875" style="157" customWidth="1"/>
    <col min="16139" max="16139" width="13.7109375" style="157" bestFit="1" customWidth="1"/>
    <col min="16140" max="16140" width="16.28515625" style="157" customWidth="1"/>
    <col min="16141" max="16144" width="11.7109375" style="157" customWidth="1"/>
    <col min="16145" max="16145" width="10.7109375" style="157" customWidth="1"/>
    <col min="16146" max="16148" width="11.42578125" style="157"/>
    <col min="16149" max="16149" width="12.5703125" style="157" bestFit="1" customWidth="1"/>
    <col min="16150" max="16384" width="11.42578125" style="157"/>
  </cols>
  <sheetData>
    <row r="1" spans="1:23" ht="15.75" x14ac:dyDescent="0.25">
      <c r="A1" s="1313"/>
      <c r="B1" s="1313"/>
    </row>
    <row r="2" spans="1:23" ht="15.75" x14ac:dyDescent="0.25">
      <c r="A2" s="1314" t="s">
        <v>308</v>
      </c>
      <c r="B2" s="161"/>
      <c r="C2" s="161"/>
      <c r="D2" s="161"/>
      <c r="E2" s="161"/>
      <c r="F2" s="161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</row>
    <row r="3" spans="1:23" ht="15" x14ac:dyDescent="0.25">
      <c r="A3" s="1315" t="s">
        <v>309</v>
      </c>
      <c r="B3" s="1316"/>
      <c r="C3" s="1316"/>
      <c r="D3" s="1316"/>
      <c r="E3" s="1316"/>
      <c r="F3" s="1316"/>
      <c r="I3" s="201"/>
      <c r="J3"/>
      <c r="K3"/>
      <c r="L3"/>
      <c r="M3"/>
      <c r="N3"/>
      <c r="O3"/>
      <c r="P3"/>
      <c r="Q3"/>
      <c r="R3" s="201"/>
      <c r="S3" s="201"/>
      <c r="T3" s="201"/>
      <c r="U3" s="201"/>
      <c r="V3" s="1252"/>
      <c r="W3" s="202"/>
    </row>
    <row r="4" spans="1:23" ht="15.75" thickBot="1" x14ac:dyDescent="0.3">
      <c r="I4" s="201"/>
      <c r="J4"/>
      <c r="K4"/>
      <c r="L4"/>
      <c r="M4"/>
      <c r="N4"/>
      <c r="O4"/>
      <c r="P4"/>
      <c r="Q4"/>
      <c r="R4" s="201"/>
      <c r="S4" s="201"/>
      <c r="T4" s="201"/>
      <c r="U4" s="201"/>
      <c r="V4" s="1252"/>
      <c r="W4" s="202"/>
    </row>
    <row r="5" spans="1:23" ht="16.5" customHeight="1" thickBot="1" x14ac:dyDescent="0.3">
      <c r="A5" s="1253"/>
      <c r="B5" s="1410" t="s">
        <v>310</v>
      </c>
      <c r="C5" s="1411"/>
      <c r="D5" s="1411"/>
      <c r="E5" s="1411"/>
      <c r="F5" s="1412"/>
      <c r="I5" s="201"/>
      <c r="J5"/>
      <c r="K5"/>
      <c r="L5"/>
      <c r="M5"/>
      <c r="N5"/>
      <c r="O5"/>
      <c r="P5"/>
      <c r="Q5"/>
      <c r="R5" s="201"/>
      <c r="S5" s="201"/>
      <c r="T5" s="201"/>
      <c r="U5" s="201"/>
      <c r="V5" s="1252"/>
      <c r="W5" s="202"/>
    </row>
    <row r="6" spans="1:23" ht="12.75" customHeight="1" x14ac:dyDescent="0.25">
      <c r="A6" s="1255" t="s">
        <v>132</v>
      </c>
      <c r="B6" s="1416" t="s">
        <v>302</v>
      </c>
      <c r="C6" s="1418" t="s">
        <v>303</v>
      </c>
      <c r="D6" s="1418" t="s">
        <v>304</v>
      </c>
      <c r="E6" s="1420" t="s">
        <v>305</v>
      </c>
      <c r="F6" s="1422" t="s">
        <v>151</v>
      </c>
      <c r="G6" s="216"/>
      <c r="I6" s="201"/>
      <c r="J6"/>
      <c r="K6"/>
      <c r="L6"/>
      <c r="M6"/>
      <c r="N6"/>
      <c r="O6"/>
      <c r="P6"/>
      <c r="Q6"/>
      <c r="R6" s="201"/>
      <c r="S6" s="201"/>
      <c r="T6" s="201"/>
      <c r="U6" s="201"/>
      <c r="V6" s="1252"/>
      <c r="W6" s="202"/>
    </row>
    <row r="7" spans="1:23" ht="15.75" customHeight="1" thickBot="1" x14ac:dyDescent="0.3">
      <c r="A7" s="1257"/>
      <c r="B7" s="1417"/>
      <c r="C7" s="1419"/>
      <c r="D7" s="1419"/>
      <c r="E7" s="1421"/>
      <c r="F7" s="1423"/>
      <c r="G7" s="216"/>
      <c r="J7"/>
      <c r="K7"/>
      <c r="L7"/>
      <c r="M7"/>
      <c r="N7"/>
      <c r="O7"/>
      <c r="P7"/>
      <c r="Q7"/>
      <c r="R7" s="201"/>
      <c r="S7" s="201"/>
      <c r="T7" s="201"/>
      <c r="U7" s="201"/>
      <c r="V7" s="1252"/>
      <c r="W7" s="202"/>
    </row>
    <row r="8" spans="1:23" ht="15" x14ac:dyDescent="0.25">
      <c r="A8" s="1259"/>
      <c r="B8" s="1317"/>
      <c r="C8" s="1318"/>
      <c r="D8" s="1318"/>
      <c r="E8" s="1318"/>
      <c r="F8" s="1319"/>
      <c r="G8" s="216"/>
      <c r="J8"/>
      <c r="K8"/>
      <c r="L8"/>
      <c r="M8"/>
      <c r="N8"/>
      <c r="O8"/>
      <c r="P8"/>
      <c r="Q8"/>
    </row>
    <row r="9" spans="1:23" ht="15" x14ac:dyDescent="0.25">
      <c r="A9" s="1265">
        <v>1995</v>
      </c>
      <c r="B9" s="1266">
        <v>229035.54403785348</v>
      </c>
      <c r="C9" s="1267">
        <v>200811.42160772084</v>
      </c>
      <c r="D9" s="1267">
        <v>355896.20422925544</v>
      </c>
      <c r="E9" s="1267">
        <v>40932.831814912512</v>
      </c>
      <c r="F9" s="1268">
        <f>+SUM(B9:E9)</f>
        <v>826676.0016897422</v>
      </c>
      <c r="G9" s="216"/>
      <c r="J9"/>
      <c r="K9"/>
      <c r="L9"/>
      <c r="M9"/>
      <c r="N9"/>
      <c r="O9"/>
      <c r="P9"/>
      <c r="Q9"/>
    </row>
    <row r="10" spans="1:23" ht="15" x14ac:dyDescent="0.25">
      <c r="A10" s="1259">
        <v>1996</v>
      </c>
      <c r="B10" s="1260">
        <v>258447.72612741796</v>
      </c>
      <c r="C10" s="1261">
        <v>213222.6714817289</v>
      </c>
      <c r="D10" s="1261">
        <v>372677.77599551878</v>
      </c>
      <c r="E10" s="1261">
        <v>49022.221536151759</v>
      </c>
      <c r="F10" s="1262">
        <f t="shared" ref="F10:F28" si="0">+SUM(B10:E10)</f>
        <v>893370.39514081739</v>
      </c>
      <c r="G10" s="216"/>
      <c r="J10"/>
      <c r="K10"/>
      <c r="L10"/>
      <c r="M10"/>
      <c r="N10"/>
      <c r="O10"/>
      <c r="P10"/>
      <c r="Q10"/>
    </row>
    <row r="11" spans="1:23" ht="15" x14ac:dyDescent="0.25">
      <c r="A11" s="1265">
        <v>1997</v>
      </c>
      <c r="B11" s="1266">
        <v>355516.10470524785</v>
      </c>
      <c r="C11" s="1267">
        <v>221239.00181128312</v>
      </c>
      <c r="D11" s="1267">
        <v>392117.28436542355</v>
      </c>
      <c r="E11" s="1267">
        <v>50665.14573498242</v>
      </c>
      <c r="F11" s="1268">
        <f t="shared" si="0"/>
        <v>1019537.5366169369</v>
      </c>
      <c r="G11" s="216"/>
      <c r="J11"/>
      <c r="K11"/>
      <c r="L11"/>
      <c r="M11"/>
      <c r="N11"/>
      <c r="O11"/>
      <c r="P11"/>
      <c r="Q11"/>
    </row>
    <row r="12" spans="1:23" ht="15" x14ac:dyDescent="0.25">
      <c r="A12" s="1259">
        <v>1998</v>
      </c>
      <c r="B12" s="1260">
        <v>405108.58810399019</v>
      </c>
      <c r="C12" s="1261">
        <v>175416.57536486135</v>
      </c>
      <c r="D12" s="1261">
        <v>362781.21835892892</v>
      </c>
      <c r="E12" s="1261">
        <v>44838.588717470884</v>
      </c>
      <c r="F12" s="1262">
        <f t="shared" si="0"/>
        <v>988144.97054525127</v>
      </c>
      <c r="G12" s="216"/>
      <c r="J12"/>
      <c r="K12"/>
      <c r="L12"/>
      <c r="M12"/>
      <c r="N12"/>
      <c r="O12"/>
      <c r="P12"/>
      <c r="Q12"/>
    </row>
    <row r="13" spans="1:23" ht="15" x14ac:dyDescent="0.25">
      <c r="A13" s="1265">
        <v>1999</v>
      </c>
      <c r="B13" s="1266">
        <v>419536.44763941609</v>
      </c>
      <c r="C13" s="1267">
        <v>170042.7141646184</v>
      </c>
      <c r="D13" s="1267">
        <v>358196.54564842128</v>
      </c>
      <c r="E13" s="1267">
        <v>44183.660814274546</v>
      </c>
      <c r="F13" s="1268">
        <f t="shared" si="0"/>
        <v>991959.36826673034</v>
      </c>
      <c r="G13" s="216"/>
      <c r="J13"/>
      <c r="K13"/>
      <c r="L13"/>
      <c r="M13"/>
      <c r="N13"/>
      <c r="O13"/>
      <c r="P13"/>
      <c r="Q13"/>
    </row>
    <row r="14" spans="1:23" ht="15" x14ac:dyDescent="0.25">
      <c r="A14" s="1259">
        <v>2000</v>
      </c>
      <c r="B14" s="1260">
        <v>470947.31940472691</v>
      </c>
      <c r="C14" s="1261">
        <v>197172.92008066195</v>
      </c>
      <c r="D14" s="1261">
        <v>396689.58182878082</v>
      </c>
      <c r="E14" s="1261">
        <v>48259.678954052164</v>
      </c>
      <c r="F14" s="1262">
        <f t="shared" si="0"/>
        <v>1113069.5002682218</v>
      </c>
      <c r="G14" s="216"/>
      <c r="J14"/>
      <c r="K14"/>
      <c r="L14"/>
      <c r="M14"/>
      <c r="N14"/>
      <c r="O14"/>
      <c r="P14"/>
      <c r="Q14"/>
    </row>
    <row r="15" spans="1:23" ht="15" x14ac:dyDescent="0.25">
      <c r="A15" s="1265">
        <v>2001</v>
      </c>
      <c r="B15" s="1266">
        <v>479868.23409751739</v>
      </c>
      <c r="C15" s="1267">
        <v>202560.16293720153</v>
      </c>
      <c r="D15" s="1267">
        <v>406024.2542681364</v>
      </c>
      <c r="E15" s="1267">
        <v>50905.862535693137</v>
      </c>
      <c r="F15" s="1268">
        <f t="shared" si="0"/>
        <v>1139358.5138385484</v>
      </c>
      <c r="G15" s="216"/>
      <c r="J15"/>
      <c r="K15"/>
      <c r="L15"/>
      <c r="M15"/>
      <c r="N15"/>
      <c r="O15"/>
      <c r="P15"/>
      <c r="Q15"/>
    </row>
    <row r="16" spans="1:23" ht="15" x14ac:dyDescent="0.25">
      <c r="A16" s="1259">
        <v>2002</v>
      </c>
      <c r="B16" s="1260">
        <v>488098.27845652425</v>
      </c>
      <c r="C16" s="1261">
        <v>223817.53067643259</v>
      </c>
      <c r="D16" s="1261">
        <v>400798.0547307923</v>
      </c>
      <c r="E16" s="1261">
        <v>44353.296403984248</v>
      </c>
      <c r="F16" s="1262">
        <f t="shared" si="0"/>
        <v>1157067.1602677335</v>
      </c>
      <c r="G16" s="216"/>
      <c r="J16"/>
      <c r="K16"/>
      <c r="L16"/>
      <c r="M16"/>
      <c r="N16"/>
      <c r="O16"/>
      <c r="P16"/>
      <c r="Q16"/>
    </row>
    <row r="17" spans="1:17" ht="15" x14ac:dyDescent="0.25">
      <c r="A17" s="1265">
        <v>2003</v>
      </c>
      <c r="B17" s="1266">
        <v>506532.8631156623</v>
      </c>
      <c r="C17" s="1267">
        <v>238398.63946284784</v>
      </c>
      <c r="D17" s="1267">
        <v>427974.96816134849</v>
      </c>
      <c r="E17" s="1267">
        <v>44303.672929736647</v>
      </c>
      <c r="F17" s="1268">
        <f t="shared" si="0"/>
        <v>1217210.1436695952</v>
      </c>
      <c r="G17" s="216"/>
      <c r="J17"/>
      <c r="K17"/>
      <c r="L17"/>
      <c r="M17"/>
      <c r="N17"/>
      <c r="O17"/>
      <c r="P17"/>
      <c r="Q17"/>
    </row>
    <row r="18" spans="1:17" ht="15" x14ac:dyDescent="0.25">
      <c r="A18" s="1259">
        <v>2004</v>
      </c>
      <c r="B18" s="1260">
        <v>596267.04432617116</v>
      </c>
      <c r="C18" s="1261">
        <v>257743.9102776775</v>
      </c>
      <c r="D18" s="1261">
        <v>470011.6333799953</v>
      </c>
      <c r="E18" s="1261">
        <v>58277.423826264436</v>
      </c>
      <c r="F18" s="1262">
        <f t="shared" si="0"/>
        <v>1382300.0118101083</v>
      </c>
      <c r="G18" s="216"/>
      <c r="J18"/>
      <c r="K18"/>
      <c r="L18"/>
      <c r="M18"/>
      <c r="N18"/>
      <c r="O18"/>
      <c r="P18"/>
      <c r="Q18"/>
    </row>
    <row r="19" spans="1:17" ht="15" x14ac:dyDescent="0.25">
      <c r="A19" s="1265">
        <v>2005</v>
      </c>
      <c r="B19" s="1266">
        <v>669716.05900215998</v>
      </c>
      <c r="C19" s="1267">
        <v>300420.25850854366</v>
      </c>
      <c r="D19" s="1267">
        <v>544065.3677454039</v>
      </c>
      <c r="E19" s="1267">
        <v>65007.585840271378</v>
      </c>
      <c r="F19" s="1268">
        <f t="shared" si="0"/>
        <v>1579209.2710963788</v>
      </c>
      <c r="G19" s="216"/>
      <c r="J19"/>
      <c r="K19"/>
      <c r="L19"/>
      <c r="M19"/>
      <c r="N19"/>
      <c r="O19"/>
      <c r="P19"/>
      <c r="Q19"/>
    </row>
    <row r="20" spans="1:17" ht="15" x14ac:dyDescent="0.25">
      <c r="A20" s="1271">
        <v>2006</v>
      </c>
      <c r="B20" s="1260">
        <v>715993.84226713481</v>
      </c>
      <c r="C20" s="1261">
        <v>317868.59748703917</v>
      </c>
      <c r="D20" s="1261">
        <v>579597.98697812622</v>
      </c>
      <c r="E20" s="1261">
        <v>69708.477573607859</v>
      </c>
      <c r="F20" s="1262">
        <f t="shared" si="0"/>
        <v>1683168.9043059081</v>
      </c>
      <c r="G20" s="216"/>
      <c r="J20"/>
      <c r="K20"/>
      <c r="L20"/>
      <c r="M20"/>
      <c r="N20"/>
      <c r="O20"/>
      <c r="P20"/>
      <c r="Q20"/>
    </row>
    <row r="21" spans="1:17" ht="15" x14ac:dyDescent="0.25">
      <c r="A21" s="1272">
        <v>2007</v>
      </c>
      <c r="B21" s="1266">
        <v>794759.59169783501</v>
      </c>
      <c r="C21" s="1267">
        <v>340153.50271927071</v>
      </c>
      <c r="D21" s="1267">
        <v>628258.89821243391</v>
      </c>
      <c r="E21" s="1267">
        <v>67459.670804701891</v>
      </c>
      <c r="F21" s="1268">
        <f t="shared" si="0"/>
        <v>1830631.6634342417</v>
      </c>
      <c r="G21" s="216"/>
      <c r="J21"/>
      <c r="K21"/>
      <c r="L21"/>
      <c r="M21"/>
      <c r="N21"/>
      <c r="O21"/>
      <c r="P21"/>
      <c r="Q21"/>
    </row>
    <row r="22" spans="1:17" ht="15" x14ac:dyDescent="0.25">
      <c r="A22" s="1271">
        <v>2008</v>
      </c>
      <c r="B22" s="1260">
        <v>1027831.8916520025</v>
      </c>
      <c r="C22" s="1261">
        <v>399555.0703387963</v>
      </c>
      <c r="D22" s="1261">
        <v>716691.01010196272</v>
      </c>
      <c r="E22" s="1261">
        <v>72022.001090604914</v>
      </c>
      <c r="F22" s="1262">
        <f t="shared" si="0"/>
        <v>2216099.9731833665</v>
      </c>
      <c r="G22" s="216"/>
      <c r="J22"/>
      <c r="K22"/>
      <c r="L22"/>
      <c r="M22"/>
      <c r="N22"/>
      <c r="O22"/>
      <c r="P22"/>
      <c r="Q22"/>
    </row>
    <row r="23" spans="1:17" ht="15" x14ac:dyDescent="0.25">
      <c r="A23" s="1279">
        <v>2009</v>
      </c>
      <c r="B23" s="1266">
        <v>910151.82885370869</v>
      </c>
      <c r="C23" s="1267">
        <v>454550.76665939082</v>
      </c>
      <c r="D23" s="1267">
        <v>792475.92957778438</v>
      </c>
      <c r="E23" s="1267">
        <v>78879.628738922736</v>
      </c>
      <c r="F23" s="1268">
        <f t="shared" si="0"/>
        <v>2236058.1538298065</v>
      </c>
      <c r="G23" s="216"/>
      <c r="J23"/>
      <c r="K23"/>
      <c r="L23"/>
      <c r="M23"/>
      <c r="N23"/>
      <c r="O23"/>
      <c r="P23"/>
      <c r="Q23"/>
    </row>
    <row r="24" spans="1:17" x14ac:dyDescent="0.2">
      <c r="A24" s="1322">
        <v>2010</v>
      </c>
      <c r="B24" s="1274">
        <v>971594.08601682109</v>
      </c>
      <c r="C24" s="1275">
        <v>526340.05433409393</v>
      </c>
      <c r="D24" s="1275">
        <v>864962.42369105283</v>
      </c>
      <c r="E24" s="1275">
        <v>85638.464160990639</v>
      </c>
      <c r="F24" s="1276">
        <f t="shared" si="0"/>
        <v>2448535.0282029584</v>
      </c>
      <c r="G24" s="216"/>
      <c r="Q24" s="1321"/>
    </row>
    <row r="25" spans="1:17" x14ac:dyDescent="0.2">
      <c r="A25" s="1279">
        <v>2011</v>
      </c>
      <c r="B25" s="1266">
        <v>1196612.7704490384</v>
      </c>
      <c r="C25" s="1267">
        <v>568041.68320329254</v>
      </c>
      <c r="D25" s="1267">
        <v>999500.05360099196</v>
      </c>
      <c r="E25" s="1267">
        <v>96237.048105473543</v>
      </c>
      <c r="F25" s="1268">
        <f t="shared" si="0"/>
        <v>2860391.5553587964</v>
      </c>
      <c r="G25" s="216"/>
      <c r="Q25" s="189"/>
    </row>
    <row r="26" spans="1:17" ht="15" x14ac:dyDescent="0.25">
      <c r="A26" s="1322">
        <v>2012</v>
      </c>
      <c r="B26" s="1274">
        <v>1379656.1115939592</v>
      </c>
      <c r="C26" s="1275">
        <v>665764.93903639342</v>
      </c>
      <c r="D26" s="1275">
        <v>1143905.3448795595</v>
      </c>
      <c r="E26" s="1275">
        <v>109799.10381710083</v>
      </c>
      <c r="F26" s="1276">
        <f t="shared" si="0"/>
        <v>3299125.4993270123</v>
      </c>
      <c r="G26" s="216"/>
      <c r="Q26" s="1323"/>
    </row>
    <row r="27" spans="1:17" x14ac:dyDescent="0.2">
      <c r="A27" s="1279">
        <v>2013</v>
      </c>
      <c r="B27" s="1266">
        <v>1441539.8024168243</v>
      </c>
      <c r="C27" s="1267">
        <v>737391.51220428827</v>
      </c>
      <c r="D27" s="1267">
        <v>1241000.8431573522</v>
      </c>
      <c r="E27" s="1267">
        <v>116294.17167812247</v>
      </c>
      <c r="F27" s="1268">
        <f t="shared" si="0"/>
        <v>3536226.3294565869</v>
      </c>
      <c r="G27" s="216"/>
      <c r="Q27" s="1321"/>
    </row>
    <row r="28" spans="1:17" ht="15" x14ac:dyDescent="0.25">
      <c r="A28" s="1322">
        <v>2014</v>
      </c>
      <c r="B28" s="1274">
        <f>1665455.82668933+156.829571</f>
        <v>1665612.65626033</v>
      </c>
      <c r="C28" s="1275">
        <v>836842.30774737417</v>
      </c>
      <c r="D28" s="1275">
        <v>1407774.9448299771</v>
      </c>
      <c r="E28" s="1275">
        <v>115116.20663604917</v>
      </c>
      <c r="F28" s="1276">
        <f t="shared" si="0"/>
        <v>4025346.1154737305</v>
      </c>
      <c r="G28" s="216"/>
      <c r="Q28" s="1323"/>
    </row>
    <row r="29" spans="1:17" x14ac:dyDescent="0.2">
      <c r="A29" s="1279" t="s">
        <v>136</v>
      </c>
      <c r="B29" s="1266">
        <v>1776076.028528241</v>
      </c>
      <c r="C29" s="1267">
        <v>873466.71138115006</v>
      </c>
      <c r="D29" s="1267">
        <v>1481970.3570995654</v>
      </c>
      <c r="E29" s="1267">
        <v>134549.94263900974</v>
      </c>
      <c r="F29" s="1268">
        <v>4266063.0255301893</v>
      </c>
      <c r="G29" s="216"/>
      <c r="H29" s="202"/>
      <c r="J29" s="202"/>
      <c r="K29" s="202"/>
      <c r="L29" s="202"/>
      <c r="P29" s="202"/>
      <c r="Q29" s="1321"/>
    </row>
    <row r="30" spans="1:17" ht="18.75" customHeight="1" thickBot="1" x14ac:dyDescent="0.25">
      <c r="A30" s="1282"/>
      <c r="B30" s="1324"/>
      <c r="C30" s="1325"/>
      <c r="D30" s="1325"/>
      <c r="E30" s="1325"/>
      <c r="F30" s="1326"/>
      <c r="G30" s="216"/>
      <c r="J30" s="1327"/>
      <c r="L30" s="163"/>
      <c r="M30" s="1328"/>
      <c r="N30" s="1328"/>
      <c r="O30" s="1328"/>
      <c r="P30" s="1328"/>
    </row>
    <row r="31" spans="1:17" ht="18.75" customHeight="1" x14ac:dyDescent="0.2">
      <c r="A31" s="1288" t="s">
        <v>137</v>
      </c>
      <c r="B31" s="1289">
        <f>(B29/B28)-1</f>
        <v>6.6319964520398011E-2</v>
      </c>
      <c r="C31" s="1290">
        <f t="shared" ref="C31:F31" si="1">(C29/C28)-1</f>
        <v>4.3765000042077284E-2</v>
      </c>
      <c r="D31" s="1290">
        <f t="shared" si="1"/>
        <v>5.2704029534031305E-2</v>
      </c>
      <c r="E31" s="1291">
        <f t="shared" si="1"/>
        <v>0.16881841897728767</v>
      </c>
      <c r="F31" s="1292">
        <f t="shared" si="1"/>
        <v>5.9800301179350868E-2</v>
      </c>
      <c r="G31" s="216"/>
    </row>
    <row r="32" spans="1:17" ht="18.75" customHeight="1" x14ac:dyDescent="0.2">
      <c r="A32" s="1293" t="s">
        <v>138</v>
      </c>
      <c r="B32" s="1294">
        <f>((B29/B24)^(1/5))-1</f>
        <v>0.12822401052065246</v>
      </c>
      <c r="C32" s="1295">
        <f t="shared" ref="C32:F32" si="2">((C29/C24)^(1/5))-1</f>
        <v>0.10661355969339659</v>
      </c>
      <c r="D32" s="1295">
        <f t="shared" si="2"/>
        <v>0.11370060394755388</v>
      </c>
      <c r="E32" s="1296">
        <f t="shared" si="2"/>
        <v>9.4568458968896874E-2</v>
      </c>
      <c r="F32" s="1297">
        <f t="shared" si="2"/>
        <v>0.11743993784123163</v>
      </c>
      <c r="G32" s="216"/>
    </row>
    <row r="33" spans="1:7" ht="18.75" customHeight="1" x14ac:dyDescent="0.2">
      <c r="A33" s="1298" t="s">
        <v>144</v>
      </c>
      <c r="B33" s="1299">
        <f>(B29/B19)-1</f>
        <v>1.6519836349370154</v>
      </c>
      <c r="C33" s="1300">
        <f t="shared" ref="C33:F33" si="3">(C29/C19)-1</f>
        <v>1.9074827234272869</v>
      </c>
      <c r="D33" s="1300">
        <f t="shared" si="3"/>
        <v>1.7238829099540398</v>
      </c>
      <c r="E33" s="1301">
        <f t="shared" si="3"/>
        <v>1.0697575659802112</v>
      </c>
      <c r="F33" s="1302">
        <f t="shared" si="3"/>
        <v>1.701391831728825</v>
      </c>
      <c r="G33" s="216"/>
    </row>
    <row r="34" spans="1:7" ht="18" customHeight="1" thickBot="1" x14ac:dyDescent="0.25">
      <c r="A34" s="1304" t="s">
        <v>140</v>
      </c>
      <c r="B34" s="1305">
        <f>((B29/B19)^(1/10))-1</f>
        <v>0.10244538549583027</v>
      </c>
      <c r="C34" s="1306">
        <f t="shared" ref="C34:F34" si="4">((C29/C19)^(1/10))-1</f>
        <v>0.11263243017372404</v>
      </c>
      <c r="D34" s="1306">
        <f t="shared" si="4"/>
        <v>0.10539843017778128</v>
      </c>
      <c r="E34" s="1307">
        <f t="shared" si="4"/>
        <v>7.545426912892883E-2</v>
      </c>
      <c r="F34" s="1308">
        <f t="shared" si="4"/>
        <v>0.1044822944151067</v>
      </c>
      <c r="G34" s="216"/>
    </row>
    <row r="35" spans="1:7" x14ac:dyDescent="0.2">
      <c r="A35" s="319" t="s">
        <v>141</v>
      </c>
      <c r="B35" s="162"/>
      <c r="C35" s="162"/>
      <c r="D35" s="162"/>
      <c r="E35" s="162"/>
      <c r="F35" s="162"/>
      <c r="G35" s="216"/>
    </row>
    <row r="36" spans="1:7" ht="15.75" x14ac:dyDescent="0.25">
      <c r="A36" s="349"/>
      <c r="B36" s="202"/>
      <c r="C36" s="202"/>
      <c r="D36" s="202"/>
      <c r="E36" s="1313"/>
      <c r="F36" s="1329"/>
      <c r="G36" s="216"/>
    </row>
    <row r="37" spans="1:7" x14ac:dyDescent="0.2">
      <c r="G37" s="1330"/>
    </row>
    <row r="59" spans="2:2" ht="23.25" x14ac:dyDescent="0.35">
      <c r="B59" s="1424"/>
    </row>
  </sheetData>
  <mergeCells count="6">
    <mergeCell ref="B5:F5"/>
    <mergeCell ref="B6:B7"/>
    <mergeCell ref="C6:C7"/>
    <mergeCell ref="D6:D7"/>
    <mergeCell ref="E6:E7"/>
    <mergeCell ref="F6:F7"/>
  </mergeCells>
  <printOptions horizontalCentered="1"/>
  <pageMargins left="0.51181102362204722" right="3.937007874015748E-2" top="0.55118110236220474" bottom="0.39370078740157483" header="0" footer="0"/>
  <pageSetup paperSize="9" scale="85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view="pageBreakPreview" zoomScaleNormal="100" zoomScaleSheetLayoutView="100" workbookViewId="0">
      <selection activeCell="L23" sqref="L23"/>
    </sheetView>
  </sheetViews>
  <sheetFormatPr baseColWidth="10" defaultRowHeight="12.75" x14ac:dyDescent="0.2"/>
  <cols>
    <col min="1" max="1" width="21.140625" style="157" customWidth="1"/>
    <col min="2" max="6" width="15.5703125" style="157" customWidth="1"/>
    <col min="7" max="9" width="10.7109375" style="157" customWidth="1"/>
    <col min="10" max="10" width="15.5703125" style="157" customWidth="1"/>
    <col min="11" max="11" width="10.7109375" style="157" customWidth="1"/>
    <col min="12" max="12" width="11.7109375" style="157" customWidth="1"/>
    <col min="13" max="13" width="10.7109375" style="157" customWidth="1"/>
    <col min="14" max="14" width="11.7109375" style="157" customWidth="1"/>
    <col min="15" max="17" width="10.7109375" style="157" customWidth="1"/>
    <col min="18" max="20" width="11.42578125" style="157"/>
    <col min="21" max="21" width="12.5703125" style="157" bestFit="1" customWidth="1"/>
    <col min="22" max="256" width="11.42578125" style="157"/>
    <col min="257" max="257" width="21.140625" style="157" customWidth="1"/>
    <col min="258" max="262" width="15.5703125" style="157" customWidth="1"/>
    <col min="263" max="265" width="10.7109375" style="157" customWidth="1"/>
    <col min="266" max="266" width="15.5703125" style="157" customWidth="1"/>
    <col min="267" max="267" width="10.7109375" style="157" customWidth="1"/>
    <col min="268" max="268" width="11.7109375" style="157" customWidth="1"/>
    <col min="269" max="269" width="10.7109375" style="157" customWidth="1"/>
    <col min="270" max="270" width="11.7109375" style="157" customWidth="1"/>
    <col min="271" max="273" width="10.7109375" style="157" customWidth="1"/>
    <col min="274" max="276" width="11.42578125" style="157"/>
    <col min="277" max="277" width="12.5703125" style="157" bestFit="1" customWidth="1"/>
    <col min="278" max="512" width="11.42578125" style="157"/>
    <col min="513" max="513" width="21.140625" style="157" customWidth="1"/>
    <col min="514" max="518" width="15.5703125" style="157" customWidth="1"/>
    <col min="519" max="521" width="10.7109375" style="157" customWidth="1"/>
    <col min="522" max="522" width="15.5703125" style="157" customWidth="1"/>
    <col min="523" max="523" width="10.7109375" style="157" customWidth="1"/>
    <col min="524" max="524" width="11.7109375" style="157" customWidth="1"/>
    <col min="525" max="525" width="10.7109375" style="157" customWidth="1"/>
    <col min="526" max="526" width="11.7109375" style="157" customWidth="1"/>
    <col min="527" max="529" width="10.7109375" style="157" customWidth="1"/>
    <col min="530" max="532" width="11.42578125" style="157"/>
    <col min="533" max="533" width="12.5703125" style="157" bestFit="1" customWidth="1"/>
    <col min="534" max="768" width="11.42578125" style="157"/>
    <col min="769" max="769" width="21.140625" style="157" customWidth="1"/>
    <col min="770" max="774" width="15.5703125" style="157" customWidth="1"/>
    <col min="775" max="777" width="10.7109375" style="157" customWidth="1"/>
    <col min="778" max="778" width="15.5703125" style="157" customWidth="1"/>
    <col min="779" max="779" width="10.7109375" style="157" customWidth="1"/>
    <col min="780" max="780" width="11.7109375" style="157" customWidth="1"/>
    <col min="781" max="781" width="10.7109375" style="157" customWidth="1"/>
    <col min="782" max="782" width="11.7109375" style="157" customWidth="1"/>
    <col min="783" max="785" width="10.7109375" style="157" customWidth="1"/>
    <col min="786" max="788" width="11.42578125" style="157"/>
    <col min="789" max="789" width="12.5703125" style="157" bestFit="1" customWidth="1"/>
    <col min="790" max="1024" width="11.42578125" style="157"/>
    <col min="1025" max="1025" width="21.140625" style="157" customWidth="1"/>
    <col min="1026" max="1030" width="15.5703125" style="157" customWidth="1"/>
    <col min="1031" max="1033" width="10.7109375" style="157" customWidth="1"/>
    <col min="1034" max="1034" width="15.5703125" style="157" customWidth="1"/>
    <col min="1035" max="1035" width="10.7109375" style="157" customWidth="1"/>
    <col min="1036" max="1036" width="11.7109375" style="157" customWidth="1"/>
    <col min="1037" max="1037" width="10.7109375" style="157" customWidth="1"/>
    <col min="1038" max="1038" width="11.7109375" style="157" customWidth="1"/>
    <col min="1039" max="1041" width="10.7109375" style="157" customWidth="1"/>
    <col min="1042" max="1044" width="11.42578125" style="157"/>
    <col min="1045" max="1045" width="12.5703125" style="157" bestFit="1" customWidth="1"/>
    <col min="1046" max="1280" width="11.42578125" style="157"/>
    <col min="1281" max="1281" width="21.140625" style="157" customWidth="1"/>
    <col min="1282" max="1286" width="15.5703125" style="157" customWidth="1"/>
    <col min="1287" max="1289" width="10.7109375" style="157" customWidth="1"/>
    <col min="1290" max="1290" width="15.5703125" style="157" customWidth="1"/>
    <col min="1291" max="1291" width="10.7109375" style="157" customWidth="1"/>
    <col min="1292" max="1292" width="11.7109375" style="157" customWidth="1"/>
    <col min="1293" max="1293" width="10.7109375" style="157" customWidth="1"/>
    <col min="1294" max="1294" width="11.7109375" style="157" customWidth="1"/>
    <col min="1295" max="1297" width="10.7109375" style="157" customWidth="1"/>
    <col min="1298" max="1300" width="11.42578125" style="157"/>
    <col min="1301" max="1301" width="12.5703125" style="157" bestFit="1" customWidth="1"/>
    <col min="1302" max="1536" width="11.42578125" style="157"/>
    <col min="1537" max="1537" width="21.140625" style="157" customWidth="1"/>
    <col min="1538" max="1542" width="15.5703125" style="157" customWidth="1"/>
    <col min="1543" max="1545" width="10.7109375" style="157" customWidth="1"/>
    <col min="1546" max="1546" width="15.5703125" style="157" customWidth="1"/>
    <col min="1547" max="1547" width="10.7109375" style="157" customWidth="1"/>
    <col min="1548" max="1548" width="11.7109375" style="157" customWidth="1"/>
    <col min="1549" max="1549" width="10.7109375" style="157" customWidth="1"/>
    <col min="1550" max="1550" width="11.7109375" style="157" customWidth="1"/>
    <col min="1551" max="1553" width="10.7109375" style="157" customWidth="1"/>
    <col min="1554" max="1556" width="11.42578125" style="157"/>
    <col min="1557" max="1557" width="12.5703125" style="157" bestFit="1" customWidth="1"/>
    <col min="1558" max="1792" width="11.42578125" style="157"/>
    <col min="1793" max="1793" width="21.140625" style="157" customWidth="1"/>
    <col min="1794" max="1798" width="15.5703125" style="157" customWidth="1"/>
    <col min="1799" max="1801" width="10.7109375" style="157" customWidth="1"/>
    <col min="1802" max="1802" width="15.5703125" style="157" customWidth="1"/>
    <col min="1803" max="1803" width="10.7109375" style="157" customWidth="1"/>
    <col min="1804" max="1804" width="11.7109375" style="157" customWidth="1"/>
    <col min="1805" max="1805" width="10.7109375" style="157" customWidth="1"/>
    <col min="1806" max="1806" width="11.7109375" style="157" customWidth="1"/>
    <col min="1807" max="1809" width="10.7109375" style="157" customWidth="1"/>
    <col min="1810" max="1812" width="11.42578125" style="157"/>
    <col min="1813" max="1813" width="12.5703125" style="157" bestFit="1" customWidth="1"/>
    <col min="1814" max="2048" width="11.42578125" style="157"/>
    <col min="2049" max="2049" width="21.140625" style="157" customWidth="1"/>
    <col min="2050" max="2054" width="15.5703125" style="157" customWidth="1"/>
    <col min="2055" max="2057" width="10.7109375" style="157" customWidth="1"/>
    <col min="2058" max="2058" width="15.5703125" style="157" customWidth="1"/>
    <col min="2059" max="2059" width="10.7109375" style="157" customWidth="1"/>
    <col min="2060" max="2060" width="11.7109375" style="157" customWidth="1"/>
    <col min="2061" max="2061" width="10.7109375" style="157" customWidth="1"/>
    <col min="2062" max="2062" width="11.7109375" style="157" customWidth="1"/>
    <col min="2063" max="2065" width="10.7109375" style="157" customWidth="1"/>
    <col min="2066" max="2068" width="11.42578125" style="157"/>
    <col min="2069" max="2069" width="12.5703125" style="157" bestFit="1" customWidth="1"/>
    <col min="2070" max="2304" width="11.42578125" style="157"/>
    <col min="2305" max="2305" width="21.140625" style="157" customWidth="1"/>
    <col min="2306" max="2310" width="15.5703125" style="157" customWidth="1"/>
    <col min="2311" max="2313" width="10.7109375" style="157" customWidth="1"/>
    <col min="2314" max="2314" width="15.5703125" style="157" customWidth="1"/>
    <col min="2315" max="2315" width="10.7109375" style="157" customWidth="1"/>
    <col min="2316" max="2316" width="11.7109375" style="157" customWidth="1"/>
    <col min="2317" max="2317" width="10.7109375" style="157" customWidth="1"/>
    <col min="2318" max="2318" width="11.7109375" style="157" customWidth="1"/>
    <col min="2319" max="2321" width="10.7109375" style="157" customWidth="1"/>
    <col min="2322" max="2324" width="11.42578125" style="157"/>
    <col min="2325" max="2325" width="12.5703125" style="157" bestFit="1" customWidth="1"/>
    <col min="2326" max="2560" width="11.42578125" style="157"/>
    <col min="2561" max="2561" width="21.140625" style="157" customWidth="1"/>
    <col min="2562" max="2566" width="15.5703125" style="157" customWidth="1"/>
    <col min="2567" max="2569" width="10.7109375" style="157" customWidth="1"/>
    <col min="2570" max="2570" width="15.5703125" style="157" customWidth="1"/>
    <col min="2571" max="2571" width="10.7109375" style="157" customWidth="1"/>
    <col min="2572" max="2572" width="11.7109375" style="157" customWidth="1"/>
    <col min="2573" max="2573" width="10.7109375" style="157" customWidth="1"/>
    <col min="2574" max="2574" width="11.7109375" style="157" customWidth="1"/>
    <col min="2575" max="2577" width="10.7109375" style="157" customWidth="1"/>
    <col min="2578" max="2580" width="11.42578125" style="157"/>
    <col min="2581" max="2581" width="12.5703125" style="157" bestFit="1" customWidth="1"/>
    <col min="2582" max="2816" width="11.42578125" style="157"/>
    <col min="2817" max="2817" width="21.140625" style="157" customWidth="1"/>
    <col min="2818" max="2822" width="15.5703125" style="157" customWidth="1"/>
    <col min="2823" max="2825" width="10.7109375" style="157" customWidth="1"/>
    <col min="2826" max="2826" width="15.5703125" style="157" customWidth="1"/>
    <col min="2827" max="2827" width="10.7109375" style="157" customWidth="1"/>
    <col min="2828" max="2828" width="11.7109375" style="157" customWidth="1"/>
    <col min="2829" max="2829" width="10.7109375" style="157" customWidth="1"/>
    <col min="2830" max="2830" width="11.7109375" style="157" customWidth="1"/>
    <col min="2831" max="2833" width="10.7109375" style="157" customWidth="1"/>
    <col min="2834" max="2836" width="11.42578125" style="157"/>
    <col min="2837" max="2837" width="12.5703125" style="157" bestFit="1" customWidth="1"/>
    <col min="2838" max="3072" width="11.42578125" style="157"/>
    <col min="3073" max="3073" width="21.140625" style="157" customWidth="1"/>
    <col min="3074" max="3078" width="15.5703125" style="157" customWidth="1"/>
    <col min="3079" max="3081" width="10.7109375" style="157" customWidth="1"/>
    <col min="3082" max="3082" width="15.5703125" style="157" customWidth="1"/>
    <col min="3083" max="3083" width="10.7109375" style="157" customWidth="1"/>
    <col min="3084" max="3084" width="11.7109375" style="157" customWidth="1"/>
    <col min="3085" max="3085" width="10.7109375" style="157" customWidth="1"/>
    <col min="3086" max="3086" width="11.7109375" style="157" customWidth="1"/>
    <col min="3087" max="3089" width="10.7109375" style="157" customWidth="1"/>
    <col min="3090" max="3092" width="11.42578125" style="157"/>
    <col min="3093" max="3093" width="12.5703125" style="157" bestFit="1" customWidth="1"/>
    <col min="3094" max="3328" width="11.42578125" style="157"/>
    <col min="3329" max="3329" width="21.140625" style="157" customWidth="1"/>
    <col min="3330" max="3334" width="15.5703125" style="157" customWidth="1"/>
    <col min="3335" max="3337" width="10.7109375" style="157" customWidth="1"/>
    <col min="3338" max="3338" width="15.5703125" style="157" customWidth="1"/>
    <col min="3339" max="3339" width="10.7109375" style="157" customWidth="1"/>
    <col min="3340" max="3340" width="11.7109375" style="157" customWidth="1"/>
    <col min="3341" max="3341" width="10.7109375" style="157" customWidth="1"/>
    <col min="3342" max="3342" width="11.7109375" style="157" customWidth="1"/>
    <col min="3343" max="3345" width="10.7109375" style="157" customWidth="1"/>
    <col min="3346" max="3348" width="11.42578125" style="157"/>
    <col min="3349" max="3349" width="12.5703125" style="157" bestFit="1" customWidth="1"/>
    <col min="3350" max="3584" width="11.42578125" style="157"/>
    <col min="3585" max="3585" width="21.140625" style="157" customWidth="1"/>
    <col min="3586" max="3590" width="15.5703125" style="157" customWidth="1"/>
    <col min="3591" max="3593" width="10.7109375" style="157" customWidth="1"/>
    <col min="3594" max="3594" width="15.5703125" style="157" customWidth="1"/>
    <col min="3595" max="3595" width="10.7109375" style="157" customWidth="1"/>
    <col min="3596" max="3596" width="11.7109375" style="157" customWidth="1"/>
    <col min="3597" max="3597" width="10.7109375" style="157" customWidth="1"/>
    <col min="3598" max="3598" width="11.7109375" style="157" customWidth="1"/>
    <col min="3599" max="3601" width="10.7109375" style="157" customWidth="1"/>
    <col min="3602" max="3604" width="11.42578125" style="157"/>
    <col min="3605" max="3605" width="12.5703125" style="157" bestFit="1" customWidth="1"/>
    <col min="3606" max="3840" width="11.42578125" style="157"/>
    <col min="3841" max="3841" width="21.140625" style="157" customWidth="1"/>
    <col min="3842" max="3846" width="15.5703125" style="157" customWidth="1"/>
    <col min="3847" max="3849" width="10.7109375" style="157" customWidth="1"/>
    <col min="3850" max="3850" width="15.5703125" style="157" customWidth="1"/>
    <col min="3851" max="3851" width="10.7109375" style="157" customWidth="1"/>
    <col min="3852" max="3852" width="11.7109375" style="157" customWidth="1"/>
    <col min="3853" max="3853" width="10.7109375" style="157" customWidth="1"/>
    <col min="3854" max="3854" width="11.7109375" style="157" customWidth="1"/>
    <col min="3855" max="3857" width="10.7109375" style="157" customWidth="1"/>
    <col min="3858" max="3860" width="11.42578125" style="157"/>
    <col min="3861" max="3861" width="12.5703125" style="157" bestFit="1" customWidth="1"/>
    <col min="3862" max="4096" width="11.42578125" style="157"/>
    <col min="4097" max="4097" width="21.140625" style="157" customWidth="1"/>
    <col min="4098" max="4102" width="15.5703125" style="157" customWidth="1"/>
    <col min="4103" max="4105" width="10.7109375" style="157" customWidth="1"/>
    <col min="4106" max="4106" width="15.5703125" style="157" customWidth="1"/>
    <col min="4107" max="4107" width="10.7109375" style="157" customWidth="1"/>
    <col min="4108" max="4108" width="11.7109375" style="157" customWidth="1"/>
    <col min="4109" max="4109" width="10.7109375" style="157" customWidth="1"/>
    <col min="4110" max="4110" width="11.7109375" style="157" customWidth="1"/>
    <col min="4111" max="4113" width="10.7109375" style="157" customWidth="1"/>
    <col min="4114" max="4116" width="11.42578125" style="157"/>
    <col min="4117" max="4117" width="12.5703125" style="157" bestFit="1" customWidth="1"/>
    <col min="4118" max="4352" width="11.42578125" style="157"/>
    <col min="4353" max="4353" width="21.140625" style="157" customWidth="1"/>
    <col min="4354" max="4358" width="15.5703125" style="157" customWidth="1"/>
    <col min="4359" max="4361" width="10.7109375" style="157" customWidth="1"/>
    <col min="4362" max="4362" width="15.5703125" style="157" customWidth="1"/>
    <col min="4363" max="4363" width="10.7109375" style="157" customWidth="1"/>
    <col min="4364" max="4364" width="11.7109375" style="157" customWidth="1"/>
    <col min="4365" max="4365" width="10.7109375" style="157" customWidth="1"/>
    <col min="4366" max="4366" width="11.7109375" style="157" customWidth="1"/>
    <col min="4367" max="4369" width="10.7109375" style="157" customWidth="1"/>
    <col min="4370" max="4372" width="11.42578125" style="157"/>
    <col min="4373" max="4373" width="12.5703125" style="157" bestFit="1" customWidth="1"/>
    <col min="4374" max="4608" width="11.42578125" style="157"/>
    <col min="4609" max="4609" width="21.140625" style="157" customWidth="1"/>
    <col min="4610" max="4614" width="15.5703125" style="157" customWidth="1"/>
    <col min="4615" max="4617" width="10.7109375" style="157" customWidth="1"/>
    <col min="4618" max="4618" width="15.5703125" style="157" customWidth="1"/>
    <col min="4619" max="4619" width="10.7109375" style="157" customWidth="1"/>
    <col min="4620" max="4620" width="11.7109375" style="157" customWidth="1"/>
    <col min="4621" max="4621" width="10.7109375" style="157" customWidth="1"/>
    <col min="4622" max="4622" width="11.7109375" style="157" customWidth="1"/>
    <col min="4623" max="4625" width="10.7109375" style="157" customWidth="1"/>
    <col min="4626" max="4628" width="11.42578125" style="157"/>
    <col min="4629" max="4629" width="12.5703125" style="157" bestFit="1" customWidth="1"/>
    <col min="4630" max="4864" width="11.42578125" style="157"/>
    <col min="4865" max="4865" width="21.140625" style="157" customWidth="1"/>
    <col min="4866" max="4870" width="15.5703125" style="157" customWidth="1"/>
    <col min="4871" max="4873" width="10.7109375" style="157" customWidth="1"/>
    <col min="4874" max="4874" width="15.5703125" style="157" customWidth="1"/>
    <col min="4875" max="4875" width="10.7109375" style="157" customWidth="1"/>
    <col min="4876" max="4876" width="11.7109375" style="157" customWidth="1"/>
    <col min="4877" max="4877" width="10.7109375" style="157" customWidth="1"/>
    <col min="4878" max="4878" width="11.7109375" style="157" customWidth="1"/>
    <col min="4879" max="4881" width="10.7109375" style="157" customWidth="1"/>
    <col min="4882" max="4884" width="11.42578125" style="157"/>
    <col min="4885" max="4885" width="12.5703125" style="157" bestFit="1" customWidth="1"/>
    <col min="4886" max="5120" width="11.42578125" style="157"/>
    <col min="5121" max="5121" width="21.140625" style="157" customWidth="1"/>
    <col min="5122" max="5126" width="15.5703125" style="157" customWidth="1"/>
    <col min="5127" max="5129" width="10.7109375" style="157" customWidth="1"/>
    <col min="5130" max="5130" width="15.5703125" style="157" customWidth="1"/>
    <col min="5131" max="5131" width="10.7109375" style="157" customWidth="1"/>
    <col min="5132" max="5132" width="11.7109375" style="157" customWidth="1"/>
    <col min="5133" max="5133" width="10.7109375" style="157" customWidth="1"/>
    <col min="5134" max="5134" width="11.7109375" style="157" customWidth="1"/>
    <col min="5135" max="5137" width="10.7109375" style="157" customWidth="1"/>
    <col min="5138" max="5140" width="11.42578125" style="157"/>
    <col min="5141" max="5141" width="12.5703125" style="157" bestFit="1" customWidth="1"/>
    <col min="5142" max="5376" width="11.42578125" style="157"/>
    <col min="5377" max="5377" width="21.140625" style="157" customWidth="1"/>
    <col min="5378" max="5382" width="15.5703125" style="157" customWidth="1"/>
    <col min="5383" max="5385" width="10.7109375" style="157" customWidth="1"/>
    <col min="5386" max="5386" width="15.5703125" style="157" customWidth="1"/>
    <col min="5387" max="5387" width="10.7109375" style="157" customWidth="1"/>
    <col min="5388" max="5388" width="11.7109375" style="157" customWidth="1"/>
    <col min="5389" max="5389" width="10.7109375" style="157" customWidth="1"/>
    <col min="5390" max="5390" width="11.7109375" style="157" customWidth="1"/>
    <col min="5391" max="5393" width="10.7109375" style="157" customWidth="1"/>
    <col min="5394" max="5396" width="11.42578125" style="157"/>
    <col min="5397" max="5397" width="12.5703125" style="157" bestFit="1" customWidth="1"/>
    <col min="5398" max="5632" width="11.42578125" style="157"/>
    <col min="5633" max="5633" width="21.140625" style="157" customWidth="1"/>
    <col min="5634" max="5638" width="15.5703125" style="157" customWidth="1"/>
    <col min="5639" max="5641" width="10.7109375" style="157" customWidth="1"/>
    <col min="5642" max="5642" width="15.5703125" style="157" customWidth="1"/>
    <col min="5643" max="5643" width="10.7109375" style="157" customWidth="1"/>
    <col min="5644" max="5644" width="11.7109375" style="157" customWidth="1"/>
    <col min="5645" max="5645" width="10.7109375" style="157" customWidth="1"/>
    <col min="5646" max="5646" width="11.7109375" style="157" customWidth="1"/>
    <col min="5647" max="5649" width="10.7109375" style="157" customWidth="1"/>
    <col min="5650" max="5652" width="11.42578125" style="157"/>
    <col min="5653" max="5653" width="12.5703125" style="157" bestFit="1" customWidth="1"/>
    <col min="5654" max="5888" width="11.42578125" style="157"/>
    <col min="5889" max="5889" width="21.140625" style="157" customWidth="1"/>
    <col min="5890" max="5894" width="15.5703125" style="157" customWidth="1"/>
    <col min="5895" max="5897" width="10.7109375" style="157" customWidth="1"/>
    <col min="5898" max="5898" width="15.5703125" style="157" customWidth="1"/>
    <col min="5899" max="5899" width="10.7109375" style="157" customWidth="1"/>
    <col min="5900" max="5900" width="11.7109375" style="157" customWidth="1"/>
    <col min="5901" max="5901" width="10.7109375" style="157" customWidth="1"/>
    <col min="5902" max="5902" width="11.7109375" style="157" customWidth="1"/>
    <col min="5903" max="5905" width="10.7109375" style="157" customWidth="1"/>
    <col min="5906" max="5908" width="11.42578125" style="157"/>
    <col min="5909" max="5909" width="12.5703125" style="157" bestFit="1" customWidth="1"/>
    <col min="5910" max="6144" width="11.42578125" style="157"/>
    <col min="6145" max="6145" width="21.140625" style="157" customWidth="1"/>
    <col min="6146" max="6150" width="15.5703125" style="157" customWidth="1"/>
    <col min="6151" max="6153" width="10.7109375" style="157" customWidth="1"/>
    <col min="6154" max="6154" width="15.5703125" style="157" customWidth="1"/>
    <col min="6155" max="6155" width="10.7109375" style="157" customWidth="1"/>
    <col min="6156" max="6156" width="11.7109375" style="157" customWidth="1"/>
    <col min="6157" max="6157" width="10.7109375" style="157" customWidth="1"/>
    <col min="6158" max="6158" width="11.7109375" style="157" customWidth="1"/>
    <col min="6159" max="6161" width="10.7109375" style="157" customWidth="1"/>
    <col min="6162" max="6164" width="11.42578125" style="157"/>
    <col min="6165" max="6165" width="12.5703125" style="157" bestFit="1" customWidth="1"/>
    <col min="6166" max="6400" width="11.42578125" style="157"/>
    <col min="6401" max="6401" width="21.140625" style="157" customWidth="1"/>
    <col min="6402" max="6406" width="15.5703125" style="157" customWidth="1"/>
    <col min="6407" max="6409" width="10.7109375" style="157" customWidth="1"/>
    <col min="6410" max="6410" width="15.5703125" style="157" customWidth="1"/>
    <col min="6411" max="6411" width="10.7109375" style="157" customWidth="1"/>
    <col min="6412" max="6412" width="11.7109375" style="157" customWidth="1"/>
    <col min="6413" max="6413" width="10.7109375" style="157" customWidth="1"/>
    <col min="6414" max="6414" width="11.7109375" style="157" customWidth="1"/>
    <col min="6415" max="6417" width="10.7109375" style="157" customWidth="1"/>
    <col min="6418" max="6420" width="11.42578125" style="157"/>
    <col min="6421" max="6421" width="12.5703125" style="157" bestFit="1" customWidth="1"/>
    <col min="6422" max="6656" width="11.42578125" style="157"/>
    <col min="6657" max="6657" width="21.140625" style="157" customWidth="1"/>
    <col min="6658" max="6662" width="15.5703125" style="157" customWidth="1"/>
    <col min="6663" max="6665" width="10.7109375" style="157" customWidth="1"/>
    <col min="6666" max="6666" width="15.5703125" style="157" customWidth="1"/>
    <col min="6667" max="6667" width="10.7109375" style="157" customWidth="1"/>
    <col min="6668" max="6668" width="11.7109375" style="157" customWidth="1"/>
    <col min="6669" max="6669" width="10.7109375" style="157" customWidth="1"/>
    <col min="6670" max="6670" width="11.7109375" style="157" customWidth="1"/>
    <col min="6671" max="6673" width="10.7109375" style="157" customWidth="1"/>
    <col min="6674" max="6676" width="11.42578125" style="157"/>
    <col min="6677" max="6677" width="12.5703125" style="157" bestFit="1" customWidth="1"/>
    <col min="6678" max="6912" width="11.42578125" style="157"/>
    <col min="6913" max="6913" width="21.140625" style="157" customWidth="1"/>
    <col min="6914" max="6918" width="15.5703125" style="157" customWidth="1"/>
    <col min="6919" max="6921" width="10.7109375" style="157" customWidth="1"/>
    <col min="6922" max="6922" width="15.5703125" style="157" customWidth="1"/>
    <col min="6923" max="6923" width="10.7109375" style="157" customWidth="1"/>
    <col min="6924" max="6924" width="11.7109375" style="157" customWidth="1"/>
    <col min="6925" max="6925" width="10.7109375" style="157" customWidth="1"/>
    <col min="6926" max="6926" width="11.7109375" style="157" customWidth="1"/>
    <col min="6927" max="6929" width="10.7109375" style="157" customWidth="1"/>
    <col min="6930" max="6932" width="11.42578125" style="157"/>
    <col min="6933" max="6933" width="12.5703125" style="157" bestFit="1" customWidth="1"/>
    <col min="6934" max="7168" width="11.42578125" style="157"/>
    <col min="7169" max="7169" width="21.140625" style="157" customWidth="1"/>
    <col min="7170" max="7174" width="15.5703125" style="157" customWidth="1"/>
    <col min="7175" max="7177" width="10.7109375" style="157" customWidth="1"/>
    <col min="7178" max="7178" width="15.5703125" style="157" customWidth="1"/>
    <col min="7179" max="7179" width="10.7109375" style="157" customWidth="1"/>
    <col min="7180" max="7180" width="11.7109375" style="157" customWidth="1"/>
    <col min="7181" max="7181" width="10.7109375" style="157" customWidth="1"/>
    <col min="7182" max="7182" width="11.7109375" style="157" customWidth="1"/>
    <col min="7183" max="7185" width="10.7109375" style="157" customWidth="1"/>
    <col min="7186" max="7188" width="11.42578125" style="157"/>
    <col min="7189" max="7189" width="12.5703125" style="157" bestFit="1" customWidth="1"/>
    <col min="7190" max="7424" width="11.42578125" style="157"/>
    <col min="7425" max="7425" width="21.140625" style="157" customWidth="1"/>
    <col min="7426" max="7430" width="15.5703125" style="157" customWidth="1"/>
    <col min="7431" max="7433" width="10.7109375" style="157" customWidth="1"/>
    <col min="7434" max="7434" width="15.5703125" style="157" customWidth="1"/>
    <col min="7435" max="7435" width="10.7109375" style="157" customWidth="1"/>
    <col min="7436" max="7436" width="11.7109375" style="157" customWidth="1"/>
    <col min="7437" max="7437" width="10.7109375" style="157" customWidth="1"/>
    <col min="7438" max="7438" width="11.7109375" style="157" customWidth="1"/>
    <col min="7439" max="7441" width="10.7109375" style="157" customWidth="1"/>
    <col min="7442" max="7444" width="11.42578125" style="157"/>
    <col min="7445" max="7445" width="12.5703125" style="157" bestFit="1" customWidth="1"/>
    <col min="7446" max="7680" width="11.42578125" style="157"/>
    <col min="7681" max="7681" width="21.140625" style="157" customWidth="1"/>
    <col min="7682" max="7686" width="15.5703125" style="157" customWidth="1"/>
    <col min="7687" max="7689" width="10.7109375" style="157" customWidth="1"/>
    <col min="7690" max="7690" width="15.5703125" style="157" customWidth="1"/>
    <col min="7691" max="7691" width="10.7109375" style="157" customWidth="1"/>
    <col min="7692" max="7692" width="11.7109375" style="157" customWidth="1"/>
    <col min="7693" max="7693" width="10.7109375" style="157" customWidth="1"/>
    <col min="7694" max="7694" width="11.7109375" style="157" customWidth="1"/>
    <col min="7695" max="7697" width="10.7109375" style="157" customWidth="1"/>
    <col min="7698" max="7700" width="11.42578125" style="157"/>
    <col min="7701" max="7701" width="12.5703125" style="157" bestFit="1" customWidth="1"/>
    <col min="7702" max="7936" width="11.42578125" style="157"/>
    <col min="7937" max="7937" width="21.140625" style="157" customWidth="1"/>
    <col min="7938" max="7942" width="15.5703125" style="157" customWidth="1"/>
    <col min="7943" max="7945" width="10.7109375" style="157" customWidth="1"/>
    <col min="7946" max="7946" width="15.5703125" style="157" customWidth="1"/>
    <col min="7947" max="7947" width="10.7109375" style="157" customWidth="1"/>
    <col min="7948" max="7948" width="11.7109375" style="157" customWidth="1"/>
    <col min="7949" max="7949" width="10.7109375" style="157" customWidth="1"/>
    <col min="7950" max="7950" width="11.7109375" style="157" customWidth="1"/>
    <col min="7951" max="7953" width="10.7109375" style="157" customWidth="1"/>
    <col min="7954" max="7956" width="11.42578125" style="157"/>
    <col min="7957" max="7957" width="12.5703125" style="157" bestFit="1" customWidth="1"/>
    <col min="7958" max="8192" width="11.42578125" style="157"/>
    <col min="8193" max="8193" width="21.140625" style="157" customWidth="1"/>
    <col min="8194" max="8198" width="15.5703125" style="157" customWidth="1"/>
    <col min="8199" max="8201" width="10.7109375" style="157" customWidth="1"/>
    <col min="8202" max="8202" width="15.5703125" style="157" customWidth="1"/>
    <col min="8203" max="8203" width="10.7109375" style="157" customWidth="1"/>
    <col min="8204" max="8204" width="11.7109375" style="157" customWidth="1"/>
    <col min="8205" max="8205" width="10.7109375" style="157" customWidth="1"/>
    <col min="8206" max="8206" width="11.7109375" style="157" customWidth="1"/>
    <col min="8207" max="8209" width="10.7109375" style="157" customWidth="1"/>
    <col min="8210" max="8212" width="11.42578125" style="157"/>
    <col min="8213" max="8213" width="12.5703125" style="157" bestFit="1" customWidth="1"/>
    <col min="8214" max="8448" width="11.42578125" style="157"/>
    <col min="8449" max="8449" width="21.140625" style="157" customWidth="1"/>
    <col min="8450" max="8454" width="15.5703125" style="157" customWidth="1"/>
    <col min="8455" max="8457" width="10.7109375" style="157" customWidth="1"/>
    <col min="8458" max="8458" width="15.5703125" style="157" customWidth="1"/>
    <col min="8459" max="8459" width="10.7109375" style="157" customWidth="1"/>
    <col min="8460" max="8460" width="11.7109375" style="157" customWidth="1"/>
    <col min="8461" max="8461" width="10.7109375" style="157" customWidth="1"/>
    <col min="8462" max="8462" width="11.7109375" style="157" customWidth="1"/>
    <col min="8463" max="8465" width="10.7109375" style="157" customWidth="1"/>
    <col min="8466" max="8468" width="11.42578125" style="157"/>
    <col min="8469" max="8469" width="12.5703125" style="157" bestFit="1" customWidth="1"/>
    <col min="8470" max="8704" width="11.42578125" style="157"/>
    <col min="8705" max="8705" width="21.140625" style="157" customWidth="1"/>
    <col min="8706" max="8710" width="15.5703125" style="157" customWidth="1"/>
    <col min="8711" max="8713" width="10.7109375" style="157" customWidth="1"/>
    <col min="8714" max="8714" width="15.5703125" style="157" customWidth="1"/>
    <col min="8715" max="8715" width="10.7109375" style="157" customWidth="1"/>
    <col min="8716" max="8716" width="11.7109375" style="157" customWidth="1"/>
    <col min="8717" max="8717" width="10.7109375" style="157" customWidth="1"/>
    <col min="8718" max="8718" width="11.7109375" style="157" customWidth="1"/>
    <col min="8719" max="8721" width="10.7109375" style="157" customWidth="1"/>
    <col min="8722" max="8724" width="11.42578125" style="157"/>
    <col min="8725" max="8725" width="12.5703125" style="157" bestFit="1" customWidth="1"/>
    <col min="8726" max="8960" width="11.42578125" style="157"/>
    <col min="8961" max="8961" width="21.140625" style="157" customWidth="1"/>
    <col min="8962" max="8966" width="15.5703125" style="157" customWidth="1"/>
    <col min="8967" max="8969" width="10.7109375" style="157" customWidth="1"/>
    <col min="8970" max="8970" width="15.5703125" style="157" customWidth="1"/>
    <col min="8971" max="8971" width="10.7109375" style="157" customWidth="1"/>
    <col min="8972" max="8972" width="11.7109375" style="157" customWidth="1"/>
    <col min="8973" max="8973" width="10.7109375" style="157" customWidth="1"/>
    <col min="8974" max="8974" width="11.7109375" style="157" customWidth="1"/>
    <col min="8975" max="8977" width="10.7109375" style="157" customWidth="1"/>
    <col min="8978" max="8980" width="11.42578125" style="157"/>
    <col min="8981" max="8981" width="12.5703125" style="157" bestFit="1" customWidth="1"/>
    <col min="8982" max="9216" width="11.42578125" style="157"/>
    <col min="9217" max="9217" width="21.140625" style="157" customWidth="1"/>
    <col min="9218" max="9222" width="15.5703125" style="157" customWidth="1"/>
    <col min="9223" max="9225" width="10.7109375" style="157" customWidth="1"/>
    <col min="9226" max="9226" width="15.5703125" style="157" customWidth="1"/>
    <col min="9227" max="9227" width="10.7109375" style="157" customWidth="1"/>
    <col min="9228" max="9228" width="11.7109375" style="157" customWidth="1"/>
    <col min="9229" max="9229" width="10.7109375" style="157" customWidth="1"/>
    <col min="9230" max="9230" width="11.7109375" style="157" customWidth="1"/>
    <col min="9231" max="9233" width="10.7109375" style="157" customWidth="1"/>
    <col min="9234" max="9236" width="11.42578125" style="157"/>
    <col min="9237" max="9237" width="12.5703125" style="157" bestFit="1" customWidth="1"/>
    <col min="9238" max="9472" width="11.42578125" style="157"/>
    <col min="9473" max="9473" width="21.140625" style="157" customWidth="1"/>
    <col min="9474" max="9478" width="15.5703125" style="157" customWidth="1"/>
    <col min="9479" max="9481" width="10.7109375" style="157" customWidth="1"/>
    <col min="9482" max="9482" width="15.5703125" style="157" customWidth="1"/>
    <col min="9483" max="9483" width="10.7109375" style="157" customWidth="1"/>
    <col min="9484" max="9484" width="11.7109375" style="157" customWidth="1"/>
    <col min="9485" max="9485" width="10.7109375" style="157" customWidth="1"/>
    <col min="9486" max="9486" width="11.7109375" style="157" customWidth="1"/>
    <col min="9487" max="9489" width="10.7109375" style="157" customWidth="1"/>
    <col min="9490" max="9492" width="11.42578125" style="157"/>
    <col min="9493" max="9493" width="12.5703125" style="157" bestFit="1" customWidth="1"/>
    <col min="9494" max="9728" width="11.42578125" style="157"/>
    <col min="9729" max="9729" width="21.140625" style="157" customWidth="1"/>
    <col min="9730" max="9734" width="15.5703125" style="157" customWidth="1"/>
    <col min="9735" max="9737" width="10.7109375" style="157" customWidth="1"/>
    <col min="9738" max="9738" width="15.5703125" style="157" customWidth="1"/>
    <col min="9739" max="9739" width="10.7109375" style="157" customWidth="1"/>
    <col min="9740" max="9740" width="11.7109375" style="157" customWidth="1"/>
    <col min="9741" max="9741" width="10.7109375" style="157" customWidth="1"/>
    <col min="9742" max="9742" width="11.7109375" style="157" customWidth="1"/>
    <col min="9743" max="9745" width="10.7109375" style="157" customWidth="1"/>
    <col min="9746" max="9748" width="11.42578125" style="157"/>
    <col min="9749" max="9749" width="12.5703125" style="157" bestFit="1" customWidth="1"/>
    <col min="9750" max="9984" width="11.42578125" style="157"/>
    <col min="9985" max="9985" width="21.140625" style="157" customWidth="1"/>
    <col min="9986" max="9990" width="15.5703125" style="157" customWidth="1"/>
    <col min="9991" max="9993" width="10.7109375" style="157" customWidth="1"/>
    <col min="9994" max="9994" width="15.5703125" style="157" customWidth="1"/>
    <col min="9995" max="9995" width="10.7109375" style="157" customWidth="1"/>
    <col min="9996" max="9996" width="11.7109375" style="157" customWidth="1"/>
    <col min="9997" max="9997" width="10.7109375" style="157" customWidth="1"/>
    <col min="9998" max="9998" width="11.7109375" style="157" customWidth="1"/>
    <col min="9999" max="10001" width="10.7109375" style="157" customWidth="1"/>
    <col min="10002" max="10004" width="11.42578125" style="157"/>
    <col min="10005" max="10005" width="12.5703125" style="157" bestFit="1" customWidth="1"/>
    <col min="10006" max="10240" width="11.42578125" style="157"/>
    <col min="10241" max="10241" width="21.140625" style="157" customWidth="1"/>
    <col min="10242" max="10246" width="15.5703125" style="157" customWidth="1"/>
    <col min="10247" max="10249" width="10.7109375" style="157" customWidth="1"/>
    <col min="10250" max="10250" width="15.5703125" style="157" customWidth="1"/>
    <col min="10251" max="10251" width="10.7109375" style="157" customWidth="1"/>
    <col min="10252" max="10252" width="11.7109375" style="157" customWidth="1"/>
    <col min="10253" max="10253" width="10.7109375" style="157" customWidth="1"/>
    <col min="10254" max="10254" width="11.7109375" style="157" customWidth="1"/>
    <col min="10255" max="10257" width="10.7109375" style="157" customWidth="1"/>
    <col min="10258" max="10260" width="11.42578125" style="157"/>
    <col min="10261" max="10261" width="12.5703125" style="157" bestFit="1" customWidth="1"/>
    <col min="10262" max="10496" width="11.42578125" style="157"/>
    <col min="10497" max="10497" width="21.140625" style="157" customWidth="1"/>
    <col min="10498" max="10502" width="15.5703125" style="157" customWidth="1"/>
    <col min="10503" max="10505" width="10.7109375" style="157" customWidth="1"/>
    <col min="10506" max="10506" width="15.5703125" style="157" customWidth="1"/>
    <col min="10507" max="10507" width="10.7109375" style="157" customWidth="1"/>
    <col min="10508" max="10508" width="11.7109375" style="157" customWidth="1"/>
    <col min="10509" max="10509" width="10.7109375" style="157" customWidth="1"/>
    <col min="10510" max="10510" width="11.7109375" style="157" customWidth="1"/>
    <col min="10511" max="10513" width="10.7109375" style="157" customWidth="1"/>
    <col min="10514" max="10516" width="11.42578125" style="157"/>
    <col min="10517" max="10517" width="12.5703125" style="157" bestFit="1" customWidth="1"/>
    <col min="10518" max="10752" width="11.42578125" style="157"/>
    <col min="10753" max="10753" width="21.140625" style="157" customWidth="1"/>
    <col min="10754" max="10758" width="15.5703125" style="157" customWidth="1"/>
    <col min="10759" max="10761" width="10.7109375" style="157" customWidth="1"/>
    <col min="10762" max="10762" width="15.5703125" style="157" customWidth="1"/>
    <col min="10763" max="10763" width="10.7109375" style="157" customWidth="1"/>
    <col min="10764" max="10764" width="11.7109375" style="157" customWidth="1"/>
    <col min="10765" max="10765" width="10.7109375" style="157" customWidth="1"/>
    <col min="10766" max="10766" width="11.7109375" style="157" customWidth="1"/>
    <col min="10767" max="10769" width="10.7109375" style="157" customWidth="1"/>
    <col min="10770" max="10772" width="11.42578125" style="157"/>
    <col min="10773" max="10773" width="12.5703125" style="157" bestFit="1" customWidth="1"/>
    <col min="10774" max="11008" width="11.42578125" style="157"/>
    <col min="11009" max="11009" width="21.140625" style="157" customWidth="1"/>
    <col min="11010" max="11014" width="15.5703125" style="157" customWidth="1"/>
    <col min="11015" max="11017" width="10.7109375" style="157" customWidth="1"/>
    <col min="11018" max="11018" width="15.5703125" style="157" customWidth="1"/>
    <col min="11019" max="11019" width="10.7109375" style="157" customWidth="1"/>
    <col min="11020" max="11020" width="11.7109375" style="157" customWidth="1"/>
    <col min="11021" max="11021" width="10.7109375" style="157" customWidth="1"/>
    <col min="11022" max="11022" width="11.7109375" style="157" customWidth="1"/>
    <col min="11023" max="11025" width="10.7109375" style="157" customWidth="1"/>
    <col min="11026" max="11028" width="11.42578125" style="157"/>
    <col min="11029" max="11029" width="12.5703125" style="157" bestFit="1" customWidth="1"/>
    <col min="11030" max="11264" width="11.42578125" style="157"/>
    <col min="11265" max="11265" width="21.140625" style="157" customWidth="1"/>
    <col min="11266" max="11270" width="15.5703125" style="157" customWidth="1"/>
    <col min="11271" max="11273" width="10.7109375" style="157" customWidth="1"/>
    <col min="11274" max="11274" width="15.5703125" style="157" customWidth="1"/>
    <col min="11275" max="11275" width="10.7109375" style="157" customWidth="1"/>
    <col min="11276" max="11276" width="11.7109375" style="157" customWidth="1"/>
    <col min="11277" max="11277" width="10.7109375" style="157" customWidth="1"/>
    <col min="11278" max="11278" width="11.7109375" style="157" customWidth="1"/>
    <col min="11279" max="11281" width="10.7109375" style="157" customWidth="1"/>
    <col min="11282" max="11284" width="11.42578125" style="157"/>
    <col min="11285" max="11285" width="12.5703125" style="157" bestFit="1" customWidth="1"/>
    <col min="11286" max="11520" width="11.42578125" style="157"/>
    <col min="11521" max="11521" width="21.140625" style="157" customWidth="1"/>
    <col min="11522" max="11526" width="15.5703125" style="157" customWidth="1"/>
    <col min="11527" max="11529" width="10.7109375" style="157" customWidth="1"/>
    <col min="11530" max="11530" width="15.5703125" style="157" customWidth="1"/>
    <col min="11531" max="11531" width="10.7109375" style="157" customWidth="1"/>
    <col min="11532" max="11532" width="11.7109375" style="157" customWidth="1"/>
    <col min="11533" max="11533" width="10.7109375" style="157" customWidth="1"/>
    <col min="11534" max="11534" width="11.7109375" style="157" customWidth="1"/>
    <col min="11535" max="11537" width="10.7109375" style="157" customWidth="1"/>
    <col min="11538" max="11540" width="11.42578125" style="157"/>
    <col min="11541" max="11541" width="12.5703125" style="157" bestFit="1" customWidth="1"/>
    <col min="11542" max="11776" width="11.42578125" style="157"/>
    <col min="11777" max="11777" width="21.140625" style="157" customWidth="1"/>
    <col min="11778" max="11782" width="15.5703125" style="157" customWidth="1"/>
    <col min="11783" max="11785" width="10.7109375" style="157" customWidth="1"/>
    <col min="11786" max="11786" width="15.5703125" style="157" customWidth="1"/>
    <col min="11787" max="11787" width="10.7109375" style="157" customWidth="1"/>
    <col min="11788" max="11788" width="11.7109375" style="157" customWidth="1"/>
    <col min="11789" max="11789" width="10.7109375" style="157" customWidth="1"/>
    <col min="11790" max="11790" width="11.7109375" style="157" customWidth="1"/>
    <col min="11791" max="11793" width="10.7109375" style="157" customWidth="1"/>
    <col min="11794" max="11796" width="11.42578125" style="157"/>
    <col min="11797" max="11797" width="12.5703125" style="157" bestFit="1" customWidth="1"/>
    <col min="11798" max="12032" width="11.42578125" style="157"/>
    <col min="12033" max="12033" width="21.140625" style="157" customWidth="1"/>
    <col min="12034" max="12038" width="15.5703125" style="157" customWidth="1"/>
    <col min="12039" max="12041" width="10.7109375" style="157" customWidth="1"/>
    <col min="12042" max="12042" width="15.5703125" style="157" customWidth="1"/>
    <col min="12043" max="12043" width="10.7109375" style="157" customWidth="1"/>
    <col min="12044" max="12044" width="11.7109375" style="157" customWidth="1"/>
    <col min="12045" max="12045" width="10.7109375" style="157" customWidth="1"/>
    <col min="12046" max="12046" width="11.7109375" style="157" customWidth="1"/>
    <col min="12047" max="12049" width="10.7109375" style="157" customWidth="1"/>
    <col min="12050" max="12052" width="11.42578125" style="157"/>
    <col min="12053" max="12053" width="12.5703125" style="157" bestFit="1" customWidth="1"/>
    <col min="12054" max="12288" width="11.42578125" style="157"/>
    <col min="12289" max="12289" width="21.140625" style="157" customWidth="1"/>
    <col min="12290" max="12294" width="15.5703125" style="157" customWidth="1"/>
    <col min="12295" max="12297" width="10.7109375" style="157" customWidth="1"/>
    <col min="12298" max="12298" width="15.5703125" style="157" customWidth="1"/>
    <col min="12299" max="12299" width="10.7109375" style="157" customWidth="1"/>
    <col min="12300" max="12300" width="11.7109375" style="157" customWidth="1"/>
    <col min="12301" max="12301" width="10.7109375" style="157" customWidth="1"/>
    <col min="12302" max="12302" width="11.7109375" style="157" customWidth="1"/>
    <col min="12303" max="12305" width="10.7109375" style="157" customWidth="1"/>
    <col min="12306" max="12308" width="11.42578125" style="157"/>
    <col min="12309" max="12309" width="12.5703125" style="157" bestFit="1" customWidth="1"/>
    <col min="12310" max="12544" width="11.42578125" style="157"/>
    <col min="12545" max="12545" width="21.140625" style="157" customWidth="1"/>
    <col min="12546" max="12550" width="15.5703125" style="157" customWidth="1"/>
    <col min="12551" max="12553" width="10.7109375" style="157" customWidth="1"/>
    <col min="12554" max="12554" width="15.5703125" style="157" customWidth="1"/>
    <col min="12555" max="12555" width="10.7109375" style="157" customWidth="1"/>
    <col min="12556" max="12556" width="11.7109375" style="157" customWidth="1"/>
    <col min="12557" max="12557" width="10.7109375" style="157" customWidth="1"/>
    <col min="12558" max="12558" width="11.7109375" style="157" customWidth="1"/>
    <col min="12559" max="12561" width="10.7109375" style="157" customWidth="1"/>
    <col min="12562" max="12564" width="11.42578125" style="157"/>
    <col min="12565" max="12565" width="12.5703125" style="157" bestFit="1" customWidth="1"/>
    <col min="12566" max="12800" width="11.42578125" style="157"/>
    <col min="12801" max="12801" width="21.140625" style="157" customWidth="1"/>
    <col min="12802" max="12806" width="15.5703125" style="157" customWidth="1"/>
    <col min="12807" max="12809" width="10.7109375" style="157" customWidth="1"/>
    <col min="12810" max="12810" width="15.5703125" style="157" customWidth="1"/>
    <col min="12811" max="12811" width="10.7109375" style="157" customWidth="1"/>
    <col min="12812" max="12812" width="11.7109375" style="157" customWidth="1"/>
    <col min="12813" max="12813" width="10.7109375" style="157" customWidth="1"/>
    <col min="12814" max="12814" width="11.7109375" style="157" customWidth="1"/>
    <col min="12815" max="12817" width="10.7109375" style="157" customWidth="1"/>
    <col min="12818" max="12820" width="11.42578125" style="157"/>
    <col min="12821" max="12821" width="12.5703125" style="157" bestFit="1" customWidth="1"/>
    <col min="12822" max="13056" width="11.42578125" style="157"/>
    <col min="13057" max="13057" width="21.140625" style="157" customWidth="1"/>
    <col min="13058" max="13062" width="15.5703125" style="157" customWidth="1"/>
    <col min="13063" max="13065" width="10.7109375" style="157" customWidth="1"/>
    <col min="13066" max="13066" width="15.5703125" style="157" customWidth="1"/>
    <col min="13067" max="13067" width="10.7109375" style="157" customWidth="1"/>
    <col min="13068" max="13068" width="11.7109375" style="157" customWidth="1"/>
    <col min="13069" max="13069" width="10.7109375" style="157" customWidth="1"/>
    <col min="13070" max="13070" width="11.7109375" style="157" customWidth="1"/>
    <col min="13071" max="13073" width="10.7109375" style="157" customWidth="1"/>
    <col min="13074" max="13076" width="11.42578125" style="157"/>
    <col min="13077" max="13077" width="12.5703125" style="157" bestFit="1" customWidth="1"/>
    <col min="13078" max="13312" width="11.42578125" style="157"/>
    <col min="13313" max="13313" width="21.140625" style="157" customWidth="1"/>
    <col min="13314" max="13318" width="15.5703125" style="157" customWidth="1"/>
    <col min="13319" max="13321" width="10.7109375" style="157" customWidth="1"/>
    <col min="13322" max="13322" width="15.5703125" style="157" customWidth="1"/>
    <col min="13323" max="13323" width="10.7109375" style="157" customWidth="1"/>
    <col min="13324" max="13324" width="11.7109375" style="157" customWidth="1"/>
    <col min="13325" max="13325" width="10.7109375" style="157" customWidth="1"/>
    <col min="13326" max="13326" width="11.7109375" style="157" customWidth="1"/>
    <col min="13327" max="13329" width="10.7109375" style="157" customWidth="1"/>
    <col min="13330" max="13332" width="11.42578125" style="157"/>
    <col min="13333" max="13333" width="12.5703125" style="157" bestFit="1" customWidth="1"/>
    <col min="13334" max="13568" width="11.42578125" style="157"/>
    <col min="13569" max="13569" width="21.140625" style="157" customWidth="1"/>
    <col min="13570" max="13574" width="15.5703125" style="157" customWidth="1"/>
    <col min="13575" max="13577" width="10.7109375" style="157" customWidth="1"/>
    <col min="13578" max="13578" width="15.5703125" style="157" customWidth="1"/>
    <col min="13579" max="13579" width="10.7109375" style="157" customWidth="1"/>
    <col min="13580" max="13580" width="11.7109375" style="157" customWidth="1"/>
    <col min="13581" max="13581" width="10.7109375" style="157" customWidth="1"/>
    <col min="13582" max="13582" width="11.7109375" style="157" customWidth="1"/>
    <col min="13583" max="13585" width="10.7109375" style="157" customWidth="1"/>
    <col min="13586" max="13588" width="11.42578125" style="157"/>
    <col min="13589" max="13589" width="12.5703125" style="157" bestFit="1" customWidth="1"/>
    <col min="13590" max="13824" width="11.42578125" style="157"/>
    <col min="13825" max="13825" width="21.140625" style="157" customWidth="1"/>
    <col min="13826" max="13830" width="15.5703125" style="157" customWidth="1"/>
    <col min="13831" max="13833" width="10.7109375" style="157" customWidth="1"/>
    <col min="13834" max="13834" width="15.5703125" style="157" customWidth="1"/>
    <col min="13835" max="13835" width="10.7109375" style="157" customWidth="1"/>
    <col min="13836" max="13836" width="11.7109375" style="157" customWidth="1"/>
    <col min="13837" max="13837" width="10.7109375" style="157" customWidth="1"/>
    <col min="13838" max="13838" width="11.7109375" style="157" customWidth="1"/>
    <col min="13839" max="13841" width="10.7109375" style="157" customWidth="1"/>
    <col min="13842" max="13844" width="11.42578125" style="157"/>
    <col min="13845" max="13845" width="12.5703125" style="157" bestFit="1" customWidth="1"/>
    <col min="13846" max="14080" width="11.42578125" style="157"/>
    <col min="14081" max="14081" width="21.140625" style="157" customWidth="1"/>
    <col min="14082" max="14086" width="15.5703125" style="157" customWidth="1"/>
    <col min="14087" max="14089" width="10.7109375" style="157" customWidth="1"/>
    <col min="14090" max="14090" width="15.5703125" style="157" customWidth="1"/>
    <col min="14091" max="14091" width="10.7109375" style="157" customWidth="1"/>
    <col min="14092" max="14092" width="11.7109375" style="157" customWidth="1"/>
    <col min="14093" max="14093" width="10.7109375" style="157" customWidth="1"/>
    <col min="14094" max="14094" width="11.7109375" style="157" customWidth="1"/>
    <col min="14095" max="14097" width="10.7109375" style="157" customWidth="1"/>
    <col min="14098" max="14100" width="11.42578125" style="157"/>
    <col min="14101" max="14101" width="12.5703125" style="157" bestFit="1" customWidth="1"/>
    <col min="14102" max="14336" width="11.42578125" style="157"/>
    <col min="14337" max="14337" width="21.140625" style="157" customWidth="1"/>
    <col min="14338" max="14342" width="15.5703125" style="157" customWidth="1"/>
    <col min="14343" max="14345" width="10.7109375" style="157" customWidth="1"/>
    <col min="14346" max="14346" width="15.5703125" style="157" customWidth="1"/>
    <col min="14347" max="14347" width="10.7109375" style="157" customWidth="1"/>
    <col min="14348" max="14348" width="11.7109375" style="157" customWidth="1"/>
    <col min="14349" max="14349" width="10.7109375" style="157" customWidth="1"/>
    <col min="14350" max="14350" width="11.7109375" style="157" customWidth="1"/>
    <col min="14351" max="14353" width="10.7109375" style="157" customWidth="1"/>
    <col min="14354" max="14356" width="11.42578125" style="157"/>
    <col min="14357" max="14357" width="12.5703125" style="157" bestFit="1" customWidth="1"/>
    <col min="14358" max="14592" width="11.42578125" style="157"/>
    <col min="14593" max="14593" width="21.140625" style="157" customWidth="1"/>
    <col min="14594" max="14598" width="15.5703125" style="157" customWidth="1"/>
    <col min="14599" max="14601" width="10.7109375" style="157" customWidth="1"/>
    <col min="14602" max="14602" width="15.5703125" style="157" customWidth="1"/>
    <col min="14603" max="14603" width="10.7109375" style="157" customWidth="1"/>
    <col min="14604" max="14604" width="11.7109375" style="157" customWidth="1"/>
    <col min="14605" max="14605" width="10.7109375" style="157" customWidth="1"/>
    <col min="14606" max="14606" width="11.7109375" style="157" customWidth="1"/>
    <col min="14607" max="14609" width="10.7109375" style="157" customWidth="1"/>
    <col min="14610" max="14612" width="11.42578125" style="157"/>
    <col min="14613" max="14613" width="12.5703125" style="157" bestFit="1" customWidth="1"/>
    <col min="14614" max="14848" width="11.42578125" style="157"/>
    <col min="14849" max="14849" width="21.140625" style="157" customWidth="1"/>
    <col min="14850" max="14854" width="15.5703125" style="157" customWidth="1"/>
    <col min="14855" max="14857" width="10.7109375" style="157" customWidth="1"/>
    <col min="14858" max="14858" width="15.5703125" style="157" customWidth="1"/>
    <col min="14859" max="14859" width="10.7109375" style="157" customWidth="1"/>
    <col min="14860" max="14860" width="11.7109375" style="157" customWidth="1"/>
    <col min="14861" max="14861" width="10.7109375" style="157" customWidth="1"/>
    <col min="14862" max="14862" width="11.7109375" style="157" customWidth="1"/>
    <col min="14863" max="14865" width="10.7109375" style="157" customWidth="1"/>
    <col min="14866" max="14868" width="11.42578125" style="157"/>
    <col min="14869" max="14869" width="12.5703125" style="157" bestFit="1" customWidth="1"/>
    <col min="14870" max="15104" width="11.42578125" style="157"/>
    <col min="15105" max="15105" width="21.140625" style="157" customWidth="1"/>
    <col min="15106" max="15110" width="15.5703125" style="157" customWidth="1"/>
    <col min="15111" max="15113" width="10.7109375" style="157" customWidth="1"/>
    <col min="15114" max="15114" width="15.5703125" style="157" customWidth="1"/>
    <col min="15115" max="15115" width="10.7109375" style="157" customWidth="1"/>
    <col min="15116" max="15116" width="11.7109375" style="157" customWidth="1"/>
    <col min="15117" max="15117" width="10.7109375" style="157" customWidth="1"/>
    <col min="15118" max="15118" width="11.7109375" style="157" customWidth="1"/>
    <col min="15119" max="15121" width="10.7109375" style="157" customWidth="1"/>
    <col min="15122" max="15124" width="11.42578125" style="157"/>
    <col min="15125" max="15125" width="12.5703125" style="157" bestFit="1" customWidth="1"/>
    <col min="15126" max="15360" width="11.42578125" style="157"/>
    <col min="15361" max="15361" width="21.140625" style="157" customWidth="1"/>
    <col min="15362" max="15366" width="15.5703125" style="157" customWidth="1"/>
    <col min="15367" max="15369" width="10.7109375" style="157" customWidth="1"/>
    <col min="15370" max="15370" width="15.5703125" style="157" customWidth="1"/>
    <col min="15371" max="15371" width="10.7109375" style="157" customWidth="1"/>
    <col min="15372" max="15372" width="11.7109375" style="157" customWidth="1"/>
    <col min="15373" max="15373" width="10.7109375" style="157" customWidth="1"/>
    <col min="15374" max="15374" width="11.7109375" style="157" customWidth="1"/>
    <col min="15375" max="15377" width="10.7109375" style="157" customWidth="1"/>
    <col min="15378" max="15380" width="11.42578125" style="157"/>
    <col min="15381" max="15381" width="12.5703125" style="157" bestFit="1" customWidth="1"/>
    <col min="15382" max="15616" width="11.42578125" style="157"/>
    <col min="15617" max="15617" width="21.140625" style="157" customWidth="1"/>
    <col min="15618" max="15622" width="15.5703125" style="157" customWidth="1"/>
    <col min="15623" max="15625" width="10.7109375" style="157" customWidth="1"/>
    <col min="15626" max="15626" width="15.5703125" style="157" customWidth="1"/>
    <col min="15627" max="15627" width="10.7109375" style="157" customWidth="1"/>
    <col min="15628" max="15628" width="11.7109375" style="157" customWidth="1"/>
    <col min="15629" max="15629" width="10.7109375" style="157" customWidth="1"/>
    <col min="15630" max="15630" width="11.7109375" style="157" customWidth="1"/>
    <col min="15631" max="15633" width="10.7109375" style="157" customWidth="1"/>
    <col min="15634" max="15636" width="11.42578125" style="157"/>
    <col min="15637" max="15637" width="12.5703125" style="157" bestFit="1" customWidth="1"/>
    <col min="15638" max="15872" width="11.42578125" style="157"/>
    <col min="15873" max="15873" width="21.140625" style="157" customWidth="1"/>
    <col min="15874" max="15878" width="15.5703125" style="157" customWidth="1"/>
    <col min="15879" max="15881" width="10.7109375" style="157" customWidth="1"/>
    <col min="15882" max="15882" width="15.5703125" style="157" customWidth="1"/>
    <col min="15883" max="15883" width="10.7109375" style="157" customWidth="1"/>
    <col min="15884" max="15884" width="11.7109375" style="157" customWidth="1"/>
    <col min="15885" max="15885" width="10.7109375" style="157" customWidth="1"/>
    <col min="15886" max="15886" width="11.7109375" style="157" customWidth="1"/>
    <col min="15887" max="15889" width="10.7109375" style="157" customWidth="1"/>
    <col min="15890" max="15892" width="11.42578125" style="157"/>
    <col min="15893" max="15893" width="12.5703125" style="157" bestFit="1" customWidth="1"/>
    <col min="15894" max="16128" width="11.42578125" style="157"/>
    <col min="16129" max="16129" width="21.140625" style="157" customWidth="1"/>
    <col min="16130" max="16134" width="15.5703125" style="157" customWidth="1"/>
    <col min="16135" max="16137" width="10.7109375" style="157" customWidth="1"/>
    <col min="16138" max="16138" width="15.5703125" style="157" customWidth="1"/>
    <col min="16139" max="16139" width="10.7109375" style="157" customWidth="1"/>
    <col min="16140" max="16140" width="11.7109375" style="157" customWidth="1"/>
    <col min="16141" max="16141" width="10.7109375" style="157" customWidth="1"/>
    <col min="16142" max="16142" width="11.7109375" style="157" customWidth="1"/>
    <col min="16143" max="16145" width="10.7109375" style="157" customWidth="1"/>
    <col min="16146" max="16148" width="11.42578125" style="157"/>
    <col min="16149" max="16149" width="12.5703125" style="157" bestFit="1" customWidth="1"/>
    <col min="16150" max="16384" width="11.42578125" style="157"/>
  </cols>
  <sheetData>
    <row r="1" spans="1:23" ht="15.75" x14ac:dyDescent="0.25">
      <c r="A1" s="1313"/>
      <c r="B1" s="1313"/>
      <c r="K1" s="1320"/>
      <c r="L1" s="1320"/>
      <c r="M1" s="1320"/>
      <c r="N1" s="1320"/>
    </row>
    <row r="2" spans="1:23" ht="15.75" x14ac:dyDescent="0.25">
      <c r="A2" s="1314" t="s">
        <v>313</v>
      </c>
      <c r="B2" s="1331"/>
      <c r="C2" s="161"/>
      <c r="D2" s="161"/>
      <c r="E2" s="161"/>
      <c r="F2" s="161"/>
      <c r="I2" s="262"/>
      <c r="J2" s="262"/>
      <c r="K2" s="201"/>
      <c r="L2" s="201"/>
      <c r="M2" s="201"/>
      <c r="N2" s="201"/>
      <c r="O2" s="201"/>
      <c r="P2" s="262"/>
      <c r="Q2" s="262"/>
      <c r="R2" s="262"/>
      <c r="S2" s="262"/>
      <c r="T2" s="262"/>
      <c r="U2" s="262"/>
      <c r="V2" s="262"/>
      <c r="W2" s="262"/>
    </row>
    <row r="3" spans="1:23" ht="15" x14ac:dyDescent="0.25">
      <c r="A3" s="1316"/>
      <c r="B3" s="1316"/>
      <c r="C3" s="1316"/>
      <c r="D3" s="1316"/>
      <c r="E3" s="1316"/>
      <c r="F3" s="1316"/>
      <c r="I3" s="201"/>
      <c r="J3" s="262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1252"/>
      <c r="W3" s="202"/>
    </row>
    <row r="4" spans="1:23" ht="13.5" thickBot="1" x14ac:dyDescent="0.25">
      <c r="I4" s="201"/>
      <c r="J4" s="262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1252"/>
      <c r="W4" s="202"/>
    </row>
    <row r="5" spans="1:23" ht="16.5" customHeight="1" thickBot="1" x14ac:dyDescent="0.3">
      <c r="A5" s="1253"/>
      <c r="B5" s="1410" t="s">
        <v>311</v>
      </c>
      <c r="C5" s="1411"/>
      <c r="D5" s="1411"/>
      <c r="E5" s="1411"/>
      <c r="F5" s="1412"/>
      <c r="P5" s="201"/>
      <c r="Q5" s="201"/>
      <c r="R5" s="201"/>
      <c r="S5" s="201"/>
      <c r="T5" s="201"/>
      <c r="U5" s="201"/>
      <c r="V5" s="1252"/>
      <c r="W5" s="202"/>
    </row>
    <row r="6" spans="1:23" ht="12.75" customHeight="1" x14ac:dyDescent="0.2">
      <c r="A6" s="1255" t="s">
        <v>132</v>
      </c>
      <c r="B6" s="1416" t="s">
        <v>302</v>
      </c>
      <c r="C6" s="1418" t="s">
        <v>303</v>
      </c>
      <c r="D6" s="1418" t="s">
        <v>304</v>
      </c>
      <c r="E6" s="1420" t="s">
        <v>305</v>
      </c>
      <c r="F6" s="1422" t="s">
        <v>312</v>
      </c>
      <c r="G6" s="216"/>
      <c r="P6" s="201"/>
      <c r="Q6" s="201"/>
      <c r="R6" s="201"/>
      <c r="S6" s="201"/>
      <c r="T6" s="201"/>
      <c r="U6" s="201"/>
      <c r="V6" s="1252"/>
      <c r="W6" s="202"/>
    </row>
    <row r="7" spans="1:23" ht="15.75" customHeight="1" thickBot="1" x14ac:dyDescent="0.25">
      <c r="A7" s="1257"/>
      <c r="B7" s="1417"/>
      <c r="C7" s="1419"/>
      <c r="D7" s="1419"/>
      <c r="E7" s="1421"/>
      <c r="F7" s="1423"/>
      <c r="G7" s="216"/>
      <c r="P7" s="201"/>
      <c r="Q7" s="201"/>
      <c r="R7" s="201"/>
      <c r="S7" s="201"/>
      <c r="T7" s="201"/>
      <c r="U7" s="201"/>
      <c r="V7" s="1252"/>
      <c r="W7" s="202"/>
    </row>
    <row r="8" spans="1:23" ht="15" x14ac:dyDescent="0.25">
      <c r="A8" s="1259"/>
      <c r="B8" s="1260"/>
      <c r="C8" s="1261"/>
      <c r="D8" s="1261"/>
      <c r="E8" s="1261"/>
      <c r="F8" s="1262"/>
      <c r="G8" s="216"/>
      <c r="K8"/>
      <c r="L8"/>
      <c r="M8"/>
      <c r="N8"/>
      <c r="O8"/>
      <c r="P8"/>
      <c r="Q8"/>
      <c r="R8"/>
    </row>
    <row r="9" spans="1:23" ht="15" x14ac:dyDescent="0.25">
      <c r="A9" s="1265">
        <v>1995</v>
      </c>
      <c r="B9" s="1266">
        <v>5.7782302810253094</v>
      </c>
      <c r="C9" s="1267">
        <v>8.9302367672784584</v>
      </c>
      <c r="D9" s="1267">
        <v>11.283446398970833</v>
      </c>
      <c r="E9" s="1267">
        <v>8.4803805094420035</v>
      </c>
      <c r="F9" s="1268">
        <v>8.3932836249791052</v>
      </c>
      <c r="G9" s="1332"/>
      <c r="K9"/>
      <c r="L9"/>
      <c r="M9"/>
      <c r="N9"/>
      <c r="O9"/>
      <c r="P9"/>
      <c r="Q9"/>
      <c r="R9"/>
    </row>
    <row r="10" spans="1:23" ht="15" x14ac:dyDescent="0.25">
      <c r="A10" s="1259">
        <v>1996</v>
      </c>
      <c r="B10" s="1260">
        <v>6.0030181909749079</v>
      </c>
      <c r="C10" s="1261">
        <v>9.0694904684164612</v>
      </c>
      <c r="D10" s="1261">
        <v>11.700802658519068</v>
      </c>
      <c r="E10" s="1261">
        <v>10.015867859658382</v>
      </c>
      <c r="F10" s="1262">
        <v>8.6476466902058142</v>
      </c>
      <c r="G10" s="216"/>
      <c r="K10"/>
      <c r="L10"/>
      <c r="M10"/>
      <c r="N10"/>
      <c r="O10"/>
      <c r="P10"/>
      <c r="Q10"/>
      <c r="R10"/>
    </row>
    <row r="11" spans="1:23" ht="15" x14ac:dyDescent="0.25">
      <c r="A11" s="1265">
        <v>1997</v>
      </c>
      <c r="B11" s="1266">
        <v>5.8684121848887303</v>
      </c>
      <c r="C11" s="1267">
        <v>8.9205556778745976</v>
      </c>
      <c r="D11" s="1267">
        <v>11.582177535507025</v>
      </c>
      <c r="E11" s="1267">
        <v>9.6052586075462489</v>
      </c>
      <c r="F11" s="1268">
        <v>8.1882472400080566</v>
      </c>
      <c r="G11" s="216"/>
      <c r="K11"/>
      <c r="L11"/>
      <c r="M11"/>
      <c r="N11"/>
      <c r="O11"/>
      <c r="P11"/>
      <c r="Q11"/>
      <c r="R11"/>
    </row>
    <row r="12" spans="1:23" ht="15" x14ac:dyDescent="0.25">
      <c r="A12" s="1259">
        <v>1998</v>
      </c>
      <c r="B12" s="1260">
        <v>5.4203479173923501</v>
      </c>
      <c r="C12" s="1261">
        <v>7.4315449474932489</v>
      </c>
      <c r="D12" s="1261">
        <v>9.9684339944200495</v>
      </c>
      <c r="E12" s="1261">
        <v>8.3800249198594479</v>
      </c>
      <c r="F12" s="1262">
        <v>7.0538222851775645</v>
      </c>
      <c r="G12" s="216"/>
      <c r="K12"/>
      <c r="L12"/>
      <c r="M12"/>
      <c r="N12"/>
      <c r="O12"/>
      <c r="P12"/>
      <c r="Q12"/>
      <c r="R12"/>
    </row>
    <row r="13" spans="1:23" ht="15" x14ac:dyDescent="0.25">
      <c r="A13" s="1265">
        <v>1999</v>
      </c>
      <c r="B13" s="1266">
        <v>5.3406034884593927</v>
      </c>
      <c r="C13" s="1267">
        <v>7.0256874835606498</v>
      </c>
      <c r="D13" s="1267">
        <v>9.4944349046683083</v>
      </c>
      <c r="E13" s="1267">
        <v>8.132461037046669</v>
      </c>
      <c r="F13" s="1268">
        <v>6.7980137491809174</v>
      </c>
      <c r="G13" s="216"/>
      <c r="K13"/>
      <c r="L13"/>
      <c r="M13"/>
      <c r="N13"/>
      <c r="O13"/>
      <c r="P13"/>
      <c r="Q13"/>
      <c r="R13"/>
    </row>
    <row r="14" spans="1:23" ht="15" x14ac:dyDescent="0.25">
      <c r="A14" s="1259">
        <v>2000</v>
      </c>
      <c r="B14" s="1260">
        <v>5.6232403935526856</v>
      </c>
      <c r="C14" s="1261">
        <v>7.3207428422098104</v>
      </c>
      <c r="D14" s="1261">
        <v>10.077877207303533</v>
      </c>
      <c r="E14" s="1261">
        <v>8.9205908881321658</v>
      </c>
      <c r="F14" s="1262">
        <v>7.160031104190919</v>
      </c>
      <c r="G14" s="216"/>
      <c r="K14"/>
      <c r="L14"/>
      <c r="M14"/>
      <c r="N14"/>
      <c r="O14"/>
      <c r="P14"/>
      <c r="Q14"/>
      <c r="R14"/>
    </row>
    <row r="15" spans="1:23" ht="15" x14ac:dyDescent="0.25">
      <c r="A15" s="1265">
        <v>2001</v>
      </c>
      <c r="B15" s="1266">
        <v>5.1706818557398941</v>
      </c>
      <c r="C15" s="1267">
        <v>7.3332801640044396</v>
      </c>
      <c r="D15" s="1267">
        <v>10.040241931531753</v>
      </c>
      <c r="E15" s="1267">
        <v>9.3918509603971447</v>
      </c>
      <c r="F15" s="1268">
        <v>6.8517369115141831</v>
      </c>
      <c r="G15" s="216"/>
      <c r="K15"/>
      <c r="L15"/>
      <c r="M15"/>
      <c r="N15"/>
      <c r="O15"/>
      <c r="P15"/>
      <c r="Q15"/>
      <c r="R15"/>
    </row>
    <row r="16" spans="1:23" ht="15" x14ac:dyDescent="0.25">
      <c r="A16" s="1259">
        <v>2002</v>
      </c>
      <c r="B16" s="1260">
        <v>5.1015716422276212</v>
      </c>
      <c r="C16" s="1261">
        <v>7.4281104644374469</v>
      </c>
      <c r="D16" s="1261">
        <v>8.9766906984860597</v>
      </c>
      <c r="E16" s="1261">
        <v>7.9240644839032566</v>
      </c>
      <c r="F16" s="1262">
        <v>6.572256424100436</v>
      </c>
      <c r="G16" s="216"/>
      <c r="K16"/>
      <c r="L16"/>
      <c r="M16"/>
      <c r="N16"/>
      <c r="O16"/>
      <c r="P16"/>
      <c r="Q16"/>
      <c r="R16"/>
    </row>
    <row r="17" spans="1:18" ht="15" x14ac:dyDescent="0.25">
      <c r="A17" s="1265">
        <v>2003</v>
      </c>
      <c r="B17" s="1266">
        <v>5.0458110286969831</v>
      </c>
      <c r="C17" s="1267">
        <v>7.1353528490967735</v>
      </c>
      <c r="D17" s="1267">
        <v>9.6710123586537318</v>
      </c>
      <c r="E17" s="1267">
        <v>7.7695003248875425</v>
      </c>
      <c r="F17" s="1268">
        <v>6.6241520344619476</v>
      </c>
      <c r="G17" s="216"/>
      <c r="K17"/>
      <c r="L17"/>
      <c r="M17"/>
      <c r="N17"/>
      <c r="O17"/>
      <c r="P17"/>
      <c r="Q17"/>
      <c r="R17"/>
    </row>
    <row r="18" spans="1:18" ht="15" x14ac:dyDescent="0.25">
      <c r="A18" s="1259">
        <v>2004</v>
      </c>
      <c r="B18" s="1260">
        <v>5.3805626846567849</v>
      </c>
      <c r="C18" s="1261">
        <v>7.7661883737661785</v>
      </c>
      <c r="D18" s="1261">
        <v>9.9578542547562368</v>
      </c>
      <c r="E18" s="1261">
        <v>9.6732809065578866</v>
      </c>
      <c r="F18" s="1262">
        <v>7.0379541088956685</v>
      </c>
      <c r="G18" s="216"/>
      <c r="K18"/>
      <c r="L18"/>
      <c r="M18"/>
      <c r="N18"/>
      <c r="O18"/>
      <c r="P18"/>
      <c r="Q18"/>
      <c r="R18"/>
    </row>
    <row r="19" spans="1:18" ht="15" x14ac:dyDescent="0.25">
      <c r="A19" s="1272">
        <v>2005</v>
      </c>
      <c r="B19" s="1266">
        <v>5.7710451565357364</v>
      </c>
      <c r="C19" s="1267">
        <v>8.4694383881362061</v>
      </c>
      <c r="D19" s="1267">
        <v>10.83636761874177</v>
      </c>
      <c r="E19" s="1267">
        <v>10.285576031650301</v>
      </c>
      <c r="F19" s="1268">
        <v>7.6285206656659241</v>
      </c>
      <c r="G19" s="216"/>
      <c r="K19"/>
      <c r="L19"/>
      <c r="M19"/>
      <c r="N19"/>
      <c r="O19"/>
      <c r="P19"/>
      <c r="Q19"/>
      <c r="R19"/>
    </row>
    <row r="20" spans="1:18" ht="15" x14ac:dyDescent="0.25">
      <c r="A20" s="1271">
        <v>2006</v>
      </c>
      <c r="B20" s="1260">
        <v>5.7321248337003379</v>
      </c>
      <c r="C20" s="1261">
        <v>8.1955962043482309</v>
      </c>
      <c r="D20" s="1261">
        <v>10.756475285056688</v>
      </c>
      <c r="E20" s="1261">
        <v>10.825611995897283</v>
      </c>
      <c r="F20" s="1262">
        <v>7.5512081046012343</v>
      </c>
      <c r="G20" s="216"/>
      <c r="K20"/>
      <c r="L20"/>
      <c r="M20"/>
      <c r="N20"/>
      <c r="O20"/>
      <c r="P20"/>
      <c r="Q20"/>
      <c r="R20"/>
    </row>
    <row r="21" spans="1:18" ht="15" x14ac:dyDescent="0.25">
      <c r="A21" s="1272">
        <v>2007</v>
      </c>
      <c r="B21" s="1266">
        <v>5.5975724267146312</v>
      </c>
      <c r="C21" s="1267">
        <v>8.2568829585447201</v>
      </c>
      <c r="D21" s="1267">
        <v>10.68990130553876</v>
      </c>
      <c r="E21" s="1267">
        <v>10.292187443523428</v>
      </c>
      <c r="F21" s="1268">
        <v>7.4049441102825782</v>
      </c>
      <c r="G21" s="216"/>
      <c r="K21"/>
      <c r="L21"/>
      <c r="M21"/>
      <c r="N21"/>
      <c r="O21"/>
      <c r="P21"/>
      <c r="Q21"/>
      <c r="R21"/>
    </row>
    <row r="22" spans="1:18" ht="15" x14ac:dyDescent="0.25">
      <c r="A22" s="1271">
        <v>2008</v>
      </c>
      <c r="B22" s="1260">
        <v>6.6581265067235282</v>
      </c>
      <c r="C22" s="1261">
        <v>8.8890837350718002</v>
      </c>
      <c r="D22" s="1261">
        <v>11.273478337353472</v>
      </c>
      <c r="E22" s="1261">
        <v>10.670788413669451</v>
      </c>
      <c r="F22" s="1262">
        <v>8.2186096245238325</v>
      </c>
      <c r="G22" s="216"/>
      <c r="K22"/>
      <c r="L22"/>
      <c r="M22"/>
      <c r="N22"/>
      <c r="O22"/>
      <c r="P22"/>
      <c r="Q22"/>
      <c r="R22"/>
    </row>
    <row r="23" spans="1:18" ht="15" x14ac:dyDescent="0.25">
      <c r="A23" s="1272">
        <v>2009</v>
      </c>
      <c r="B23" s="1266">
        <v>6.0908442865023833</v>
      </c>
      <c r="C23" s="1267">
        <v>9.4401478562870338</v>
      </c>
      <c r="D23" s="1267">
        <v>11.926617410595755</v>
      </c>
      <c r="E23" s="1267">
        <v>11.525785044073674</v>
      </c>
      <c r="F23" s="1268">
        <v>8.2550953480745317</v>
      </c>
      <c r="G23" s="216"/>
      <c r="K23"/>
      <c r="L23"/>
      <c r="M23"/>
      <c r="N23"/>
      <c r="O23"/>
      <c r="P23"/>
      <c r="Q23"/>
      <c r="R23"/>
    </row>
    <row r="24" spans="1:18" ht="15" x14ac:dyDescent="0.25">
      <c r="A24" s="1271">
        <v>2010</v>
      </c>
      <c r="B24" s="1260">
        <v>5.9118425557976728</v>
      </c>
      <c r="C24" s="1261">
        <v>10.110599528616511</v>
      </c>
      <c r="D24" s="1261">
        <v>12.206216169236948</v>
      </c>
      <c r="E24" s="1261">
        <v>12.072008153137142</v>
      </c>
      <c r="F24" s="1262">
        <v>8.3181154409106988</v>
      </c>
      <c r="G24" s="1332"/>
      <c r="H24" s="202"/>
      <c r="K24"/>
      <c r="L24"/>
      <c r="M24"/>
      <c r="N24"/>
      <c r="O24"/>
      <c r="P24"/>
      <c r="Q24"/>
      <c r="R24"/>
    </row>
    <row r="25" spans="1:18" ht="15" x14ac:dyDescent="0.25">
      <c r="A25" s="1272">
        <v>2011</v>
      </c>
      <c r="B25" s="1266">
        <v>6.7069368359999997</v>
      </c>
      <c r="C25" s="1267">
        <v>10.2108472</v>
      </c>
      <c r="D25" s="1267">
        <v>13.043042</v>
      </c>
      <c r="E25" s="1267">
        <v>12.7852389</v>
      </c>
      <c r="F25" s="1268">
        <v>8.9891895000000002</v>
      </c>
      <c r="G25" s="1332"/>
      <c r="H25" s="202"/>
      <c r="K25"/>
      <c r="L25"/>
      <c r="M25"/>
      <c r="N25"/>
      <c r="O25"/>
      <c r="P25"/>
      <c r="Q25"/>
      <c r="R25"/>
    </row>
    <row r="26" spans="1:18" ht="15" x14ac:dyDescent="0.25">
      <c r="A26" s="1271">
        <v>2012</v>
      </c>
      <c r="B26" s="1260">
        <v>7.3816059640000002</v>
      </c>
      <c r="C26" s="1261">
        <v>10.983012199999999</v>
      </c>
      <c r="D26" s="1261">
        <v>14.1041095</v>
      </c>
      <c r="E26" s="1261">
        <v>13.9780652</v>
      </c>
      <c r="F26" s="1262">
        <v>9.8047636399999991</v>
      </c>
      <c r="G26" s="1332"/>
      <c r="H26" s="202"/>
      <c r="K26"/>
      <c r="L26"/>
      <c r="M26"/>
      <c r="N26"/>
      <c r="O26"/>
      <c r="P26"/>
      <c r="Q26"/>
      <c r="R26"/>
    </row>
    <row r="27" spans="1:18" ht="15" x14ac:dyDescent="0.25">
      <c r="A27" s="1279">
        <v>2013</v>
      </c>
      <c r="B27" s="1266">
        <v>7.5023070970000001</v>
      </c>
      <c r="C27" s="1267">
        <v>10.907997099999999</v>
      </c>
      <c r="D27" s="1267">
        <v>14.170105599999999</v>
      </c>
      <c r="E27" s="1267">
        <v>13.259696699999999</v>
      </c>
      <c r="F27" s="1268">
        <v>9.9305281900000004</v>
      </c>
      <c r="G27" s="1332"/>
      <c r="H27" s="202"/>
      <c r="K27"/>
      <c r="L27"/>
      <c r="M27"/>
      <c r="N27"/>
      <c r="O27"/>
      <c r="P27"/>
      <c r="Q27"/>
      <c r="R27"/>
    </row>
    <row r="28" spans="1:18" ht="15" x14ac:dyDescent="0.25">
      <c r="A28" s="1271">
        <v>2014</v>
      </c>
      <c r="B28" s="1260">
        <v>8.0312491311083765</v>
      </c>
      <c r="C28" s="1261">
        <v>12.301411987957612</v>
      </c>
      <c r="D28" s="1261">
        <v>15.78132862713845</v>
      </c>
      <c r="E28" s="1261">
        <v>13.303554800411794</v>
      </c>
      <c r="F28" s="1262">
        <v>10.783782050828687</v>
      </c>
      <c r="G28" s="1332"/>
      <c r="H28" s="202"/>
      <c r="I28" s="1333"/>
      <c r="K28"/>
      <c r="L28"/>
      <c r="M28"/>
      <c r="N28"/>
      <c r="O28"/>
      <c r="P28"/>
      <c r="Q28"/>
      <c r="R28"/>
    </row>
    <row r="29" spans="1:18" ht="15" x14ac:dyDescent="0.25">
      <c r="A29" s="1279" t="s">
        <v>136</v>
      </c>
      <c r="B29" s="1266">
        <v>8.0721731138752499</v>
      </c>
      <c r="C29" s="1267">
        <v>12.2745410987957</v>
      </c>
      <c r="D29" s="1267">
        <v>15.4785316271384</v>
      </c>
      <c r="E29" s="1267">
        <v>13.281554800411801</v>
      </c>
      <c r="F29" s="1268">
        <v>10.9</v>
      </c>
      <c r="G29" s="1332"/>
      <c r="K29"/>
      <c r="L29"/>
      <c r="M29"/>
      <c r="N29"/>
      <c r="O29"/>
      <c r="P29"/>
      <c r="Q29"/>
      <c r="R29"/>
    </row>
    <row r="30" spans="1:18" ht="18.75" customHeight="1" thickBot="1" x14ac:dyDescent="0.3">
      <c r="A30" s="1282"/>
      <c r="B30" s="1324"/>
      <c r="C30" s="1325"/>
      <c r="D30" s="1325"/>
      <c r="E30" s="1325"/>
      <c r="F30" s="1326"/>
      <c r="G30" s="1332"/>
      <c r="K30"/>
      <c r="L30"/>
      <c r="M30"/>
      <c r="N30"/>
      <c r="O30"/>
      <c r="P30"/>
      <c r="Q30"/>
      <c r="R30"/>
    </row>
    <row r="31" spans="1:18" ht="18.75" customHeight="1" x14ac:dyDescent="0.25">
      <c r="A31" s="1334" t="s">
        <v>137</v>
      </c>
      <c r="B31" s="1335">
        <f>(B29/B28)-1</f>
        <v>5.0955937362666681E-3</v>
      </c>
      <c r="C31" s="1335">
        <f>(C29/C28)-1</f>
        <v>-2.184374378178533E-3</v>
      </c>
      <c r="D31" s="1335">
        <f>(D29/D28)-1</f>
        <v>-1.9187041037808661E-2</v>
      </c>
      <c r="E31" s="1335">
        <f>(E29/E28)-1</f>
        <v>-1.6536933421217315E-3</v>
      </c>
      <c r="F31" s="1336">
        <f>(F29/F28)-1</f>
        <v>1.0777104787868197E-2</v>
      </c>
      <c r="G31" s="216"/>
      <c r="K31"/>
      <c r="L31"/>
      <c r="M31"/>
      <c r="N31"/>
      <c r="O31"/>
      <c r="P31"/>
      <c r="Q31"/>
      <c r="R31"/>
    </row>
    <row r="32" spans="1:18" ht="18.75" customHeight="1" x14ac:dyDescent="0.25">
      <c r="A32" s="859" t="s">
        <v>138</v>
      </c>
      <c r="B32" s="1294">
        <f>((B29/B24)^(1/5))-1</f>
        <v>6.427416905362171E-2</v>
      </c>
      <c r="C32" s="1294">
        <f>((C29/C24)^(1/5))-1</f>
        <v>3.9550690279913647E-2</v>
      </c>
      <c r="D32" s="1294">
        <f>((D29/D24)^(1/5))-1</f>
        <v>4.864801810980901E-2</v>
      </c>
      <c r="E32" s="1294">
        <f>((E29/E24)^(1/5))-1</f>
        <v>1.9280884785024988E-2</v>
      </c>
      <c r="F32" s="1297">
        <f>((F29/F24)^(1/5))-1</f>
        <v>5.5553647791278804E-2</v>
      </c>
      <c r="G32" s="216"/>
      <c r="K32"/>
      <c r="L32"/>
      <c r="M32"/>
      <c r="N32"/>
      <c r="O32"/>
      <c r="P32"/>
      <c r="Q32"/>
      <c r="R32"/>
    </row>
    <row r="33" spans="1:18" ht="18.75" customHeight="1" x14ac:dyDescent="0.25">
      <c r="A33" s="1337" t="s">
        <v>144</v>
      </c>
      <c r="B33" s="1299">
        <f>(B29/B19)-1</f>
        <v>0.39873677902753468</v>
      </c>
      <c r="C33" s="1299">
        <f>(C29/C19)-1</f>
        <v>0.44927450159972748</v>
      </c>
      <c r="D33" s="1299">
        <f>(D29/D19)-1</f>
        <v>0.42838746079155632</v>
      </c>
      <c r="E33" s="1299">
        <f>(E29/E19)-1</f>
        <v>0.2912796288260775</v>
      </c>
      <c r="F33" s="1302">
        <f>(F29/F19)-1</f>
        <v>0.42884845931639037</v>
      </c>
      <c r="G33" s="216"/>
      <c r="K33"/>
      <c r="L33"/>
      <c r="M33"/>
      <c r="N33"/>
      <c r="O33"/>
      <c r="P33"/>
      <c r="Q33"/>
      <c r="R33"/>
    </row>
    <row r="34" spans="1:18" ht="17.25" customHeight="1" thickBot="1" x14ac:dyDescent="0.3">
      <c r="A34" s="1338" t="s">
        <v>140</v>
      </c>
      <c r="B34" s="1305">
        <f>((B29/B19)^(1/10))-1</f>
        <v>3.412633850258584E-2</v>
      </c>
      <c r="C34" s="1305">
        <f>((C29/C19)^(1/10))-1</f>
        <v>3.7803342549489694E-2</v>
      </c>
      <c r="D34" s="1305">
        <f>((D29/D19)^(1/10))-1</f>
        <v>3.6297863785812012E-2</v>
      </c>
      <c r="E34" s="1305">
        <f>((E29/E19)^(1/10))-1</f>
        <v>2.5892913714713472E-2</v>
      </c>
      <c r="F34" s="1308">
        <f>((F29/F19)^(1/10))-1</f>
        <v>3.6331304461486358E-2</v>
      </c>
      <c r="G34" s="216"/>
      <c r="I34" s="1333"/>
      <c r="K34"/>
      <c r="L34"/>
      <c r="M34"/>
      <c r="N34"/>
      <c r="O34"/>
      <c r="P34"/>
      <c r="Q34"/>
      <c r="R34"/>
    </row>
    <row r="35" spans="1:18" ht="15" x14ac:dyDescent="0.25">
      <c r="A35" s="319" t="s">
        <v>320</v>
      </c>
      <c r="B35" s="162"/>
      <c r="C35" s="162"/>
      <c r="D35" s="162"/>
      <c r="E35" s="162"/>
      <c r="F35" s="162"/>
      <c r="G35" s="216"/>
      <c r="K35"/>
      <c r="L35"/>
      <c r="M35"/>
      <c r="N35"/>
      <c r="O35"/>
      <c r="P35"/>
      <c r="Q35"/>
      <c r="R35"/>
    </row>
    <row r="36" spans="1:18" ht="15.75" x14ac:dyDescent="0.25">
      <c r="A36" s="319" t="s">
        <v>314</v>
      </c>
      <c r="B36" s="202"/>
      <c r="C36" s="202"/>
      <c r="D36" s="202"/>
      <c r="E36" s="1313"/>
      <c r="F36" s="1329"/>
      <c r="G36" s="216"/>
    </row>
    <row r="37" spans="1:18" ht="15.75" x14ac:dyDescent="0.25">
      <c r="B37" s="202"/>
      <c r="C37" s="202"/>
      <c r="D37" s="202"/>
      <c r="E37" s="1313"/>
      <c r="F37" s="1329"/>
      <c r="G37" s="216"/>
    </row>
    <row r="38" spans="1:18" ht="15.75" x14ac:dyDescent="0.25">
      <c r="A38" s="349"/>
      <c r="B38" s="202"/>
      <c r="C38" s="202"/>
      <c r="D38" s="202"/>
      <c r="E38" s="1313"/>
      <c r="F38" s="1329"/>
      <c r="G38" s="216"/>
    </row>
    <row r="39" spans="1:18" x14ac:dyDescent="0.2">
      <c r="G39" s="1330"/>
    </row>
    <row r="59" spans="2:2" ht="23.25" x14ac:dyDescent="0.35">
      <c r="B59" s="1424"/>
    </row>
  </sheetData>
  <mergeCells count="6">
    <mergeCell ref="B5:F5"/>
    <mergeCell ref="B6:B7"/>
    <mergeCell ref="C6:C7"/>
    <mergeCell ref="D6:D7"/>
    <mergeCell ref="E6:E7"/>
    <mergeCell ref="F6:F7"/>
  </mergeCells>
  <printOptions horizontalCentered="1"/>
  <pageMargins left="0.31496062992125984" right="3.937007874015748E-2" top="0.35433070866141736" bottom="0.19685039370078741" header="0" footer="0"/>
  <pageSetup paperSize="9" scale="8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85"/>
  <sheetViews>
    <sheetView view="pageBreakPreview" zoomScale="40" zoomScaleNormal="75" zoomScaleSheetLayoutView="40" workbookViewId="0">
      <selection activeCell="C25" sqref="C25"/>
    </sheetView>
  </sheetViews>
  <sheetFormatPr baseColWidth="10" defaultRowHeight="12.75" x14ac:dyDescent="0.2"/>
  <cols>
    <col min="1" max="1" width="4" style="4" customWidth="1"/>
    <col min="2" max="2" width="22" style="4" customWidth="1"/>
    <col min="3" max="3" width="18.28515625" style="4" customWidth="1"/>
    <col min="4" max="9" width="11.42578125" style="4"/>
    <col min="10" max="10" width="12" style="4" bestFit="1" customWidth="1"/>
    <col min="11" max="11" width="13.85546875" style="4" bestFit="1" customWidth="1"/>
    <col min="12" max="12" width="15" style="4" customWidth="1"/>
    <col min="13" max="256" width="11.42578125" style="4"/>
    <col min="257" max="257" width="4" style="4" customWidth="1"/>
    <col min="258" max="258" width="22" style="4" customWidth="1"/>
    <col min="259" max="259" width="18.28515625" style="4" customWidth="1"/>
    <col min="260" max="265" width="11.42578125" style="4"/>
    <col min="266" max="266" width="12" style="4" bestFit="1" customWidth="1"/>
    <col min="267" max="267" width="13.85546875" style="4" bestFit="1" customWidth="1"/>
    <col min="268" max="268" width="15" style="4" customWidth="1"/>
    <col min="269" max="512" width="11.42578125" style="4"/>
    <col min="513" max="513" width="4" style="4" customWidth="1"/>
    <col min="514" max="514" width="22" style="4" customWidth="1"/>
    <col min="515" max="515" width="18.28515625" style="4" customWidth="1"/>
    <col min="516" max="521" width="11.42578125" style="4"/>
    <col min="522" max="522" width="12" style="4" bestFit="1" customWidth="1"/>
    <col min="523" max="523" width="13.85546875" style="4" bestFit="1" customWidth="1"/>
    <col min="524" max="524" width="15" style="4" customWidth="1"/>
    <col min="525" max="768" width="11.42578125" style="4"/>
    <col min="769" max="769" width="4" style="4" customWidth="1"/>
    <col min="770" max="770" width="22" style="4" customWidth="1"/>
    <col min="771" max="771" width="18.28515625" style="4" customWidth="1"/>
    <col min="772" max="777" width="11.42578125" style="4"/>
    <col min="778" max="778" width="12" style="4" bestFit="1" customWidth="1"/>
    <col min="779" max="779" width="13.85546875" style="4" bestFit="1" customWidth="1"/>
    <col min="780" max="780" width="15" style="4" customWidth="1"/>
    <col min="781" max="1024" width="11.42578125" style="4"/>
    <col min="1025" max="1025" width="4" style="4" customWidth="1"/>
    <col min="1026" max="1026" width="22" style="4" customWidth="1"/>
    <col min="1027" max="1027" width="18.28515625" style="4" customWidth="1"/>
    <col min="1028" max="1033" width="11.42578125" style="4"/>
    <col min="1034" max="1034" width="12" style="4" bestFit="1" customWidth="1"/>
    <col min="1035" max="1035" width="13.85546875" style="4" bestFit="1" customWidth="1"/>
    <col min="1036" max="1036" width="15" style="4" customWidth="1"/>
    <col min="1037" max="1280" width="11.42578125" style="4"/>
    <col min="1281" max="1281" width="4" style="4" customWidth="1"/>
    <col min="1282" max="1282" width="22" style="4" customWidth="1"/>
    <col min="1283" max="1283" width="18.28515625" style="4" customWidth="1"/>
    <col min="1284" max="1289" width="11.42578125" style="4"/>
    <col min="1290" max="1290" width="12" style="4" bestFit="1" customWidth="1"/>
    <col min="1291" max="1291" width="13.85546875" style="4" bestFit="1" customWidth="1"/>
    <col min="1292" max="1292" width="15" style="4" customWidth="1"/>
    <col min="1293" max="1536" width="11.42578125" style="4"/>
    <col min="1537" max="1537" width="4" style="4" customWidth="1"/>
    <col min="1538" max="1538" width="22" style="4" customWidth="1"/>
    <col min="1539" max="1539" width="18.28515625" style="4" customWidth="1"/>
    <col min="1540" max="1545" width="11.42578125" style="4"/>
    <col min="1546" max="1546" width="12" style="4" bestFit="1" customWidth="1"/>
    <col min="1547" max="1547" width="13.85546875" style="4" bestFit="1" customWidth="1"/>
    <col min="1548" max="1548" width="15" style="4" customWidth="1"/>
    <col min="1549" max="1792" width="11.42578125" style="4"/>
    <col min="1793" max="1793" width="4" style="4" customWidth="1"/>
    <col min="1794" max="1794" width="22" style="4" customWidth="1"/>
    <col min="1795" max="1795" width="18.28515625" style="4" customWidth="1"/>
    <col min="1796" max="1801" width="11.42578125" style="4"/>
    <col min="1802" max="1802" width="12" style="4" bestFit="1" customWidth="1"/>
    <col min="1803" max="1803" width="13.85546875" style="4" bestFit="1" customWidth="1"/>
    <col min="1804" max="1804" width="15" style="4" customWidth="1"/>
    <col min="1805" max="2048" width="11.42578125" style="4"/>
    <col min="2049" max="2049" width="4" style="4" customWidth="1"/>
    <col min="2050" max="2050" width="22" style="4" customWidth="1"/>
    <col min="2051" max="2051" width="18.28515625" style="4" customWidth="1"/>
    <col min="2052" max="2057" width="11.42578125" style="4"/>
    <col min="2058" max="2058" width="12" style="4" bestFit="1" customWidth="1"/>
    <col min="2059" max="2059" width="13.85546875" style="4" bestFit="1" customWidth="1"/>
    <col min="2060" max="2060" width="15" style="4" customWidth="1"/>
    <col min="2061" max="2304" width="11.42578125" style="4"/>
    <col min="2305" max="2305" width="4" style="4" customWidth="1"/>
    <col min="2306" max="2306" width="22" style="4" customWidth="1"/>
    <col min="2307" max="2307" width="18.28515625" style="4" customWidth="1"/>
    <col min="2308" max="2313" width="11.42578125" style="4"/>
    <col min="2314" max="2314" width="12" style="4" bestFit="1" customWidth="1"/>
    <col min="2315" max="2315" width="13.85546875" style="4" bestFit="1" customWidth="1"/>
    <col min="2316" max="2316" width="15" style="4" customWidth="1"/>
    <col min="2317" max="2560" width="11.42578125" style="4"/>
    <col min="2561" max="2561" width="4" style="4" customWidth="1"/>
    <col min="2562" max="2562" width="22" style="4" customWidth="1"/>
    <col min="2563" max="2563" width="18.28515625" style="4" customWidth="1"/>
    <col min="2564" max="2569" width="11.42578125" style="4"/>
    <col min="2570" max="2570" width="12" style="4" bestFit="1" customWidth="1"/>
    <col min="2571" max="2571" width="13.85546875" style="4" bestFit="1" customWidth="1"/>
    <col min="2572" max="2572" width="15" style="4" customWidth="1"/>
    <col min="2573" max="2816" width="11.42578125" style="4"/>
    <col min="2817" max="2817" width="4" style="4" customWidth="1"/>
    <col min="2818" max="2818" width="22" style="4" customWidth="1"/>
    <col min="2819" max="2819" width="18.28515625" style="4" customWidth="1"/>
    <col min="2820" max="2825" width="11.42578125" style="4"/>
    <col min="2826" max="2826" width="12" style="4" bestFit="1" customWidth="1"/>
    <col min="2827" max="2827" width="13.85546875" style="4" bestFit="1" customWidth="1"/>
    <col min="2828" max="2828" width="15" style="4" customWidth="1"/>
    <col min="2829" max="3072" width="11.42578125" style="4"/>
    <col min="3073" max="3073" width="4" style="4" customWidth="1"/>
    <col min="3074" max="3074" width="22" style="4" customWidth="1"/>
    <col min="3075" max="3075" width="18.28515625" style="4" customWidth="1"/>
    <col min="3076" max="3081" width="11.42578125" style="4"/>
    <col min="3082" max="3082" width="12" style="4" bestFit="1" customWidth="1"/>
    <col min="3083" max="3083" width="13.85546875" style="4" bestFit="1" customWidth="1"/>
    <col min="3084" max="3084" width="15" style="4" customWidth="1"/>
    <col min="3085" max="3328" width="11.42578125" style="4"/>
    <col min="3329" max="3329" width="4" style="4" customWidth="1"/>
    <col min="3330" max="3330" width="22" style="4" customWidth="1"/>
    <col min="3331" max="3331" width="18.28515625" style="4" customWidth="1"/>
    <col min="3332" max="3337" width="11.42578125" style="4"/>
    <col min="3338" max="3338" width="12" style="4" bestFit="1" customWidth="1"/>
    <col min="3339" max="3339" width="13.85546875" style="4" bestFit="1" customWidth="1"/>
    <col min="3340" max="3340" width="15" style="4" customWidth="1"/>
    <col min="3341" max="3584" width="11.42578125" style="4"/>
    <col min="3585" max="3585" width="4" style="4" customWidth="1"/>
    <col min="3586" max="3586" width="22" style="4" customWidth="1"/>
    <col min="3587" max="3587" width="18.28515625" style="4" customWidth="1"/>
    <col min="3588" max="3593" width="11.42578125" style="4"/>
    <col min="3594" max="3594" width="12" style="4" bestFit="1" customWidth="1"/>
    <col min="3595" max="3595" width="13.85546875" style="4" bestFit="1" customWidth="1"/>
    <col min="3596" max="3596" width="15" style="4" customWidth="1"/>
    <col min="3597" max="3840" width="11.42578125" style="4"/>
    <col min="3841" max="3841" width="4" style="4" customWidth="1"/>
    <col min="3842" max="3842" width="22" style="4" customWidth="1"/>
    <col min="3843" max="3843" width="18.28515625" style="4" customWidth="1"/>
    <col min="3844" max="3849" width="11.42578125" style="4"/>
    <col min="3850" max="3850" width="12" style="4" bestFit="1" customWidth="1"/>
    <col min="3851" max="3851" width="13.85546875" style="4" bestFit="1" customWidth="1"/>
    <col min="3852" max="3852" width="15" style="4" customWidth="1"/>
    <col min="3853" max="4096" width="11.42578125" style="4"/>
    <col min="4097" max="4097" width="4" style="4" customWidth="1"/>
    <col min="4098" max="4098" width="22" style="4" customWidth="1"/>
    <col min="4099" max="4099" width="18.28515625" style="4" customWidth="1"/>
    <col min="4100" max="4105" width="11.42578125" style="4"/>
    <col min="4106" max="4106" width="12" style="4" bestFit="1" customWidth="1"/>
    <col min="4107" max="4107" width="13.85546875" style="4" bestFit="1" customWidth="1"/>
    <col min="4108" max="4108" width="15" style="4" customWidth="1"/>
    <col min="4109" max="4352" width="11.42578125" style="4"/>
    <col min="4353" max="4353" width="4" style="4" customWidth="1"/>
    <col min="4354" max="4354" width="22" style="4" customWidth="1"/>
    <col min="4355" max="4355" width="18.28515625" style="4" customWidth="1"/>
    <col min="4356" max="4361" width="11.42578125" style="4"/>
    <col min="4362" max="4362" width="12" style="4" bestFit="1" customWidth="1"/>
    <col min="4363" max="4363" width="13.85546875" style="4" bestFit="1" customWidth="1"/>
    <col min="4364" max="4364" width="15" style="4" customWidth="1"/>
    <col min="4365" max="4608" width="11.42578125" style="4"/>
    <col min="4609" max="4609" width="4" style="4" customWidth="1"/>
    <col min="4610" max="4610" width="22" style="4" customWidth="1"/>
    <col min="4611" max="4611" width="18.28515625" style="4" customWidth="1"/>
    <col min="4612" max="4617" width="11.42578125" style="4"/>
    <col min="4618" max="4618" width="12" style="4" bestFit="1" customWidth="1"/>
    <col min="4619" max="4619" width="13.85546875" style="4" bestFit="1" customWidth="1"/>
    <col min="4620" max="4620" width="15" style="4" customWidth="1"/>
    <col min="4621" max="4864" width="11.42578125" style="4"/>
    <col min="4865" max="4865" width="4" style="4" customWidth="1"/>
    <col min="4866" max="4866" width="22" style="4" customWidth="1"/>
    <col min="4867" max="4867" width="18.28515625" style="4" customWidth="1"/>
    <col min="4868" max="4873" width="11.42578125" style="4"/>
    <col min="4874" max="4874" width="12" style="4" bestFit="1" customWidth="1"/>
    <col min="4875" max="4875" width="13.85546875" style="4" bestFit="1" customWidth="1"/>
    <col min="4876" max="4876" width="15" style="4" customWidth="1"/>
    <col min="4877" max="5120" width="11.42578125" style="4"/>
    <col min="5121" max="5121" width="4" style="4" customWidth="1"/>
    <col min="5122" max="5122" width="22" style="4" customWidth="1"/>
    <col min="5123" max="5123" width="18.28515625" style="4" customWidth="1"/>
    <col min="5124" max="5129" width="11.42578125" style="4"/>
    <col min="5130" max="5130" width="12" style="4" bestFit="1" customWidth="1"/>
    <col min="5131" max="5131" width="13.85546875" style="4" bestFit="1" customWidth="1"/>
    <col min="5132" max="5132" width="15" style="4" customWidth="1"/>
    <col min="5133" max="5376" width="11.42578125" style="4"/>
    <col min="5377" max="5377" width="4" style="4" customWidth="1"/>
    <col min="5378" max="5378" width="22" style="4" customWidth="1"/>
    <col min="5379" max="5379" width="18.28515625" style="4" customWidth="1"/>
    <col min="5380" max="5385" width="11.42578125" style="4"/>
    <col min="5386" max="5386" width="12" style="4" bestFit="1" customWidth="1"/>
    <col min="5387" max="5387" width="13.85546875" style="4" bestFit="1" customWidth="1"/>
    <col min="5388" max="5388" width="15" style="4" customWidth="1"/>
    <col min="5389" max="5632" width="11.42578125" style="4"/>
    <col min="5633" max="5633" width="4" style="4" customWidth="1"/>
    <col min="5634" max="5634" width="22" style="4" customWidth="1"/>
    <col min="5635" max="5635" width="18.28515625" style="4" customWidth="1"/>
    <col min="5636" max="5641" width="11.42578125" style="4"/>
    <col min="5642" max="5642" width="12" style="4" bestFit="1" customWidth="1"/>
    <col min="5643" max="5643" width="13.85546875" style="4" bestFit="1" customWidth="1"/>
    <col min="5644" max="5644" width="15" style="4" customWidth="1"/>
    <col min="5645" max="5888" width="11.42578125" style="4"/>
    <col min="5889" max="5889" width="4" style="4" customWidth="1"/>
    <col min="5890" max="5890" width="22" style="4" customWidth="1"/>
    <col min="5891" max="5891" width="18.28515625" style="4" customWidth="1"/>
    <col min="5892" max="5897" width="11.42578125" style="4"/>
    <col min="5898" max="5898" width="12" style="4" bestFit="1" customWidth="1"/>
    <col min="5899" max="5899" width="13.85546875" style="4" bestFit="1" customWidth="1"/>
    <col min="5900" max="5900" width="15" style="4" customWidth="1"/>
    <col min="5901" max="6144" width="11.42578125" style="4"/>
    <col min="6145" max="6145" width="4" style="4" customWidth="1"/>
    <col min="6146" max="6146" width="22" style="4" customWidth="1"/>
    <col min="6147" max="6147" width="18.28515625" style="4" customWidth="1"/>
    <col min="6148" max="6153" width="11.42578125" style="4"/>
    <col min="6154" max="6154" width="12" style="4" bestFit="1" customWidth="1"/>
    <col min="6155" max="6155" width="13.85546875" style="4" bestFit="1" customWidth="1"/>
    <col min="6156" max="6156" width="15" style="4" customWidth="1"/>
    <col min="6157" max="6400" width="11.42578125" style="4"/>
    <col min="6401" max="6401" width="4" style="4" customWidth="1"/>
    <col min="6402" max="6402" width="22" style="4" customWidth="1"/>
    <col min="6403" max="6403" width="18.28515625" style="4" customWidth="1"/>
    <col min="6404" max="6409" width="11.42578125" style="4"/>
    <col min="6410" max="6410" width="12" style="4" bestFit="1" customWidth="1"/>
    <col min="6411" max="6411" width="13.85546875" style="4" bestFit="1" customWidth="1"/>
    <col min="6412" max="6412" width="15" style="4" customWidth="1"/>
    <col min="6413" max="6656" width="11.42578125" style="4"/>
    <col min="6657" max="6657" width="4" style="4" customWidth="1"/>
    <col min="6658" max="6658" width="22" style="4" customWidth="1"/>
    <col min="6659" max="6659" width="18.28515625" style="4" customWidth="1"/>
    <col min="6660" max="6665" width="11.42578125" style="4"/>
    <col min="6666" max="6666" width="12" style="4" bestFit="1" customWidth="1"/>
    <col min="6667" max="6667" width="13.85546875" style="4" bestFit="1" customWidth="1"/>
    <col min="6668" max="6668" width="15" style="4" customWidth="1"/>
    <col min="6669" max="6912" width="11.42578125" style="4"/>
    <col min="6913" max="6913" width="4" style="4" customWidth="1"/>
    <col min="6914" max="6914" width="22" style="4" customWidth="1"/>
    <col min="6915" max="6915" width="18.28515625" style="4" customWidth="1"/>
    <col min="6916" max="6921" width="11.42578125" style="4"/>
    <col min="6922" max="6922" width="12" style="4" bestFit="1" customWidth="1"/>
    <col min="6923" max="6923" width="13.85546875" style="4" bestFit="1" customWidth="1"/>
    <col min="6924" max="6924" width="15" style="4" customWidth="1"/>
    <col min="6925" max="7168" width="11.42578125" style="4"/>
    <col min="7169" max="7169" width="4" style="4" customWidth="1"/>
    <col min="7170" max="7170" width="22" style="4" customWidth="1"/>
    <col min="7171" max="7171" width="18.28515625" style="4" customWidth="1"/>
    <col min="7172" max="7177" width="11.42578125" style="4"/>
    <col min="7178" max="7178" width="12" style="4" bestFit="1" customWidth="1"/>
    <col min="7179" max="7179" width="13.85546875" style="4" bestFit="1" customWidth="1"/>
    <col min="7180" max="7180" width="15" style="4" customWidth="1"/>
    <col min="7181" max="7424" width="11.42578125" style="4"/>
    <col min="7425" max="7425" width="4" style="4" customWidth="1"/>
    <col min="7426" max="7426" width="22" style="4" customWidth="1"/>
    <col min="7427" max="7427" width="18.28515625" style="4" customWidth="1"/>
    <col min="7428" max="7433" width="11.42578125" style="4"/>
    <col min="7434" max="7434" width="12" style="4" bestFit="1" customWidth="1"/>
    <col min="7435" max="7435" width="13.85546875" style="4" bestFit="1" customWidth="1"/>
    <col min="7436" max="7436" width="15" style="4" customWidth="1"/>
    <col min="7437" max="7680" width="11.42578125" style="4"/>
    <col min="7681" max="7681" width="4" style="4" customWidth="1"/>
    <col min="7682" max="7682" width="22" style="4" customWidth="1"/>
    <col min="7683" max="7683" width="18.28515625" style="4" customWidth="1"/>
    <col min="7684" max="7689" width="11.42578125" style="4"/>
    <col min="7690" max="7690" width="12" style="4" bestFit="1" customWidth="1"/>
    <col min="7691" max="7691" width="13.85546875" style="4" bestFit="1" customWidth="1"/>
    <col min="7692" max="7692" width="15" style="4" customWidth="1"/>
    <col min="7693" max="7936" width="11.42578125" style="4"/>
    <col min="7937" max="7937" width="4" style="4" customWidth="1"/>
    <col min="7938" max="7938" width="22" style="4" customWidth="1"/>
    <col min="7939" max="7939" width="18.28515625" style="4" customWidth="1"/>
    <col min="7940" max="7945" width="11.42578125" style="4"/>
    <col min="7946" max="7946" width="12" style="4" bestFit="1" customWidth="1"/>
    <col min="7947" max="7947" width="13.85546875" style="4" bestFit="1" customWidth="1"/>
    <col min="7948" max="7948" width="15" style="4" customWidth="1"/>
    <col min="7949" max="8192" width="11.42578125" style="4"/>
    <col min="8193" max="8193" width="4" style="4" customWidth="1"/>
    <col min="8194" max="8194" width="22" style="4" customWidth="1"/>
    <col min="8195" max="8195" width="18.28515625" style="4" customWidth="1"/>
    <col min="8196" max="8201" width="11.42578125" style="4"/>
    <col min="8202" max="8202" width="12" style="4" bestFit="1" customWidth="1"/>
    <col min="8203" max="8203" width="13.85546875" style="4" bestFit="1" customWidth="1"/>
    <col min="8204" max="8204" width="15" style="4" customWidth="1"/>
    <col min="8205" max="8448" width="11.42578125" style="4"/>
    <col min="8449" max="8449" width="4" style="4" customWidth="1"/>
    <col min="8450" max="8450" width="22" style="4" customWidth="1"/>
    <col min="8451" max="8451" width="18.28515625" style="4" customWidth="1"/>
    <col min="8452" max="8457" width="11.42578125" style="4"/>
    <col min="8458" max="8458" width="12" style="4" bestFit="1" customWidth="1"/>
    <col min="8459" max="8459" width="13.85546875" style="4" bestFit="1" customWidth="1"/>
    <col min="8460" max="8460" width="15" style="4" customWidth="1"/>
    <col min="8461" max="8704" width="11.42578125" style="4"/>
    <col min="8705" max="8705" width="4" style="4" customWidth="1"/>
    <col min="8706" max="8706" width="22" style="4" customWidth="1"/>
    <col min="8707" max="8707" width="18.28515625" style="4" customWidth="1"/>
    <col min="8708" max="8713" width="11.42578125" style="4"/>
    <col min="8714" max="8714" width="12" style="4" bestFit="1" customWidth="1"/>
    <col min="8715" max="8715" width="13.85546875" style="4" bestFit="1" customWidth="1"/>
    <col min="8716" max="8716" width="15" style="4" customWidth="1"/>
    <col min="8717" max="8960" width="11.42578125" style="4"/>
    <col min="8961" max="8961" width="4" style="4" customWidth="1"/>
    <col min="8962" max="8962" width="22" style="4" customWidth="1"/>
    <col min="8963" max="8963" width="18.28515625" style="4" customWidth="1"/>
    <col min="8964" max="8969" width="11.42578125" style="4"/>
    <col min="8970" max="8970" width="12" style="4" bestFit="1" customWidth="1"/>
    <col min="8971" max="8971" width="13.85546875" style="4" bestFit="1" customWidth="1"/>
    <col min="8972" max="8972" width="15" style="4" customWidth="1"/>
    <col min="8973" max="9216" width="11.42578125" style="4"/>
    <col min="9217" max="9217" width="4" style="4" customWidth="1"/>
    <col min="9218" max="9218" width="22" style="4" customWidth="1"/>
    <col min="9219" max="9219" width="18.28515625" style="4" customWidth="1"/>
    <col min="9220" max="9225" width="11.42578125" style="4"/>
    <col min="9226" max="9226" width="12" style="4" bestFit="1" customWidth="1"/>
    <col min="9227" max="9227" width="13.85546875" style="4" bestFit="1" customWidth="1"/>
    <col min="9228" max="9228" width="15" style="4" customWidth="1"/>
    <col min="9229" max="9472" width="11.42578125" style="4"/>
    <col min="9473" max="9473" width="4" style="4" customWidth="1"/>
    <col min="9474" max="9474" width="22" style="4" customWidth="1"/>
    <col min="9475" max="9475" width="18.28515625" style="4" customWidth="1"/>
    <col min="9476" max="9481" width="11.42578125" style="4"/>
    <col min="9482" max="9482" width="12" style="4" bestFit="1" customWidth="1"/>
    <col min="9483" max="9483" width="13.85546875" style="4" bestFit="1" customWidth="1"/>
    <col min="9484" max="9484" width="15" style="4" customWidth="1"/>
    <col min="9485" max="9728" width="11.42578125" style="4"/>
    <col min="9729" max="9729" width="4" style="4" customWidth="1"/>
    <col min="9730" max="9730" width="22" style="4" customWidth="1"/>
    <col min="9731" max="9731" width="18.28515625" style="4" customWidth="1"/>
    <col min="9732" max="9737" width="11.42578125" style="4"/>
    <col min="9738" max="9738" width="12" style="4" bestFit="1" customWidth="1"/>
    <col min="9739" max="9739" width="13.85546875" style="4" bestFit="1" customWidth="1"/>
    <col min="9740" max="9740" width="15" style="4" customWidth="1"/>
    <col min="9741" max="9984" width="11.42578125" style="4"/>
    <col min="9985" max="9985" width="4" style="4" customWidth="1"/>
    <col min="9986" max="9986" width="22" style="4" customWidth="1"/>
    <col min="9987" max="9987" width="18.28515625" style="4" customWidth="1"/>
    <col min="9988" max="9993" width="11.42578125" style="4"/>
    <col min="9994" max="9994" width="12" style="4" bestFit="1" customWidth="1"/>
    <col min="9995" max="9995" width="13.85546875" style="4" bestFit="1" customWidth="1"/>
    <col min="9996" max="9996" width="15" style="4" customWidth="1"/>
    <col min="9997" max="10240" width="11.42578125" style="4"/>
    <col min="10241" max="10241" width="4" style="4" customWidth="1"/>
    <col min="10242" max="10242" width="22" style="4" customWidth="1"/>
    <col min="10243" max="10243" width="18.28515625" style="4" customWidth="1"/>
    <col min="10244" max="10249" width="11.42578125" style="4"/>
    <col min="10250" max="10250" width="12" style="4" bestFit="1" customWidth="1"/>
    <col min="10251" max="10251" width="13.85546875" style="4" bestFit="1" customWidth="1"/>
    <col min="10252" max="10252" width="15" style="4" customWidth="1"/>
    <col min="10253" max="10496" width="11.42578125" style="4"/>
    <col min="10497" max="10497" width="4" style="4" customWidth="1"/>
    <col min="10498" max="10498" width="22" style="4" customWidth="1"/>
    <col min="10499" max="10499" width="18.28515625" style="4" customWidth="1"/>
    <col min="10500" max="10505" width="11.42578125" style="4"/>
    <col min="10506" max="10506" width="12" style="4" bestFit="1" customWidth="1"/>
    <col min="10507" max="10507" width="13.85546875" style="4" bestFit="1" customWidth="1"/>
    <col min="10508" max="10508" width="15" style="4" customWidth="1"/>
    <col min="10509" max="10752" width="11.42578125" style="4"/>
    <col min="10753" max="10753" width="4" style="4" customWidth="1"/>
    <col min="10754" max="10754" width="22" style="4" customWidth="1"/>
    <col min="10755" max="10755" width="18.28515625" style="4" customWidth="1"/>
    <col min="10756" max="10761" width="11.42578125" style="4"/>
    <col min="10762" max="10762" width="12" style="4" bestFit="1" customWidth="1"/>
    <col min="10763" max="10763" width="13.85546875" style="4" bestFit="1" customWidth="1"/>
    <col min="10764" max="10764" width="15" style="4" customWidth="1"/>
    <col min="10765" max="11008" width="11.42578125" style="4"/>
    <col min="11009" max="11009" width="4" style="4" customWidth="1"/>
    <col min="11010" max="11010" width="22" style="4" customWidth="1"/>
    <col min="11011" max="11011" width="18.28515625" style="4" customWidth="1"/>
    <col min="11012" max="11017" width="11.42578125" style="4"/>
    <col min="11018" max="11018" width="12" style="4" bestFit="1" customWidth="1"/>
    <col min="11019" max="11019" width="13.85546875" style="4" bestFit="1" customWidth="1"/>
    <col min="11020" max="11020" width="15" style="4" customWidth="1"/>
    <col min="11021" max="11264" width="11.42578125" style="4"/>
    <col min="11265" max="11265" width="4" style="4" customWidth="1"/>
    <col min="11266" max="11266" width="22" style="4" customWidth="1"/>
    <col min="11267" max="11267" width="18.28515625" style="4" customWidth="1"/>
    <col min="11268" max="11273" width="11.42578125" style="4"/>
    <col min="11274" max="11274" width="12" style="4" bestFit="1" customWidth="1"/>
    <col min="11275" max="11275" width="13.85546875" style="4" bestFit="1" customWidth="1"/>
    <col min="11276" max="11276" width="15" style="4" customWidth="1"/>
    <col min="11277" max="11520" width="11.42578125" style="4"/>
    <col min="11521" max="11521" width="4" style="4" customWidth="1"/>
    <col min="11522" max="11522" width="22" style="4" customWidth="1"/>
    <col min="11523" max="11523" width="18.28515625" style="4" customWidth="1"/>
    <col min="11524" max="11529" width="11.42578125" style="4"/>
    <col min="11530" max="11530" width="12" style="4" bestFit="1" customWidth="1"/>
    <col min="11531" max="11531" width="13.85546875" style="4" bestFit="1" customWidth="1"/>
    <col min="11532" max="11532" width="15" style="4" customWidth="1"/>
    <col min="11533" max="11776" width="11.42578125" style="4"/>
    <col min="11777" max="11777" width="4" style="4" customWidth="1"/>
    <col min="11778" max="11778" width="22" style="4" customWidth="1"/>
    <col min="11779" max="11779" width="18.28515625" style="4" customWidth="1"/>
    <col min="11780" max="11785" width="11.42578125" style="4"/>
    <col min="11786" max="11786" width="12" style="4" bestFit="1" customWidth="1"/>
    <col min="11787" max="11787" width="13.85546875" style="4" bestFit="1" customWidth="1"/>
    <col min="11788" max="11788" width="15" style="4" customWidth="1"/>
    <col min="11789" max="12032" width="11.42578125" style="4"/>
    <col min="12033" max="12033" width="4" style="4" customWidth="1"/>
    <col min="12034" max="12034" width="22" style="4" customWidth="1"/>
    <col min="12035" max="12035" width="18.28515625" style="4" customWidth="1"/>
    <col min="12036" max="12041" width="11.42578125" style="4"/>
    <col min="12042" max="12042" width="12" style="4" bestFit="1" customWidth="1"/>
    <col min="12043" max="12043" width="13.85546875" style="4" bestFit="1" customWidth="1"/>
    <col min="12044" max="12044" width="15" style="4" customWidth="1"/>
    <col min="12045" max="12288" width="11.42578125" style="4"/>
    <col min="12289" max="12289" width="4" style="4" customWidth="1"/>
    <col min="12290" max="12290" width="22" style="4" customWidth="1"/>
    <col min="12291" max="12291" width="18.28515625" style="4" customWidth="1"/>
    <col min="12292" max="12297" width="11.42578125" style="4"/>
    <col min="12298" max="12298" width="12" style="4" bestFit="1" customWidth="1"/>
    <col min="12299" max="12299" width="13.85546875" style="4" bestFit="1" customWidth="1"/>
    <col min="12300" max="12300" width="15" style="4" customWidth="1"/>
    <col min="12301" max="12544" width="11.42578125" style="4"/>
    <col min="12545" max="12545" width="4" style="4" customWidth="1"/>
    <col min="12546" max="12546" width="22" style="4" customWidth="1"/>
    <col min="12547" max="12547" width="18.28515625" style="4" customWidth="1"/>
    <col min="12548" max="12553" width="11.42578125" style="4"/>
    <col min="12554" max="12554" width="12" style="4" bestFit="1" customWidth="1"/>
    <col min="12555" max="12555" width="13.85546875" style="4" bestFit="1" customWidth="1"/>
    <col min="12556" max="12556" width="15" style="4" customWidth="1"/>
    <col min="12557" max="12800" width="11.42578125" style="4"/>
    <col min="12801" max="12801" width="4" style="4" customWidth="1"/>
    <col min="12802" max="12802" width="22" style="4" customWidth="1"/>
    <col min="12803" max="12803" width="18.28515625" style="4" customWidth="1"/>
    <col min="12804" max="12809" width="11.42578125" style="4"/>
    <col min="12810" max="12810" width="12" style="4" bestFit="1" customWidth="1"/>
    <col min="12811" max="12811" width="13.85546875" style="4" bestFit="1" customWidth="1"/>
    <col min="12812" max="12812" width="15" style="4" customWidth="1"/>
    <col min="12813" max="13056" width="11.42578125" style="4"/>
    <col min="13057" max="13057" width="4" style="4" customWidth="1"/>
    <col min="13058" max="13058" width="22" style="4" customWidth="1"/>
    <col min="13059" max="13059" width="18.28515625" style="4" customWidth="1"/>
    <col min="13060" max="13065" width="11.42578125" style="4"/>
    <col min="13066" max="13066" width="12" style="4" bestFit="1" customWidth="1"/>
    <col min="13067" max="13067" width="13.85546875" style="4" bestFit="1" customWidth="1"/>
    <col min="13068" max="13068" width="15" style="4" customWidth="1"/>
    <col min="13069" max="13312" width="11.42578125" style="4"/>
    <col min="13313" max="13313" width="4" style="4" customWidth="1"/>
    <col min="13314" max="13314" width="22" style="4" customWidth="1"/>
    <col min="13315" max="13315" width="18.28515625" style="4" customWidth="1"/>
    <col min="13316" max="13321" width="11.42578125" style="4"/>
    <col min="13322" max="13322" width="12" style="4" bestFit="1" customWidth="1"/>
    <col min="13323" max="13323" width="13.85546875" style="4" bestFit="1" customWidth="1"/>
    <col min="13324" max="13324" width="15" style="4" customWidth="1"/>
    <col min="13325" max="13568" width="11.42578125" style="4"/>
    <col min="13569" max="13569" width="4" style="4" customWidth="1"/>
    <col min="13570" max="13570" width="22" style="4" customWidth="1"/>
    <col min="13571" max="13571" width="18.28515625" style="4" customWidth="1"/>
    <col min="13572" max="13577" width="11.42578125" style="4"/>
    <col min="13578" max="13578" width="12" style="4" bestFit="1" customWidth="1"/>
    <col min="13579" max="13579" width="13.85546875" style="4" bestFit="1" customWidth="1"/>
    <col min="13580" max="13580" width="15" style="4" customWidth="1"/>
    <col min="13581" max="13824" width="11.42578125" style="4"/>
    <col min="13825" max="13825" width="4" style="4" customWidth="1"/>
    <col min="13826" max="13826" width="22" style="4" customWidth="1"/>
    <col min="13827" max="13827" width="18.28515625" style="4" customWidth="1"/>
    <col min="13828" max="13833" width="11.42578125" style="4"/>
    <col min="13834" max="13834" width="12" style="4" bestFit="1" customWidth="1"/>
    <col min="13835" max="13835" width="13.85546875" style="4" bestFit="1" customWidth="1"/>
    <col min="13836" max="13836" width="15" style="4" customWidth="1"/>
    <col min="13837" max="14080" width="11.42578125" style="4"/>
    <col min="14081" max="14081" width="4" style="4" customWidth="1"/>
    <col min="14082" max="14082" width="22" style="4" customWidth="1"/>
    <col min="14083" max="14083" width="18.28515625" style="4" customWidth="1"/>
    <col min="14084" max="14089" width="11.42578125" style="4"/>
    <col min="14090" max="14090" width="12" style="4" bestFit="1" customWidth="1"/>
    <col min="14091" max="14091" width="13.85546875" style="4" bestFit="1" customWidth="1"/>
    <col min="14092" max="14092" width="15" style="4" customWidth="1"/>
    <col min="14093" max="14336" width="11.42578125" style="4"/>
    <col min="14337" max="14337" width="4" style="4" customWidth="1"/>
    <col min="14338" max="14338" width="22" style="4" customWidth="1"/>
    <col min="14339" max="14339" width="18.28515625" style="4" customWidth="1"/>
    <col min="14340" max="14345" width="11.42578125" style="4"/>
    <col min="14346" max="14346" width="12" style="4" bestFit="1" customWidth="1"/>
    <col min="14347" max="14347" width="13.85546875" style="4" bestFit="1" customWidth="1"/>
    <col min="14348" max="14348" width="15" style="4" customWidth="1"/>
    <col min="14349" max="14592" width="11.42578125" style="4"/>
    <col min="14593" max="14593" width="4" style="4" customWidth="1"/>
    <col min="14594" max="14594" width="22" style="4" customWidth="1"/>
    <col min="14595" max="14595" width="18.28515625" style="4" customWidth="1"/>
    <col min="14596" max="14601" width="11.42578125" style="4"/>
    <col min="14602" max="14602" width="12" style="4" bestFit="1" customWidth="1"/>
    <col min="14603" max="14603" width="13.85546875" style="4" bestFit="1" customWidth="1"/>
    <col min="14604" max="14604" width="15" style="4" customWidth="1"/>
    <col min="14605" max="14848" width="11.42578125" style="4"/>
    <col min="14849" max="14849" width="4" style="4" customWidth="1"/>
    <col min="14850" max="14850" width="22" style="4" customWidth="1"/>
    <col min="14851" max="14851" width="18.28515625" style="4" customWidth="1"/>
    <col min="14852" max="14857" width="11.42578125" style="4"/>
    <col min="14858" max="14858" width="12" style="4" bestFit="1" customWidth="1"/>
    <col min="14859" max="14859" width="13.85546875" style="4" bestFit="1" customWidth="1"/>
    <col min="14860" max="14860" width="15" style="4" customWidth="1"/>
    <col min="14861" max="15104" width="11.42578125" style="4"/>
    <col min="15105" max="15105" width="4" style="4" customWidth="1"/>
    <col min="15106" max="15106" width="22" style="4" customWidth="1"/>
    <col min="15107" max="15107" width="18.28515625" style="4" customWidth="1"/>
    <col min="15108" max="15113" width="11.42578125" style="4"/>
    <col min="15114" max="15114" width="12" style="4" bestFit="1" customWidth="1"/>
    <col min="15115" max="15115" width="13.85546875" style="4" bestFit="1" customWidth="1"/>
    <col min="15116" max="15116" width="15" style="4" customWidth="1"/>
    <col min="15117" max="15360" width="11.42578125" style="4"/>
    <col min="15361" max="15361" width="4" style="4" customWidth="1"/>
    <col min="15362" max="15362" width="22" style="4" customWidth="1"/>
    <col min="15363" max="15363" width="18.28515625" style="4" customWidth="1"/>
    <col min="15364" max="15369" width="11.42578125" style="4"/>
    <col min="15370" max="15370" width="12" style="4" bestFit="1" customWidth="1"/>
    <col min="15371" max="15371" width="13.85546875" style="4" bestFit="1" customWidth="1"/>
    <col min="15372" max="15372" width="15" style="4" customWidth="1"/>
    <col min="15373" max="15616" width="11.42578125" style="4"/>
    <col min="15617" max="15617" width="4" style="4" customWidth="1"/>
    <col min="15618" max="15618" width="22" style="4" customWidth="1"/>
    <col min="15619" max="15619" width="18.28515625" style="4" customWidth="1"/>
    <col min="15620" max="15625" width="11.42578125" style="4"/>
    <col min="15626" max="15626" width="12" style="4" bestFit="1" customWidth="1"/>
    <col min="15627" max="15627" width="13.85546875" style="4" bestFit="1" customWidth="1"/>
    <col min="15628" max="15628" width="15" style="4" customWidth="1"/>
    <col min="15629" max="15872" width="11.42578125" style="4"/>
    <col min="15873" max="15873" width="4" style="4" customWidth="1"/>
    <col min="15874" max="15874" width="22" style="4" customWidth="1"/>
    <col min="15875" max="15875" width="18.28515625" style="4" customWidth="1"/>
    <col min="15876" max="15881" width="11.42578125" style="4"/>
    <col min="15882" max="15882" width="12" style="4" bestFit="1" customWidth="1"/>
    <col min="15883" max="15883" width="13.85546875" style="4" bestFit="1" customWidth="1"/>
    <col min="15884" max="15884" width="15" style="4" customWidth="1"/>
    <col min="15885" max="16128" width="11.42578125" style="4"/>
    <col min="16129" max="16129" width="4" style="4" customWidth="1"/>
    <col min="16130" max="16130" width="22" style="4" customWidth="1"/>
    <col min="16131" max="16131" width="18.28515625" style="4" customWidth="1"/>
    <col min="16132" max="16137" width="11.42578125" style="4"/>
    <col min="16138" max="16138" width="12" style="4" bestFit="1" customWidth="1"/>
    <col min="16139" max="16139" width="13.85546875" style="4" bestFit="1" customWidth="1"/>
    <col min="16140" max="16140" width="15" style="4" customWidth="1"/>
    <col min="16141" max="16384" width="11.42578125" style="4"/>
  </cols>
  <sheetData>
    <row r="1" spans="2:12" ht="18" x14ac:dyDescent="0.25">
      <c r="B1" s="34"/>
    </row>
    <row r="2" spans="2:12" ht="15.75" x14ac:dyDescent="0.25">
      <c r="B2" s="114" t="s">
        <v>128</v>
      </c>
    </row>
    <row r="3" spans="2:12" x14ac:dyDescent="0.2">
      <c r="J3" s="115" t="s">
        <v>129</v>
      </c>
      <c r="K3" s="115" t="s">
        <v>130</v>
      </c>
      <c r="L3" s="115" t="s">
        <v>131</v>
      </c>
    </row>
    <row r="4" spans="2:12" x14ac:dyDescent="0.2">
      <c r="B4" s="116" t="s">
        <v>132</v>
      </c>
      <c r="C4" s="116" t="s">
        <v>133</v>
      </c>
      <c r="D4" s="35"/>
      <c r="J4" s="115" t="s">
        <v>134</v>
      </c>
      <c r="K4" s="115" t="s">
        <v>135</v>
      </c>
    </row>
    <row r="5" spans="2:12" x14ac:dyDescent="0.2">
      <c r="B5" s="117">
        <v>1995</v>
      </c>
      <c r="C5" s="118">
        <v>583.54412574599746</v>
      </c>
      <c r="I5" s="4">
        <v>1995</v>
      </c>
      <c r="J5" s="33">
        <v>23345374</v>
      </c>
      <c r="K5" s="62">
        <v>13623.056128000004</v>
      </c>
      <c r="L5" s="62">
        <f>K5*1000000/J5</f>
        <v>583.54413718109652</v>
      </c>
    </row>
    <row r="6" spans="2:12" x14ac:dyDescent="0.2">
      <c r="B6" s="119">
        <v>1996</v>
      </c>
      <c r="C6" s="120">
        <v>603.34119570344888</v>
      </c>
      <c r="I6" s="4">
        <v>1996</v>
      </c>
      <c r="J6" s="33">
        <v>23706552</v>
      </c>
      <c r="K6" s="62">
        <v>14303.139597999991</v>
      </c>
      <c r="L6" s="62">
        <f t="shared" ref="L6:L25" si="0">K6*1000000/J6</f>
        <v>603.34120280334275</v>
      </c>
    </row>
    <row r="7" spans="2:12" x14ac:dyDescent="0.2">
      <c r="B7" s="121">
        <v>1997</v>
      </c>
      <c r="C7" s="122">
        <v>625.42605130816651</v>
      </c>
      <c r="I7" s="4">
        <v>1997</v>
      </c>
      <c r="J7" s="33">
        <v>24073318</v>
      </c>
      <c r="K7" s="62">
        <v>15056.08015999999</v>
      </c>
      <c r="L7" s="62">
        <f t="shared" si="0"/>
        <v>625.4260488728637</v>
      </c>
    </row>
    <row r="8" spans="2:12" x14ac:dyDescent="0.2">
      <c r="B8" s="119">
        <v>1998</v>
      </c>
      <c r="C8" s="120">
        <v>645.31347153883951</v>
      </c>
      <c r="I8" s="4">
        <v>1998</v>
      </c>
      <c r="J8" s="33">
        <v>24445757</v>
      </c>
      <c r="K8" s="62">
        <v>15775.176823</v>
      </c>
      <c r="L8" s="62">
        <f t="shared" si="0"/>
        <v>645.31349235779442</v>
      </c>
    </row>
    <row r="9" spans="2:12" x14ac:dyDescent="0.2">
      <c r="B9" s="121">
        <v>1999</v>
      </c>
      <c r="C9" s="122">
        <v>655.61625732548214</v>
      </c>
      <c r="I9" s="4">
        <v>1999</v>
      </c>
      <c r="J9" s="33">
        <v>24823959</v>
      </c>
      <c r="K9" s="62">
        <v>16274.991559000011</v>
      </c>
      <c r="L9" s="62">
        <f t="shared" si="0"/>
        <v>655.61627615482325</v>
      </c>
    </row>
    <row r="10" spans="2:12" x14ac:dyDescent="0.2">
      <c r="B10" s="119">
        <v>2000</v>
      </c>
      <c r="C10" s="120">
        <v>679.95819942836761</v>
      </c>
      <c r="I10" s="4">
        <v>2000</v>
      </c>
      <c r="J10" s="33">
        <v>25208012</v>
      </c>
      <c r="K10" s="62">
        <v>17140.395011000015</v>
      </c>
      <c r="L10" s="62">
        <f t="shared" si="0"/>
        <v>679.95822165587731</v>
      </c>
    </row>
    <row r="11" spans="2:12" x14ac:dyDescent="0.2">
      <c r="B11" s="121">
        <v>2001</v>
      </c>
      <c r="C11" s="122">
        <v>710.99105823647039</v>
      </c>
      <c r="I11" s="4">
        <v>2001</v>
      </c>
      <c r="J11" s="33">
        <v>25598007</v>
      </c>
      <c r="K11" s="62">
        <v>18199.95454499999</v>
      </c>
      <c r="L11" s="62">
        <f t="shared" si="0"/>
        <v>710.99107618026619</v>
      </c>
    </row>
    <row r="12" spans="2:12" x14ac:dyDescent="0.2">
      <c r="B12" s="119">
        <v>2002</v>
      </c>
      <c r="C12" s="120">
        <v>737.40531622325182</v>
      </c>
      <c r="I12" s="4">
        <v>2002</v>
      </c>
      <c r="J12" s="33">
        <v>25994036.103537917</v>
      </c>
      <c r="K12" s="62">
        <v>19168.140412848003</v>
      </c>
      <c r="L12" s="62">
        <f t="shared" si="0"/>
        <v>737.40531622325182</v>
      </c>
    </row>
    <row r="13" spans="2:12" x14ac:dyDescent="0.2">
      <c r="B13" s="121">
        <v>2003</v>
      </c>
      <c r="C13" s="122">
        <v>755.30692832269779</v>
      </c>
      <c r="I13" s="4">
        <v>2003</v>
      </c>
      <c r="J13" s="33">
        <v>26396191</v>
      </c>
      <c r="K13" s="62">
        <v>19937.226353999995</v>
      </c>
      <c r="L13" s="62">
        <f t="shared" si="0"/>
        <v>755.30694386928769</v>
      </c>
    </row>
    <row r="14" spans="2:12" x14ac:dyDescent="0.2">
      <c r="B14" s="119">
        <v>2004</v>
      </c>
      <c r="C14" s="120">
        <v>794.18268518061961</v>
      </c>
      <c r="I14" s="4">
        <v>2004</v>
      </c>
      <c r="J14" s="33">
        <v>26804568</v>
      </c>
      <c r="K14" s="62">
        <v>21287.724389999999</v>
      </c>
      <c r="L14" s="62">
        <f t="shared" si="0"/>
        <v>794.18270758924371</v>
      </c>
    </row>
    <row r="15" spans="2:12" x14ac:dyDescent="0.2">
      <c r="B15" s="121">
        <v>2005</v>
      </c>
      <c r="C15" s="122">
        <v>805.45882066401725</v>
      </c>
      <c r="I15" s="4">
        <v>2005</v>
      </c>
      <c r="J15" s="33">
        <v>27219263.999999974</v>
      </c>
      <c r="K15" s="62">
        <v>22400.244750429476</v>
      </c>
      <c r="L15" s="62">
        <f t="shared" si="0"/>
        <v>822.95556376651109</v>
      </c>
    </row>
    <row r="16" spans="2:12" x14ac:dyDescent="0.2">
      <c r="B16" s="119">
        <v>2006</v>
      </c>
      <c r="C16" s="120">
        <v>854.17028500533377</v>
      </c>
      <c r="I16" s="4">
        <v>2006</v>
      </c>
      <c r="J16" s="33">
        <v>27573114</v>
      </c>
      <c r="K16" s="62">
        <v>24046.126090621408</v>
      </c>
      <c r="L16" s="62">
        <f t="shared" si="0"/>
        <v>872.08597805171394</v>
      </c>
    </row>
    <row r="17" spans="2:17" x14ac:dyDescent="0.2">
      <c r="B17" s="121">
        <v>2007</v>
      </c>
      <c r="C17" s="122">
        <v>929.16215826534892</v>
      </c>
      <c r="I17" s="123">
        <v>2007</v>
      </c>
      <c r="J17" s="33">
        <v>28220764</v>
      </c>
      <c r="K17" s="62">
        <v>26464.304604659999</v>
      </c>
      <c r="L17" s="62">
        <f t="shared" si="0"/>
        <v>937.76003387647472</v>
      </c>
    </row>
    <row r="18" spans="2:17" x14ac:dyDescent="0.2">
      <c r="B18" s="119">
        <v>2008</v>
      </c>
      <c r="C18" s="124">
        <v>1001.5890432524227</v>
      </c>
      <c r="I18" s="4">
        <v>2008</v>
      </c>
      <c r="J18" s="33">
        <v>28807033.999999993</v>
      </c>
      <c r="K18" s="62">
        <v>28833.06706300001</v>
      </c>
      <c r="L18" s="62">
        <f t="shared" si="0"/>
        <v>1000.903705081197</v>
      </c>
    </row>
    <row r="19" spans="2:17" x14ac:dyDescent="0.2">
      <c r="B19" s="125">
        <v>2009</v>
      </c>
      <c r="C19" s="126">
        <v>999.23883787227453</v>
      </c>
      <c r="I19" s="4">
        <v>2009</v>
      </c>
      <c r="J19" s="33">
        <v>29132013</v>
      </c>
      <c r="K19" s="62">
        <v>29109.838815000003</v>
      </c>
      <c r="L19" s="62">
        <f t="shared" si="0"/>
        <v>999.23883787227487</v>
      </c>
    </row>
    <row r="20" spans="2:17" x14ac:dyDescent="0.2">
      <c r="B20" s="127">
        <v>2010</v>
      </c>
      <c r="C20" s="124">
        <v>1079.3034950558063</v>
      </c>
      <c r="I20" s="4">
        <v>2010</v>
      </c>
      <c r="J20" s="33">
        <v>29461933</v>
      </c>
      <c r="K20" s="62">
        <v>31798.367258000002</v>
      </c>
      <c r="L20" s="62">
        <f t="shared" si="0"/>
        <v>1079.3034950558065</v>
      </c>
    </row>
    <row r="21" spans="2:17" x14ac:dyDescent="0.2">
      <c r="B21" s="121">
        <v>2011</v>
      </c>
      <c r="C21" s="126">
        <f>L21</f>
        <v>1153.7228054560567</v>
      </c>
      <c r="I21" s="4">
        <v>2011</v>
      </c>
      <c r="J21" s="33">
        <v>29797694</v>
      </c>
      <c r="K21" s="62">
        <v>34378.27911780111</v>
      </c>
      <c r="L21" s="62">
        <f t="shared" si="0"/>
        <v>1153.7228054560567</v>
      </c>
    </row>
    <row r="22" spans="2:17" x14ac:dyDescent="0.2">
      <c r="B22" s="127">
        <v>2012</v>
      </c>
      <c r="C22" s="124">
        <f>L22</f>
        <v>1205.3122621263838</v>
      </c>
      <c r="I22" s="4">
        <v>2012</v>
      </c>
      <c r="J22" s="33">
        <v>30135875</v>
      </c>
      <c r="K22" s="62">
        <v>36323.139667407937</v>
      </c>
      <c r="L22" s="62">
        <f t="shared" si="0"/>
        <v>1205.3122621263838</v>
      </c>
    </row>
    <row r="23" spans="2:17" x14ac:dyDescent="0.2">
      <c r="B23" s="128">
        <v>2013</v>
      </c>
      <c r="C23" s="129">
        <f>L23</f>
        <v>1256.0486081150725</v>
      </c>
      <c r="I23" s="4">
        <v>2013</v>
      </c>
      <c r="J23" s="33">
        <v>30475144</v>
      </c>
      <c r="K23" s="62">
        <v>38278.262203306404</v>
      </c>
      <c r="L23" s="62">
        <f t="shared" si="0"/>
        <v>1256.0486081150725</v>
      </c>
    </row>
    <row r="24" spans="2:17" x14ac:dyDescent="0.2">
      <c r="B24" s="127">
        <v>2014</v>
      </c>
      <c r="C24" s="124">
        <f>L24</f>
        <v>1299.1212270759199</v>
      </c>
      <c r="I24" s="4">
        <v>2014</v>
      </c>
      <c r="J24" s="33">
        <v>30814175</v>
      </c>
      <c r="K24" s="62">
        <v>40031.348837332138</v>
      </c>
      <c r="L24" s="62">
        <f>K24*1000000/J24</f>
        <v>1299.1212270759199</v>
      </c>
    </row>
    <row r="25" spans="2:17" ht="13.5" customHeight="1" x14ac:dyDescent="0.2">
      <c r="B25" s="130" t="s">
        <v>136</v>
      </c>
      <c r="C25" s="131">
        <f>L25</f>
        <v>1355.4878635179934</v>
      </c>
      <c r="I25" s="4">
        <v>2015</v>
      </c>
      <c r="J25" s="33">
        <v>31151643</v>
      </c>
      <c r="K25" s="62">
        <v>42225.674015145254</v>
      </c>
      <c r="L25" s="62">
        <f t="shared" si="0"/>
        <v>1355.4878635179934</v>
      </c>
    </row>
    <row r="26" spans="2:17" ht="13.5" thickBot="1" x14ac:dyDescent="0.25">
      <c r="B26" s="132"/>
      <c r="C26" s="133"/>
      <c r="L26" s="62"/>
    </row>
    <row r="27" spans="2:17" s="136" customFormat="1" ht="19.5" customHeight="1" x14ac:dyDescent="0.25">
      <c r="B27" s="134" t="s">
        <v>137</v>
      </c>
      <c r="C27" s="135">
        <f>(C25/C24)-1</f>
        <v>4.3388280683354097E-2</v>
      </c>
    </row>
    <row r="28" spans="2:17" s="136" customFormat="1" ht="19.5" customHeight="1" x14ac:dyDescent="0.25">
      <c r="B28" s="137" t="s">
        <v>138</v>
      </c>
      <c r="C28" s="138">
        <f>((C25/C20)^(1/5))-1</f>
        <v>4.6623326989950087E-2</v>
      </c>
    </row>
    <row r="29" spans="2:17" s="136" customFormat="1" ht="19.5" customHeight="1" x14ac:dyDescent="0.25">
      <c r="B29" s="139" t="s">
        <v>139</v>
      </c>
      <c r="C29" s="140">
        <f>(C25/C20)-1</f>
        <v>0.25589129445736369</v>
      </c>
      <c r="P29" s="141"/>
      <c r="Q29" s="142"/>
    </row>
    <row r="30" spans="2:17" s="136" customFormat="1" ht="19.5" customHeight="1" x14ac:dyDescent="0.25">
      <c r="B30" s="143" t="s">
        <v>140</v>
      </c>
      <c r="C30" s="144">
        <f>((C25/C15)^(1/10))-1</f>
        <v>5.342890106896836E-2</v>
      </c>
      <c r="P30" s="141"/>
    </row>
    <row r="31" spans="2:17" x14ac:dyDescent="0.2">
      <c r="B31" s="32" t="s">
        <v>141</v>
      </c>
      <c r="I31" s="54"/>
      <c r="J31" s="54"/>
    </row>
    <row r="32" spans="2:17" x14ac:dyDescent="0.2">
      <c r="B32" s="145"/>
    </row>
    <row r="35" spans="2:10" x14ac:dyDescent="0.2">
      <c r="B35" s="33"/>
      <c r="C35" s="33"/>
      <c r="D35" s="33"/>
      <c r="E35" s="33"/>
      <c r="F35" s="33"/>
      <c r="G35" s="33"/>
      <c r="H35" s="33"/>
      <c r="J35" s="54"/>
    </row>
    <row r="36" spans="2:10" x14ac:dyDescent="0.2">
      <c r="H36" s="54"/>
    </row>
    <row r="54" spans="2:12" ht="15.75" x14ac:dyDescent="0.25">
      <c r="B54" s="114" t="s">
        <v>142</v>
      </c>
    </row>
    <row r="55" spans="2:12" x14ac:dyDescent="0.2">
      <c r="J55" s="115" t="s">
        <v>129</v>
      </c>
      <c r="K55" s="115" t="s">
        <v>143</v>
      </c>
      <c r="L55" s="115" t="s">
        <v>131</v>
      </c>
    </row>
    <row r="56" spans="2:12" x14ac:dyDescent="0.2">
      <c r="B56" s="116" t="s">
        <v>132</v>
      </c>
      <c r="C56" s="116" t="s">
        <v>133</v>
      </c>
      <c r="J56" s="115" t="s">
        <v>134</v>
      </c>
      <c r="K56" s="115" t="s">
        <v>135</v>
      </c>
    </row>
    <row r="57" spans="2:12" x14ac:dyDescent="0.2">
      <c r="B57" s="117"/>
      <c r="C57" s="118"/>
      <c r="J57" s="115"/>
      <c r="K57" s="115"/>
    </row>
    <row r="58" spans="2:12" x14ac:dyDescent="0.2">
      <c r="B58" s="119">
        <v>1995</v>
      </c>
      <c r="C58" s="120">
        <f>L58</f>
        <v>723.06036309377623</v>
      </c>
      <c r="I58" s="4">
        <v>1995</v>
      </c>
      <c r="J58" s="33">
        <v>23345374</v>
      </c>
      <c r="K58" s="62">
        <v>16880.114601000001</v>
      </c>
      <c r="L58" s="62">
        <f>K58*1000000/J58</f>
        <v>723.06036309377623</v>
      </c>
    </row>
    <row r="59" spans="2:12" ht="15" customHeight="1" x14ac:dyDescent="0.2">
      <c r="B59" s="121">
        <v>1996</v>
      </c>
      <c r="C59" s="122">
        <f t="shared" ref="C59:C78" si="1">L59</f>
        <v>728.90449412466228</v>
      </c>
      <c r="I59" s="4">
        <v>1996</v>
      </c>
      <c r="J59" s="33">
        <v>23706552</v>
      </c>
      <c r="K59" s="62">
        <v>17279.812292999999</v>
      </c>
      <c r="L59" s="62">
        <f t="shared" ref="L59:L76" si="2">K59*1000000/J59</f>
        <v>728.90449412466228</v>
      </c>
    </row>
    <row r="60" spans="2:12" x14ac:dyDescent="0.2">
      <c r="B60" s="119">
        <v>1997</v>
      </c>
      <c r="C60" s="120">
        <f t="shared" si="1"/>
        <v>745.78035213093597</v>
      </c>
      <c r="I60" s="4">
        <v>1997</v>
      </c>
      <c r="J60" s="33">
        <v>24073318</v>
      </c>
      <c r="K60" s="62">
        <v>17953.407575000001</v>
      </c>
      <c r="L60" s="62">
        <f t="shared" si="2"/>
        <v>745.78035213093597</v>
      </c>
    </row>
    <row r="61" spans="2:12" x14ac:dyDescent="0.2">
      <c r="B61" s="121">
        <v>1998</v>
      </c>
      <c r="C61" s="122">
        <f t="shared" si="1"/>
        <v>760.15395416063427</v>
      </c>
      <c r="I61" s="4">
        <v>1998</v>
      </c>
      <c r="J61" s="33">
        <v>24445757</v>
      </c>
      <c r="K61" s="62">
        <v>18582.538846000003</v>
      </c>
      <c r="L61" s="62">
        <f t="shared" si="2"/>
        <v>760.15395416063427</v>
      </c>
    </row>
    <row r="62" spans="2:12" x14ac:dyDescent="0.2">
      <c r="B62" s="119">
        <v>1999</v>
      </c>
      <c r="C62" s="120">
        <f t="shared" si="1"/>
        <v>767.38836851124347</v>
      </c>
      <c r="I62" s="4">
        <v>1999</v>
      </c>
      <c r="J62" s="33">
        <v>24823959</v>
      </c>
      <c r="K62" s="62">
        <v>19049.617396999998</v>
      </c>
      <c r="L62" s="62">
        <f t="shared" si="2"/>
        <v>767.38836851124347</v>
      </c>
    </row>
    <row r="63" spans="2:12" x14ac:dyDescent="0.2">
      <c r="B63" s="121">
        <v>2000</v>
      </c>
      <c r="C63" s="122">
        <f t="shared" si="1"/>
        <v>790.33195231738227</v>
      </c>
      <c r="I63" s="4">
        <v>2000</v>
      </c>
      <c r="J63" s="33">
        <v>25208012</v>
      </c>
      <c r="K63" s="62">
        <v>19922.697338000002</v>
      </c>
      <c r="L63" s="62">
        <f t="shared" si="2"/>
        <v>790.33195231738227</v>
      </c>
    </row>
    <row r="64" spans="2:12" x14ac:dyDescent="0.2">
      <c r="B64" s="119">
        <v>2001</v>
      </c>
      <c r="C64" s="120">
        <f t="shared" si="1"/>
        <v>812.00561961718336</v>
      </c>
      <c r="I64" s="4">
        <v>2001</v>
      </c>
      <c r="J64" s="33">
        <v>25598007</v>
      </c>
      <c r="K64" s="62">
        <v>20785.725534999998</v>
      </c>
      <c r="L64" s="62">
        <f t="shared" si="2"/>
        <v>812.00561961718336</v>
      </c>
    </row>
    <row r="65" spans="2:12" x14ac:dyDescent="0.2">
      <c r="B65" s="121">
        <v>2002</v>
      </c>
      <c r="C65" s="122">
        <f t="shared" si="1"/>
        <v>845.66794800320008</v>
      </c>
      <c r="I65" s="4">
        <v>2002</v>
      </c>
      <c r="J65" s="33">
        <v>25994036.103537917</v>
      </c>
      <c r="K65" s="62">
        <v>21982.323172000008</v>
      </c>
      <c r="L65" s="62">
        <f t="shared" si="2"/>
        <v>845.66794800320008</v>
      </c>
    </row>
    <row r="66" spans="2:12" x14ac:dyDescent="0.2">
      <c r="B66" s="127">
        <v>2003</v>
      </c>
      <c r="C66" s="120">
        <f t="shared" si="1"/>
        <v>868.43415680694216</v>
      </c>
      <c r="I66" s="4">
        <v>2003</v>
      </c>
      <c r="J66" s="33">
        <v>26396191</v>
      </c>
      <c r="K66" s="62">
        <v>22923.353873999997</v>
      </c>
      <c r="L66" s="62">
        <f t="shared" si="2"/>
        <v>868.43415680694216</v>
      </c>
    </row>
    <row r="67" spans="2:12" x14ac:dyDescent="0.2">
      <c r="B67" s="121">
        <v>2004</v>
      </c>
      <c r="C67" s="122">
        <f t="shared" si="1"/>
        <v>905.33121335885744</v>
      </c>
      <c r="I67" s="4">
        <v>2004</v>
      </c>
      <c r="J67" s="33">
        <v>26804568</v>
      </c>
      <c r="K67" s="62">
        <v>24267.012071000005</v>
      </c>
      <c r="L67" s="62">
        <f t="shared" si="2"/>
        <v>905.33121335885744</v>
      </c>
    </row>
    <row r="68" spans="2:12" x14ac:dyDescent="0.2">
      <c r="B68" s="127">
        <v>2005</v>
      </c>
      <c r="C68" s="120">
        <f t="shared" si="1"/>
        <v>937.19421711770121</v>
      </c>
      <c r="I68" s="4">
        <v>2005</v>
      </c>
      <c r="J68" s="33">
        <v>27219263.999999974</v>
      </c>
      <c r="K68" s="62">
        <v>25509.736815000004</v>
      </c>
      <c r="L68" s="62">
        <f t="shared" si="2"/>
        <v>937.19421711770121</v>
      </c>
    </row>
    <row r="69" spans="2:12" x14ac:dyDescent="0.2">
      <c r="B69" s="121">
        <v>2006</v>
      </c>
      <c r="C69" s="126">
        <f t="shared" si="1"/>
        <v>992.62740971440496</v>
      </c>
      <c r="I69" s="4">
        <v>2006</v>
      </c>
      <c r="J69" s="33">
        <v>27573114</v>
      </c>
      <c r="K69" s="62">
        <v>27369.828727579996</v>
      </c>
      <c r="L69" s="62">
        <f t="shared" si="2"/>
        <v>992.62740971440496</v>
      </c>
    </row>
    <row r="70" spans="2:12" x14ac:dyDescent="0.2">
      <c r="B70" s="119">
        <v>2007</v>
      </c>
      <c r="C70" s="124">
        <f t="shared" si="1"/>
        <v>1061.0289339438154</v>
      </c>
      <c r="I70" s="123">
        <v>2007</v>
      </c>
      <c r="J70" s="33">
        <v>28220764</v>
      </c>
      <c r="K70" s="62">
        <v>29943.047142000003</v>
      </c>
      <c r="L70" s="62">
        <f t="shared" si="2"/>
        <v>1061.0289339438154</v>
      </c>
    </row>
    <row r="71" spans="2:12" x14ac:dyDescent="0.2">
      <c r="B71" s="125">
        <v>2008</v>
      </c>
      <c r="C71" s="126">
        <f t="shared" si="1"/>
        <v>1126.915956811104</v>
      </c>
      <c r="I71" s="4">
        <v>2008</v>
      </c>
      <c r="J71" s="33">
        <v>28807033.999999993</v>
      </c>
      <c r="K71" s="62">
        <v>32463.106282999997</v>
      </c>
      <c r="L71" s="62">
        <f t="shared" si="2"/>
        <v>1126.915956811104</v>
      </c>
    </row>
    <row r="72" spans="2:12" x14ac:dyDescent="0.2">
      <c r="B72" s="127">
        <v>2009</v>
      </c>
      <c r="C72" s="124">
        <f t="shared" si="1"/>
        <v>1130.8774241244503</v>
      </c>
      <c r="I72" s="4">
        <v>2009</v>
      </c>
      <c r="J72" s="33">
        <v>29132013</v>
      </c>
      <c r="K72" s="62">
        <v>32944.735820999995</v>
      </c>
      <c r="L72" s="62">
        <f t="shared" si="2"/>
        <v>1130.8774241244503</v>
      </c>
    </row>
    <row r="73" spans="2:12" x14ac:dyDescent="0.2">
      <c r="B73" s="146">
        <v>2010</v>
      </c>
      <c r="C73" s="131">
        <f t="shared" si="1"/>
        <v>1218.7933473747291</v>
      </c>
      <c r="I73" s="4">
        <v>2010</v>
      </c>
      <c r="J73" s="33">
        <v>29461933</v>
      </c>
      <c r="K73" s="62">
        <v>35908.007941199998</v>
      </c>
      <c r="L73" s="62">
        <f t="shared" si="2"/>
        <v>1218.7933473747291</v>
      </c>
    </row>
    <row r="74" spans="2:12" x14ac:dyDescent="0.2">
      <c r="B74" s="127">
        <v>2011</v>
      </c>
      <c r="C74" s="124">
        <f t="shared" si="1"/>
        <v>1302.3310207833167</v>
      </c>
      <c r="I74" s="4">
        <v>2011</v>
      </c>
      <c r="J74" s="33">
        <v>29797694</v>
      </c>
      <c r="K74" s="62">
        <v>38806.461244008911</v>
      </c>
      <c r="L74" s="62">
        <f t="shared" si="2"/>
        <v>1302.3310207833167</v>
      </c>
    </row>
    <row r="75" spans="2:12" x14ac:dyDescent="0.2">
      <c r="B75" s="146">
        <v>2012</v>
      </c>
      <c r="C75" s="131">
        <f t="shared" si="1"/>
        <v>1361.6987418884603</v>
      </c>
      <c r="I75" s="4">
        <v>2012</v>
      </c>
      <c r="J75" s="33">
        <v>30135875</v>
      </c>
      <c r="K75" s="62">
        <v>41035.983073207899</v>
      </c>
      <c r="L75" s="62">
        <f t="shared" si="2"/>
        <v>1361.6987418884603</v>
      </c>
    </row>
    <row r="76" spans="2:12" x14ac:dyDescent="0.2">
      <c r="B76" s="127">
        <v>2013</v>
      </c>
      <c r="C76" s="124">
        <f t="shared" si="1"/>
        <v>1421.8202860824999</v>
      </c>
      <c r="I76" s="4">
        <v>2013</v>
      </c>
      <c r="J76" s="33">
        <v>30475144</v>
      </c>
      <c r="K76" s="62">
        <v>43330.17796048538</v>
      </c>
      <c r="L76" s="62">
        <f t="shared" si="2"/>
        <v>1421.8202860824999</v>
      </c>
    </row>
    <row r="77" spans="2:12" x14ac:dyDescent="0.2">
      <c r="B77" s="146">
        <v>2014</v>
      </c>
      <c r="C77" s="131">
        <f t="shared" si="1"/>
        <v>1478.2099333262956</v>
      </c>
      <c r="I77" s="147">
        <v>2014</v>
      </c>
      <c r="J77" s="33">
        <v>30814175</v>
      </c>
      <c r="K77" s="62">
        <v>45549.819572254804</v>
      </c>
      <c r="L77" s="62">
        <f>K77*1000000/J77</f>
        <v>1478.2099333262956</v>
      </c>
    </row>
    <row r="78" spans="2:12" x14ac:dyDescent="0.2">
      <c r="B78" s="127" t="s">
        <v>136</v>
      </c>
      <c r="C78" s="124">
        <f t="shared" si="1"/>
        <v>1542.9753476533479</v>
      </c>
      <c r="I78" s="147" t="s">
        <v>136</v>
      </c>
      <c r="J78" s="33">
        <v>31151643</v>
      </c>
      <c r="K78" s="62">
        <v>48066.217187897979</v>
      </c>
      <c r="L78" s="62">
        <f>K78*1000000/J78</f>
        <v>1542.9753476533479</v>
      </c>
    </row>
    <row r="79" spans="2:12" ht="13.5" thickBot="1" x14ac:dyDescent="0.25">
      <c r="B79" s="146"/>
      <c r="C79" s="131"/>
    </row>
    <row r="80" spans="2:12" s="136" customFormat="1" ht="17.25" customHeight="1" x14ac:dyDescent="0.25">
      <c r="B80" s="148" t="s">
        <v>137</v>
      </c>
      <c r="C80" s="149">
        <f>(C78/C77)-1</f>
        <v>4.3813407599904153E-2</v>
      </c>
    </row>
    <row r="81" spans="2:4" s="136" customFormat="1" ht="17.25" customHeight="1" x14ac:dyDescent="0.25">
      <c r="B81" s="150" t="s">
        <v>138</v>
      </c>
      <c r="C81" s="151">
        <f>((C78/C73)^(1/5))-1</f>
        <v>4.8300474713081742E-2</v>
      </c>
      <c r="D81" s="152"/>
    </row>
    <row r="82" spans="2:4" s="136" customFormat="1" ht="17.25" customHeight="1" x14ac:dyDescent="0.25">
      <c r="B82" s="153" t="s">
        <v>144</v>
      </c>
      <c r="C82" s="154">
        <f>(C78/C68)-1</f>
        <v>0.6463773671146833</v>
      </c>
    </row>
    <row r="83" spans="2:4" s="136" customFormat="1" ht="17.25" customHeight="1" x14ac:dyDescent="0.25">
      <c r="B83" s="155" t="s">
        <v>140</v>
      </c>
      <c r="C83" s="156">
        <f>((C78/C68)^(1/10))-1</f>
        <v>5.1121546786806915E-2</v>
      </c>
    </row>
    <row r="84" spans="2:4" x14ac:dyDescent="0.2">
      <c r="B84" s="32" t="s">
        <v>141</v>
      </c>
    </row>
    <row r="85" spans="2:4" x14ac:dyDescent="0.2">
      <c r="B85" s="145"/>
    </row>
  </sheetData>
  <pageMargins left="0.82677165354330717" right="1.1023622047244095" top="0.35433070866141736" bottom="0.39370078740157483" header="0" footer="0"/>
  <pageSetup paperSize="9" scale="5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13"/>
  <sheetViews>
    <sheetView showGridLines="0" view="pageBreakPreview" topLeftCell="A61" zoomScaleNormal="100" zoomScaleSheetLayoutView="100" workbookViewId="0">
      <selection activeCell="M39" sqref="M39"/>
    </sheetView>
  </sheetViews>
  <sheetFormatPr baseColWidth="10" defaultRowHeight="12.75" x14ac:dyDescent="0.2"/>
  <cols>
    <col min="1" max="1" width="7.28515625" style="157" customWidth="1"/>
    <col min="2" max="2" width="21.85546875" style="157" customWidth="1"/>
    <col min="3" max="3" width="12.7109375" style="157" customWidth="1"/>
    <col min="4" max="4" width="10.7109375" style="157" customWidth="1"/>
    <col min="5" max="5" width="12" style="157" customWidth="1"/>
    <col min="6" max="6" width="13.28515625" style="157" customWidth="1"/>
    <col min="7" max="7" width="12.7109375" style="157" customWidth="1"/>
    <col min="8" max="8" width="10.85546875" style="157" customWidth="1"/>
    <col min="9" max="10" width="12.42578125" style="157" customWidth="1"/>
    <col min="11" max="11" width="12.5703125" style="157" customWidth="1"/>
    <col min="12" max="12" width="9.85546875" style="157" customWidth="1"/>
    <col min="13" max="13" width="11.7109375" style="157" customWidth="1"/>
    <col min="14" max="14" width="12.42578125" style="157" customWidth="1"/>
    <col min="15" max="15" width="13.140625" style="157" customWidth="1"/>
    <col min="16" max="16" width="16.5703125" style="157" customWidth="1"/>
    <col min="17" max="17" width="14.5703125" style="157" customWidth="1"/>
    <col min="18" max="18" width="11.42578125" style="157"/>
    <col min="19" max="19" width="12.7109375" style="157" customWidth="1"/>
    <col min="20" max="256" width="11.42578125" style="157"/>
    <col min="257" max="257" width="7.28515625" style="157" customWidth="1"/>
    <col min="258" max="258" width="21.85546875" style="157" customWidth="1"/>
    <col min="259" max="259" width="12.7109375" style="157" customWidth="1"/>
    <col min="260" max="260" width="10.7109375" style="157" customWidth="1"/>
    <col min="261" max="261" width="12" style="157" customWidth="1"/>
    <col min="262" max="262" width="13.28515625" style="157" customWidth="1"/>
    <col min="263" max="263" width="12.7109375" style="157" customWidth="1"/>
    <col min="264" max="264" width="10.85546875" style="157" customWidth="1"/>
    <col min="265" max="266" width="12.42578125" style="157" customWidth="1"/>
    <col min="267" max="267" width="12.5703125" style="157" customWidth="1"/>
    <col min="268" max="268" width="9.85546875" style="157" customWidth="1"/>
    <col min="269" max="269" width="11.7109375" style="157" customWidth="1"/>
    <col min="270" max="270" width="12.42578125" style="157" customWidth="1"/>
    <col min="271" max="271" width="13.140625" style="157" customWidth="1"/>
    <col min="272" max="272" width="16.5703125" style="157" customWidth="1"/>
    <col min="273" max="273" width="14.5703125" style="157" customWidth="1"/>
    <col min="274" max="274" width="11.42578125" style="157"/>
    <col min="275" max="275" width="12.7109375" style="157" customWidth="1"/>
    <col min="276" max="512" width="11.42578125" style="157"/>
    <col min="513" max="513" width="7.28515625" style="157" customWidth="1"/>
    <col min="514" max="514" width="21.85546875" style="157" customWidth="1"/>
    <col min="515" max="515" width="12.7109375" style="157" customWidth="1"/>
    <col min="516" max="516" width="10.7109375" style="157" customWidth="1"/>
    <col min="517" max="517" width="12" style="157" customWidth="1"/>
    <col min="518" max="518" width="13.28515625" style="157" customWidth="1"/>
    <col min="519" max="519" width="12.7109375" style="157" customWidth="1"/>
    <col min="520" max="520" width="10.85546875" style="157" customWidth="1"/>
    <col min="521" max="522" width="12.42578125" style="157" customWidth="1"/>
    <col min="523" max="523" width="12.5703125" style="157" customWidth="1"/>
    <col min="524" max="524" width="9.85546875" style="157" customWidth="1"/>
    <col min="525" max="525" width="11.7109375" style="157" customWidth="1"/>
    <col min="526" max="526" width="12.42578125" style="157" customWidth="1"/>
    <col min="527" max="527" width="13.140625" style="157" customWidth="1"/>
    <col min="528" max="528" width="16.5703125" style="157" customWidth="1"/>
    <col min="529" max="529" width="14.5703125" style="157" customWidth="1"/>
    <col min="530" max="530" width="11.42578125" style="157"/>
    <col min="531" max="531" width="12.7109375" style="157" customWidth="1"/>
    <col min="532" max="768" width="11.42578125" style="157"/>
    <col min="769" max="769" width="7.28515625" style="157" customWidth="1"/>
    <col min="770" max="770" width="21.85546875" style="157" customWidth="1"/>
    <col min="771" max="771" width="12.7109375" style="157" customWidth="1"/>
    <col min="772" max="772" width="10.7109375" style="157" customWidth="1"/>
    <col min="773" max="773" width="12" style="157" customWidth="1"/>
    <col min="774" max="774" width="13.28515625" style="157" customWidth="1"/>
    <col min="775" max="775" width="12.7109375" style="157" customWidth="1"/>
    <col min="776" max="776" width="10.85546875" style="157" customWidth="1"/>
    <col min="777" max="778" width="12.42578125" style="157" customWidth="1"/>
    <col min="779" max="779" width="12.5703125" style="157" customWidth="1"/>
    <col min="780" max="780" width="9.85546875" style="157" customWidth="1"/>
    <col min="781" max="781" width="11.7109375" style="157" customWidth="1"/>
    <col min="782" max="782" width="12.42578125" style="157" customWidth="1"/>
    <col min="783" max="783" width="13.140625" style="157" customWidth="1"/>
    <col min="784" max="784" width="16.5703125" style="157" customWidth="1"/>
    <col min="785" max="785" width="14.5703125" style="157" customWidth="1"/>
    <col min="786" max="786" width="11.42578125" style="157"/>
    <col min="787" max="787" width="12.7109375" style="157" customWidth="1"/>
    <col min="788" max="1024" width="11.42578125" style="157"/>
    <col min="1025" max="1025" width="7.28515625" style="157" customWidth="1"/>
    <col min="1026" max="1026" width="21.85546875" style="157" customWidth="1"/>
    <col min="1027" max="1027" width="12.7109375" style="157" customWidth="1"/>
    <col min="1028" max="1028" width="10.7109375" style="157" customWidth="1"/>
    <col min="1029" max="1029" width="12" style="157" customWidth="1"/>
    <col min="1030" max="1030" width="13.28515625" style="157" customWidth="1"/>
    <col min="1031" max="1031" width="12.7109375" style="157" customWidth="1"/>
    <col min="1032" max="1032" width="10.85546875" style="157" customWidth="1"/>
    <col min="1033" max="1034" width="12.42578125" style="157" customWidth="1"/>
    <col min="1035" max="1035" width="12.5703125" style="157" customWidth="1"/>
    <col min="1036" max="1036" width="9.85546875" style="157" customWidth="1"/>
    <col min="1037" max="1037" width="11.7109375" style="157" customWidth="1"/>
    <col min="1038" max="1038" width="12.42578125" style="157" customWidth="1"/>
    <col min="1039" max="1039" width="13.140625" style="157" customWidth="1"/>
    <col min="1040" max="1040" width="16.5703125" style="157" customWidth="1"/>
    <col min="1041" max="1041" width="14.5703125" style="157" customWidth="1"/>
    <col min="1042" max="1042" width="11.42578125" style="157"/>
    <col min="1043" max="1043" width="12.7109375" style="157" customWidth="1"/>
    <col min="1044" max="1280" width="11.42578125" style="157"/>
    <col min="1281" max="1281" width="7.28515625" style="157" customWidth="1"/>
    <col min="1282" max="1282" width="21.85546875" style="157" customWidth="1"/>
    <col min="1283" max="1283" width="12.7109375" style="157" customWidth="1"/>
    <col min="1284" max="1284" width="10.7109375" style="157" customWidth="1"/>
    <col min="1285" max="1285" width="12" style="157" customWidth="1"/>
    <col min="1286" max="1286" width="13.28515625" style="157" customWidth="1"/>
    <col min="1287" max="1287" width="12.7109375" style="157" customWidth="1"/>
    <col min="1288" max="1288" width="10.85546875" style="157" customWidth="1"/>
    <col min="1289" max="1290" width="12.42578125" style="157" customWidth="1"/>
    <col min="1291" max="1291" width="12.5703125" style="157" customWidth="1"/>
    <col min="1292" max="1292" width="9.85546875" style="157" customWidth="1"/>
    <col min="1293" max="1293" width="11.7109375" style="157" customWidth="1"/>
    <col min="1294" max="1294" width="12.42578125" style="157" customWidth="1"/>
    <col min="1295" max="1295" width="13.140625" style="157" customWidth="1"/>
    <col min="1296" max="1296" width="16.5703125" style="157" customWidth="1"/>
    <col min="1297" max="1297" width="14.5703125" style="157" customWidth="1"/>
    <col min="1298" max="1298" width="11.42578125" style="157"/>
    <col min="1299" max="1299" width="12.7109375" style="157" customWidth="1"/>
    <col min="1300" max="1536" width="11.42578125" style="157"/>
    <col min="1537" max="1537" width="7.28515625" style="157" customWidth="1"/>
    <col min="1538" max="1538" width="21.85546875" style="157" customWidth="1"/>
    <col min="1539" max="1539" width="12.7109375" style="157" customWidth="1"/>
    <col min="1540" max="1540" width="10.7109375" style="157" customWidth="1"/>
    <col min="1541" max="1541" width="12" style="157" customWidth="1"/>
    <col min="1542" max="1542" width="13.28515625" style="157" customWidth="1"/>
    <col min="1543" max="1543" width="12.7109375" style="157" customWidth="1"/>
    <col min="1544" max="1544" width="10.85546875" style="157" customWidth="1"/>
    <col min="1545" max="1546" width="12.42578125" style="157" customWidth="1"/>
    <col min="1547" max="1547" width="12.5703125" style="157" customWidth="1"/>
    <col min="1548" max="1548" width="9.85546875" style="157" customWidth="1"/>
    <col min="1549" max="1549" width="11.7109375" style="157" customWidth="1"/>
    <col min="1550" max="1550" width="12.42578125" style="157" customWidth="1"/>
    <col min="1551" max="1551" width="13.140625" style="157" customWidth="1"/>
    <col min="1552" max="1552" width="16.5703125" style="157" customWidth="1"/>
    <col min="1553" max="1553" width="14.5703125" style="157" customWidth="1"/>
    <col min="1554" max="1554" width="11.42578125" style="157"/>
    <col min="1555" max="1555" width="12.7109375" style="157" customWidth="1"/>
    <col min="1556" max="1792" width="11.42578125" style="157"/>
    <col min="1793" max="1793" width="7.28515625" style="157" customWidth="1"/>
    <col min="1794" max="1794" width="21.85546875" style="157" customWidth="1"/>
    <col min="1795" max="1795" width="12.7109375" style="157" customWidth="1"/>
    <col min="1796" max="1796" width="10.7109375" style="157" customWidth="1"/>
    <col min="1797" max="1797" width="12" style="157" customWidth="1"/>
    <col min="1798" max="1798" width="13.28515625" style="157" customWidth="1"/>
    <col min="1799" max="1799" width="12.7109375" style="157" customWidth="1"/>
    <col min="1800" max="1800" width="10.85546875" style="157" customWidth="1"/>
    <col min="1801" max="1802" width="12.42578125" style="157" customWidth="1"/>
    <col min="1803" max="1803" width="12.5703125" style="157" customWidth="1"/>
    <col min="1804" max="1804" width="9.85546875" style="157" customWidth="1"/>
    <col min="1805" max="1805" width="11.7109375" style="157" customWidth="1"/>
    <col min="1806" max="1806" width="12.42578125" style="157" customWidth="1"/>
    <col min="1807" max="1807" width="13.140625" style="157" customWidth="1"/>
    <col min="1808" max="1808" width="16.5703125" style="157" customWidth="1"/>
    <col min="1809" max="1809" width="14.5703125" style="157" customWidth="1"/>
    <col min="1810" max="1810" width="11.42578125" style="157"/>
    <col min="1811" max="1811" width="12.7109375" style="157" customWidth="1"/>
    <col min="1812" max="2048" width="11.42578125" style="157"/>
    <col min="2049" max="2049" width="7.28515625" style="157" customWidth="1"/>
    <col min="2050" max="2050" width="21.85546875" style="157" customWidth="1"/>
    <col min="2051" max="2051" width="12.7109375" style="157" customWidth="1"/>
    <col min="2052" max="2052" width="10.7109375" style="157" customWidth="1"/>
    <col min="2053" max="2053" width="12" style="157" customWidth="1"/>
    <col min="2054" max="2054" width="13.28515625" style="157" customWidth="1"/>
    <col min="2055" max="2055" width="12.7109375" style="157" customWidth="1"/>
    <col min="2056" max="2056" width="10.85546875" style="157" customWidth="1"/>
    <col min="2057" max="2058" width="12.42578125" style="157" customWidth="1"/>
    <col min="2059" max="2059" width="12.5703125" style="157" customWidth="1"/>
    <col min="2060" max="2060" width="9.85546875" style="157" customWidth="1"/>
    <col min="2061" max="2061" width="11.7109375" style="157" customWidth="1"/>
    <col min="2062" max="2062" width="12.42578125" style="157" customWidth="1"/>
    <col min="2063" max="2063" width="13.140625" style="157" customWidth="1"/>
    <col min="2064" max="2064" width="16.5703125" style="157" customWidth="1"/>
    <col min="2065" max="2065" width="14.5703125" style="157" customWidth="1"/>
    <col min="2066" max="2066" width="11.42578125" style="157"/>
    <col min="2067" max="2067" width="12.7109375" style="157" customWidth="1"/>
    <col min="2068" max="2304" width="11.42578125" style="157"/>
    <col min="2305" max="2305" width="7.28515625" style="157" customWidth="1"/>
    <col min="2306" max="2306" width="21.85546875" style="157" customWidth="1"/>
    <col min="2307" max="2307" width="12.7109375" style="157" customWidth="1"/>
    <col min="2308" max="2308" width="10.7109375" style="157" customWidth="1"/>
    <col min="2309" max="2309" width="12" style="157" customWidth="1"/>
    <col min="2310" max="2310" width="13.28515625" style="157" customWidth="1"/>
    <col min="2311" max="2311" width="12.7109375" style="157" customWidth="1"/>
    <col min="2312" max="2312" width="10.85546875" style="157" customWidth="1"/>
    <col min="2313" max="2314" width="12.42578125" style="157" customWidth="1"/>
    <col min="2315" max="2315" width="12.5703125" style="157" customWidth="1"/>
    <col min="2316" max="2316" width="9.85546875" style="157" customWidth="1"/>
    <col min="2317" max="2317" width="11.7109375" style="157" customWidth="1"/>
    <col min="2318" max="2318" width="12.42578125" style="157" customWidth="1"/>
    <col min="2319" max="2319" width="13.140625" style="157" customWidth="1"/>
    <col min="2320" max="2320" width="16.5703125" style="157" customWidth="1"/>
    <col min="2321" max="2321" width="14.5703125" style="157" customWidth="1"/>
    <col min="2322" max="2322" width="11.42578125" style="157"/>
    <col min="2323" max="2323" width="12.7109375" style="157" customWidth="1"/>
    <col min="2324" max="2560" width="11.42578125" style="157"/>
    <col min="2561" max="2561" width="7.28515625" style="157" customWidth="1"/>
    <col min="2562" max="2562" width="21.85546875" style="157" customWidth="1"/>
    <col min="2563" max="2563" width="12.7109375" style="157" customWidth="1"/>
    <col min="2564" max="2564" width="10.7109375" style="157" customWidth="1"/>
    <col min="2565" max="2565" width="12" style="157" customWidth="1"/>
    <col min="2566" max="2566" width="13.28515625" style="157" customWidth="1"/>
    <col min="2567" max="2567" width="12.7109375" style="157" customWidth="1"/>
    <col min="2568" max="2568" width="10.85546875" style="157" customWidth="1"/>
    <col min="2569" max="2570" width="12.42578125" style="157" customWidth="1"/>
    <col min="2571" max="2571" width="12.5703125" style="157" customWidth="1"/>
    <col min="2572" max="2572" width="9.85546875" style="157" customWidth="1"/>
    <col min="2573" max="2573" width="11.7109375" style="157" customWidth="1"/>
    <col min="2574" max="2574" width="12.42578125" style="157" customWidth="1"/>
    <col min="2575" max="2575" width="13.140625" style="157" customWidth="1"/>
    <col min="2576" max="2576" width="16.5703125" style="157" customWidth="1"/>
    <col min="2577" max="2577" width="14.5703125" style="157" customWidth="1"/>
    <col min="2578" max="2578" width="11.42578125" style="157"/>
    <col min="2579" max="2579" width="12.7109375" style="157" customWidth="1"/>
    <col min="2580" max="2816" width="11.42578125" style="157"/>
    <col min="2817" max="2817" width="7.28515625" style="157" customWidth="1"/>
    <col min="2818" max="2818" width="21.85546875" style="157" customWidth="1"/>
    <col min="2819" max="2819" width="12.7109375" style="157" customWidth="1"/>
    <col min="2820" max="2820" width="10.7109375" style="157" customWidth="1"/>
    <col min="2821" max="2821" width="12" style="157" customWidth="1"/>
    <col min="2822" max="2822" width="13.28515625" style="157" customWidth="1"/>
    <col min="2823" max="2823" width="12.7109375" style="157" customWidth="1"/>
    <col min="2824" max="2824" width="10.85546875" style="157" customWidth="1"/>
    <col min="2825" max="2826" width="12.42578125" style="157" customWidth="1"/>
    <col min="2827" max="2827" width="12.5703125" style="157" customWidth="1"/>
    <col min="2828" max="2828" width="9.85546875" style="157" customWidth="1"/>
    <col min="2829" max="2829" width="11.7109375" style="157" customWidth="1"/>
    <col min="2830" max="2830" width="12.42578125" style="157" customWidth="1"/>
    <col min="2831" max="2831" width="13.140625" style="157" customWidth="1"/>
    <col min="2832" max="2832" width="16.5703125" style="157" customWidth="1"/>
    <col min="2833" max="2833" width="14.5703125" style="157" customWidth="1"/>
    <col min="2834" max="2834" width="11.42578125" style="157"/>
    <col min="2835" max="2835" width="12.7109375" style="157" customWidth="1"/>
    <col min="2836" max="3072" width="11.42578125" style="157"/>
    <col min="3073" max="3073" width="7.28515625" style="157" customWidth="1"/>
    <col min="3074" max="3074" width="21.85546875" style="157" customWidth="1"/>
    <col min="3075" max="3075" width="12.7109375" style="157" customWidth="1"/>
    <col min="3076" max="3076" width="10.7109375" style="157" customWidth="1"/>
    <col min="3077" max="3077" width="12" style="157" customWidth="1"/>
    <col min="3078" max="3078" width="13.28515625" style="157" customWidth="1"/>
    <col min="3079" max="3079" width="12.7109375" style="157" customWidth="1"/>
    <col min="3080" max="3080" width="10.85546875" style="157" customWidth="1"/>
    <col min="3081" max="3082" width="12.42578125" style="157" customWidth="1"/>
    <col min="3083" max="3083" width="12.5703125" style="157" customWidth="1"/>
    <col min="3084" max="3084" width="9.85546875" style="157" customWidth="1"/>
    <col min="3085" max="3085" width="11.7109375" style="157" customWidth="1"/>
    <col min="3086" max="3086" width="12.42578125" style="157" customWidth="1"/>
    <col min="3087" max="3087" width="13.140625" style="157" customWidth="1"/>
    <col min="3088" max="3088" width="16.5703125" style="157" customWidth="1"/>
    <col min="3089" max="3089" width="14.5703125" style="157" customWidth="1"/>
    <col min="3090" max="3090" width="11.42578125" style="157"/>
    <col min="3091" max="3091" width="12.7109375" style="157" customWidth="1"/>
    <col min="3092" max="3328" width="11.42578125" style="157"/>
    <col min="3329" max="3329" width="7.28515625" style="157" customWidth="1"/>
    <col min="3330" max="3330" width="21.85546875" style="157" customWidth="1"/>
    <col min="3331" max="3331" width="12.7109375" style="157" customWidth="1"/>
    <col min="3332" max="3332" width="10.7109375" style="157" customWidth="1"/>
    <col min="3333" max="3333" width="12" style="157" customWidth="1"/>
    <col min="3334" max="3334" width="13.28515625" style="157" customWidth="1"/>
    <col min="3335" max="3335" width="12.7109375" style="157" customWidth="1"/>
    <col min="3336" max="3336" width="10.85546875" style="157" customWidth="1"/>
    <col min="3337" max="3338" width="12.42578125" style="157" customWidth="1"/>
    <col min="3339" max="3339" width="12.5703125" style="157" customWidth="1"/>
    <col min="3340" max="3340" width="9.85546875" style="157" customWidth="1"/>
    <col min="3341" max="3341" width="11.7109375" style="157" customWidth="1"/>
    <col min="3342" max="3342" width="12.42578125" style="157" customWidth="1"/>
    <col min="3343" max="3343" width="13.140625" style="157" customWidth="1"/>
    <col min="3344" max="3344" width="16.5703125" style="157" customWidth="1"/>
    <col min="3345" max="3345" width="14.5703125" style="157" customWidth="1"/>
    <col min="3346" max="3346" width="11.42578125" style="157"/>
    <col min="3347" max="3347" width="12.7109375" style="157" customWidth="1"/>
    <col min="3348" max="3584" width="11.42578125" style="157"/>
    <col min="3585" max="3585" width="7.28515625" style="157" customWidth="1"/>
    <col min="3586" max="3586" width="21.85546875" style="157" customWidth="1"/>
    <col min="3587" max="3587" width="12.7109375" style="157" customWidth="1"/>
    <col min="3588" max="3588" width="10.7109375" style="157" customWidth="1"/>
    <col min="3589" max="3589" width="12" style="157" customWidth="1"/>
    <col min="3590" max="3590" width="13.28515625" style="157" customWidth="1"/>
    <col min="3591" max="3591" width="12.7109375" style="157" customWidth="1"/>
    <col min="3592" max="3592" width="10.85546875" style="157" customWidth="1"/>
    <col min="3593" max="3594" width="12.42578125" style="157" customWidth="1"/>
    <col min="3595" max="3595" width="12.5703125" style="157" customWidth="1"/>
    <col min="3596" max="3596" width="9.85546875" style="157" customWidth="1"/>
    <col min="3597" max="3597" width="11.7109375" style="157" customWidth="1"/>
    <col min="3598" max="3598" width="12.42578125" style="157" customWidth="1"/>
    <col min="3599" max="3599" width="13.140625" style="157" customWidth="1"/>
    <col min="3600" max="3600" width="16.5703125" style="157" customWidth="1"/>
    <col min="3601" max="3601" width="14.5703125" style="157" customWidth="1"/>
    <col min="3602" max="3602" width="11.42578125" style="157"/>
    <col min="3603" max="3603" width="12.7109375" style="157" customWidth="1"/>
    <col min="3604" max="3840" width="11.42578125" style="157"/>
    <col min="3841" max="3841" width="7.28515625" style="157" customWidth="1"/>
    <col min="3842" max="3842" width="21.85546875" style="157" customWidth="1"/>
    <col min="3843" max="3843" width="12.7109375" style="157" customWidth="1"/>
    <col min="3844" max="3844" width="10.7109375" style="157" customWidth="1"/>
    <col min="3845" max="3845" width="12" style="157" customWidth="1"/>
    <col min="3846" max="3846" width="13.28515625" style="157" customWidth="1"/>
    <col min="3847" max="3847" width="12.7109375" style="157" customWidth="1"/>
    <col min="3848" max="3848" width="10.85546875" style="157" customWidth="1"/>
    <col min="3849" max="3850" width="12.42578125" style="157" customWidth="1"/>
    <col min="3851" max="3851" width="12.5703125" style="157" customWidth="1"/>
    <col min="3852" max="3852" width="9.85546875" style="157" customWidth="1"/>
    <col min="3853" max="3853" width="11.7109375" style="157" customWidth="1"/>
    <col min="3854" max="3854" width="12.42578125" style="157" customWidth="1"/>
    <col min="3855" max="3855" width="13.140625" style="157" customWidth="1"/>
    <col min="3856" max="3856" width="16.5703125" style="157" customWidth="1"/>
    <col min="3857" max="3857" width="14.5703125" style="157" customWidth="1"/>
    <col min="3858" max="3858" width="11.42578125" style="157"/>
    <col min="3859" max="3859" width="12.7109375" style="157" customWidth="1"/>
    <col min="3860" max="4096" width="11.42578125" style="157"/>
    <col min="4097" max="4097" width="7.28515625" style="157" customWidth="1"/>
    <col min="4098" max="4098" width="21.85546875" style="157" customWidth="1"/>
    <col min="4099" max="4099" width="12.7109375" style="157" customWidth="1"/>
    <col min="4100" max="4100" width="10.7109375" style="157" customWidth="1"/>
    <col min="4101" max="4101" width="12" style="157" customWidth="1"/>
    <col min="4102" max="4102" width="13.28515625" style="157" customWidth="1"/>
    <col min="4103" max="4103" width="12.7109375" style="157" customWidth="1"/>
    <col min="4104" max="4104" width="10.85546875" style="157" customWidth="1"/>
    <col min="4105" max="4106" width="12.42578125" style="157" customWidth="1"/>
    <col min="4107" max="4107" width="12.5703125" style="157" customWidth="1"/>
    <col min="4108" max="4108" width="9.85546875" style="157" customWidth="1"/>
    <col min="4109" max="4109" width="11.7109375" style="157" customWidth="1"/>
    <col min="4110" max="4110" width="12.42578125" style="157" customWidth="1"/>
    <col min="4111" max="4111" width="13.140625" style="157" customWidth="1"/>
    <col min="4112" max="4112" width="16.5703125" style="157" customWidth="1"/>
    <col min="4113" max="4113" width="14.5703125" style="157" customWidth="1"/>
    <col min="4114" max="4114" width="11.42578125" style="157"/>
    <col min="4115" max="4115" width="12.7109375" style="157" customWidth="1"/>
    <col min="4116" max="4352" width="11.42578125" style="157"/>
    <col min="4353" max="4353" width="7.28515625" style="157" customWidth="1"/>
    <col min="4354" max="4354" width="21.85546875" style="157" customWidth="1"/>
    <col min="4355" max="4355" width="12.7109375" style="157" customWidth="1"/>
    <col min="4356" max="4356" width="10.7109375" style="157" customWidth="1"/>
    <col min="4357" max="4357" width="12" style="157" customWidth="1"/>
    <col min="4358" max="4358" width="13.28515625" style="157" customWidth="1"/>
    <col min="4359" max="4359" width="12.7109375" style="157" customWidth="1"/>
    <col min="4360" max="4360" width="10.85546875" style="157" customWidth="1"/>
    <col min="4361" max="4362" width="12.42578125" style="157" customWidth="1"/>
    <col min="4363" max="4363" width="12.5703125" style="157" customWidth="1"/>
    <col min="4364" max="4364" width="9.85546875" style="157" customWidth="1"/>
    <col min="4365" max="4365" width="11.7109375" style="157" customWidth="1"/>
    <col min="4366" max="4366" width="12.42578125" style="157" customWidth="1"/>
    <col min="4367" max="4367" width="13.140625" style="157" customWidth="1"/>
    <col min="4368" max="4368" width="16.5703125" style="157" customWidth="1"/>
    <col min="4369" max="4369" width="14.5703125" style="157" customWidth="1"/>
    <col min="4370" max="4370" width="11.42578125" style="157"/>
    <col min="4371" max="4371" width="12.7109375" style="157" customWidth="1"/>
    <col min="4372" max="4608" width="11.42578125" style="157"/>
    <col min="4609" max="4609" width="7.28515625" style="157" customWidth="1"/>
    <col min="4610" max="4610" width="21.85546875" style="157" customWidth="1"/>
    <col min="4611" max="4611" width="12.7109375" style="157" customWidth="1"/>
    <col min="4612" max="4612" width="10.7109375" style="157" customWidth="1"/>
    <col min="4613" max="4613" width="12" style="157" customWidth="1"/>
    <col min="4614" max="4614" width="13.28515625" style="157" customWidth="1"/>
    <col min="4615" max="4615" width="12.7109375" style="157" customWidth="1"/>
    <col min="4616" max="4616" width="10.85546875" style="157" customWidth="1"/>
    <col min="4617" max="4618" width="12.42578125" style="157" customWidth="1"/>
    <col min="4619" max="4619" width="12.5703125" style="157" customWidth="1"/>
    <col min="4620" max="4620" width="9.85546875" style="157" customWidth="1"/>
    <col min="4621" max="4621" width="11.7109375" style="157" customWidth="1"/>
    <col min="4622" max="4622" width="12.42578125" style="157" customWidth="1"/>
    <col min="4623" max="4623" width="13.140625" style="157" customWidth="1"/>
    <col min="4624" max="4624" width="16.5703125" style="157" customWidth="1"/>
    <col min="4625" max="4625" width="14.5703125" style="157" customWidth="1"/>
    <col min="4626" max="4626" width="11.42578125" style="157"/>
    <col min="4627" max="4627" width="12.7109375" style="157" customWidth="1"/>
    <col min="4628" max="4864" width="11.42578125" style="157"/>
    <col min="4865" max="4865" width="7.28515625" style="157" customWidth="1"/>
    <col min="4866" max="4866" width="21.85546875" style="157" customWidth="1"/>
    <col min="4867" max="4867" width="12.7109375" style="157" customWidth="1"/>
    <col min="4868" max="4868" width="10.7109375" style="157" customWidth="1"/>
    <col min="4869" max="4869" width="12" style="157" customWidth="1"/>
    <col min="4870" max="4870" width="13.28515625" style="157" customWidth="1"/>
    <col min="4871" max="4871" width="12.7109375" style="157" customWidth="1"/>
    <col min="4872" max="4872" width="10.85546875" style="157" customWidth="1"/>
    <col min="4873" max="4874" width="12.42578125" style="157" customWidth="1"/>
    <col min="4875" max="4875" width="12.5703125" style="157" customWidth="1"/>
    <col min="4876" max="4876" width="9.85546875" style="157" customWidth="1"/>
    <col min="4877" max="4877" width="11.7109375" style="157" customWidth="1"/>
    <col min="4878" max="4878" width="12.42578125" style="157" customWidth="1"/>
    <col min="4879" max="4879" width="13.140625" style="157" customWidth="1"/>
    <col min="4880" max="4880" width="16.5703125" style="157" customWidth="1"/>
    <col min="4881" max="4881" width="14.5703125" style="157" customWidth="1"/>
    <col min="4882" max="4882" width="11.42578125" style="157"/>
    <col min="4883" max="4883" width="12.7109375" style="157" customWidth="1"/>
    <col min="4884" max="5120" width="11.42578125" style="157"/>
    <col min="5121" max="5121" width="7.28515625" style="157" customWidth="1"/>
    <col min="5122" max="5122" width="21.85546875" style="157" customWidth="1"/>
    <col min="5123" max="5123" width="12.7109375" style="157" customWidth="1"/>
    <col min="5124" max="5124" width="10.7109375" style="157" customWidth="1"/>
    <col min="5125" max="5125" width="12" style="157" customWidth="1"/>
    <col min="5126" max="5126" width="13.28515625" style="157" customWidth="1"/>
    <col min="5127" max="5127" width="12.7109375" style="157" customWidth="1"/>
    <col min="5128" max="5128" width="10.85546875" style="157" customWidth="1"/>
    <col min="5129" max="5130" width="12.42578125" style="157" customWidth="1"/>
    <col min="5131" max="5131" width="12.5703125" style="157" customWidth="1"/>
    <col min="5132" max="5132" width="9.85546875" style="157" customWidth="1"/>
    <col min="5133" max="5133" width="11.7109375" style="157" customWidth="1"/>
    <col min="5134" max="5134" width="12.42578125" style="157" customWidth="1"/>
    <col min="5135" max="5135" width="13.140625" style="157" customWidth="1"/>
    <col min="5136" max="5136" width="16.5703125" style="157" customWidth="1"/>
    <col min="5137" max="5137" width="14.5703125" style="157" customWidth="1"/>
    <col min="5138" max="5138" width="11.42578125" style="157"/>
    <col min="5139" max="5139" width="12.7109375" style="157" customWidth="1"/>
    <col min="5140" max="5376" width="11.42578125" style="157"/>
    <col min="5377" max="5377" width="7.28515625" style="157" customWidth="1"/>
    <col min="5378" max="5378" width="21.85546875" style="157" customWidth="1"/>
    <col min="5379" max="5379" width="12.7109375" style="157" customWidth="1"/>
    <col min="5380" max="5380" width="10.7109375" style="157" customWidth="1"/>
    <col min="5381" max="5381" width="12" style="157" customWidth="1"/>
    <col min="5382" max="5382" width="13.28515625" style="157" customWidth="1"/>
    <col min="5383" max="5383" width="12.7109375" style="157" customWidth="1"/>
    <col min="5384" max="5384" width="10.85546875" style="157" customWidth="1"/>
    <col min="5385" max="5386" width="12.42578125" style="157" customWidth="1"/>
    <col min="5387" max="5387" width="12.5703125" style="157" customWidth="1"/>
    <col min="5388" max="5388" width="9.85546875" style="157" customWidth="1"/>
    <col min="5389" max="5389" width="11.7109375" style="157" customWidth="1"/>
    <col min="5390" max="5390" width="12.42578125" style="157" customWidth="1"/>
    <col min="5391" max="5391" width="13.140625" style="157" customWidth="1"/>
    <col min="5392" max="5392" width="16.5703125" style="157" customWidth="1"/>
    <col min="5393" max="5393" width="14.5703125" style="157" customWidth="1"/>
    <col min="5394" max="5394" width="11.42578125" style="157"/>
    <col min="5395" max="5395" width="12.7109375" style="157" customWidth="1"/>
    <col min="5396" max="5632" width="11.42578125" style="157"/>
    <col min="5633" max="5633" width="7.28515625" style="157" customWidth="1"/>
    <col min="5634" max="5634" width="21.85546875" style="157" customWidth="1"/>
    <col min="5635" max="5635" width="12.7109375" style="157" customWidth="1"/>
    <col min="5636" max="5636" width="10.7109375" style="157" customWidth="1"/>
    <col min="5637" max="5637" width="12" style="157" customWidth="1"/>
    <col min="5638" max="5638" width="13.28515625" style="157" customWidth="1"/>
    <col min="5639" max="5639" width="12.7109375" style="157" customWidth="1"/>
    <col min="5640" max="5640" width="10.85546875" style="157" customWidth="1"/>
    <col min="5641" max="5642" width="12.42578125" style="157" customWidth="1"/>
    <col min="5643" max="5643" width="12.5703125" style="157" customWidth="1"/>
    <col min="5644" max="5644" width="9.85546875" style="157" customWidth="1"/>
    <col min="5645" max="5645" width="11.7109375" style="157" customWidth="1"/>
    <col min="5646" max="5646" width="12.42578125" style="157" customWidth="1"/>
    <col min="5647" max="5647" width="13.140625" style="157" customWidth="1"/>
    <col min="5648" max="5648" width="16.5703125" style="157" customWidth="1"/>
    <col min="5649" max="5649" width="14.5703125" style="157" customWidth="1"/>
    <col min="5650" max="5650" width="11.42578125" style="157"/>
    <col min="5651" max="5651" width="12.7109375" style="157" customWidth="1"/>
    <col min="5652" max="5888" width="11.42578125" style="157"/>
    <col min="5889" max="5889" width="7.28515625" style="157" customWidth="1"/>
    <col min="5890" max="5890" width="21.85546875" style="157" customWidth="1"/>
    <col min="5891" max="5891" width="12.7109375" style="157" customWidth="1"/>
    <col min="5892" max="5892" width="10.7109375" style="157" customWidth="1"/>
    <col min="5893" max="5893" width="12" style="157" customWidth="1"/>
    <col min="5894" max="5894" width="13.28515625" style="157" customWidth="1"/>
    <col min="5895" max="5895" width="12.7109375" style="157" customWidth="1"/>
    <col min="5896" max="5896" width="10.85546875" style="157" customWidth="1"/>
    <col min="5897" max="5898" width="12.42578125" style="157" customWidth="1"/>
    <col min="5899" max="5899" width="12.5703125" style="157" customWidth="1"/>
    <col min="5900" max="5900" width="9.85546875" style="157" customWidth="1"/>
    <col min="5901" max="5901" width="11.7109375" style="157" customWidth="1"/>
    <col min="5902" max="5902" width="12.42578125" style="157" customWidth="1"/>
    <col min="5903" max="5903" width="13.140625" style="157" customWidth="1"/>
    <col min="5904" max="5904" width="16.5703125" style="157" customWidth="1"/>
    <col min="5905" max="5905" width="14.5703125" style="157" customWidth="1"/>
    <col min="5906" max="5906" width="11.42578125" style="157"/>
    <col min="5907" max="5907" width="12.7109375" style="157" customWidth="1"/>
    <col min="5908" max="6144" width="11.42578125" style="157"/>
    <col min="6145" max="6145" width="7.28515625" style="157" customWidth="1"/>
    <col min="6146" max="6146" width="21.85546875" style="157" customWidth="1"/>
    <col min="6147" max="6147" width="12.7109375" style="157" customWidth="1"/>
    <col min="6148" max="6148" width="10.7109375" style="157" customWidth="1"/>
    <col min="6149" max="6149" width="12" style="157" customWidth="1"/>
    <col min="6150" max="6150" width="13.28515625" style="157" customWidth="1"/>
    <col min="6151" max="6151" width="12.7109375" style="157" customWidth="1"/>
    <col min="6152" max="6152" width="10.85546875" style="157" customWidth="1"/>
    <col min="6153" max="6154" width="12.42578125" style="157" customWidth="1"/>
    <col min="6155" max="6155" width="12.5703125" style="157" customWidth="1"/>
    <col min="6156" max="6156" width="9.85546875" style="157" customWidth="1"/>
    <col min="6157" max="6157" width="11.7109375" style="157" customWidth="1"/>
    <col min="6158" max="6158" width="12.42578125" style="157" customWidth="1"/>
    <col min="6159" max="6159" width="13.140625" style="157" customWidth="1"/>
    <col min="6160" max="6160" width="16.5703125" style="157" customWidth="1"/>
    <col min="6161" max="6161" width="14.5703125" style="157" customWidth="1"/>
    <col min="6162" max="6162" width="11.42578125" style="157"/>
    <col min="6163" max="6163" width="12.7109375" style="157" customWidth="1"/>
    <col min="6164" max="6400" width="11.42578125" style="157"/>
    <col min="6401" max="6401" width="7.28515625" style="157" customWidth="1"/>
    <col min="6402" max="6402" width="21.85546875" style="157" customWidth="1"/>
    <col min="6403" max="6403" width="12.7109375" style="157" customWidth="1"/>
    <col min="6404" max="6404" width="10.7109375" style="157" customWidth="1"/>
    <col min="6405" max="6405" width="12" style="157" customWidth="1"/>
    <col min="6406" max="6406" width="13.28515625" style="157" customWidth="1"/>
    <col min="6407" max="6407" width="12.7109375" style="157" customWidth="1"/>
    <col min="6408" max="6408" width="10.85546875" style="157" customWidth="1"/>
    <col min="6409" max="6410" width="12.42578125" style="157" customWidth="1"/>
    <col min="6411" max="6411" width="12.5703125" style="157" customWidth="1"/>
    <col min="6412" max="6412" width="9.85546875" style="157" customWidth="1"/>
    <col min="6413" max="6413" width="11.7109375" style="157" customWidth="1"/>
    <col min="6414" max="6414" width="12.42578125" style="157" customWidth="1"/>
    <col min="6415" max="6415" width="13.140625" style="157" customWidth="1"/>
    <col min="6416" max="6416" width="16.5703125" style="157" customWidth="1"/>
    <col min="6417" max="6417" width="14.5703125" style="157" customWidth="1"/>
    <col min="6418" max="6418" width="11.42578125" style="157"/>
    <col min="6419" max="6419" width="12.7109375" style="157" customWidth="1"/>
    <col min="6420" max="6656" width="11.42578125" style="157"/>
    <col min="6657" max="6657" width="7.28515625" style="157" customWidth="1"/>
    <col min="6658" max="6658" width="21.85546875" style="157" customWidth="1"/>
    <col min="6659" max="6659" width="12.7109375" style="157" customWidth="1"/>
    <col min="6660" max="6660" width="10.7109375" style="157" customWidth="1"/>
    <col min="6661" max="6661" width="12" style="157" customWidth="1"/>
    <col min="6662" max="6662" width="13.28515625" style="157" customWidth="1"/>
    <col min="6663" max="6663" width="12.7109375" style="157" customWidth="1"/>
    <col min="6664" max="6664" width="10.85546875" style="157" customWidth="1"/>
    <col min="6665" max="6666" width="12.42578125" style="157" customWidth="1"/>
    <col min="6667" max="6667" width="12.5703125" style="157" customWidth="1"/>
    <col min="6668" max="6668" width="9.85546875" style="157" customWidth="1"/>
    <col min="6669" max="6669" width="11.7109375" style="157" customWidth="1"/>
    <col min="6670" max="6670" width="12.42578125" style="157" customWidth="1"/>
    <col min="6671" max="6671" width="13.140625" style="157" customWidth="1"/>
    <col min="6672" max="6672" width="16.5703125" style="157" customWidth="1"/>
    <col min="6673" max="6673" width="14.5703125" style="157" customWidth="1"/>
    <col min="6674" max="6674" width="11.42578125" style="157"/>
    <col min="6675" max="6675" width="12.7109375" style="157" customWidth="1"/>
    <col min="6676" max="6912" width="11.42578125" style="157"/>
    <col min="6913" max="6913" width="7.28515625" style="157" customWidth="1"/>
    <col min="6914" max="6914" width="21.85546875" style="157" customWidth="1"/>
    <col min="6915" max="6915" width="12.7109375" style="157" customWidth="1"/>
    <col min="6916" max="6916" width="10.7109375" style="157" customWidth="1"/>
    <col min="6917" max="6917" width="12" style="157" customWidth="1"/>
    <col min="6918" max="6918" width="13.28515625" style="157" customWidth="1"/>
    <col min="6919" max="6919" width="12.7109375" style="157" customWidth="1"/>
    <col min="6920" max="6920" width="10.85546875" style="157" customWidth="1"/>
    <col min="6921" max="6922" width="12.42578125" style="157" customWidth="1"/>
    <col min="6923" max="6923" width="12.5703125" style="157" customWidth="1"/>
    <col min="6924" max="6924" width="9.85546875" style="157" customWidth="1"/>
    <col min="6925" max="6925" width="11.7109375" style="157" customWidth="1"/>
    <col min="6926" max="6926" width="12.42578125" style="157" customWidth="1"/>
    <col min="6927" max="6927" width="13.140625" style="157" customWidth="1"/>
    <col min="6928" max="6928" width="16.5703125" style="157" customWidth="1"/>
    <col min="6929" max="6929" width="14.5703125" style="157" customWidth="1"/>
    <col min="6930" max="6930" width="11.42578125" style="157"/>
    <col min="6931" max="6931" width="12.7109375" style="157" customWidth="1"/>
    <col min="6932" max="7168" width="11.42578125" style="157"/>
    <col min="7169" max="7169" width="7.28515625" style="157" customWidth="1"/>
    <col min="7170" max="7170" width="21.85546875" style="157" customWidth="1"/>
    <col min="7171" max="7171" width="12.7109375" style="157" customWidth="1"/>
    <col min="7172" max="7172" width="10.7109375" style="157" customWidth="1"/>
    <col min="7173" max="7173" width="12" style="157" customWidth="1"/>
    <col min="7174" max="7174" width="13.28515625" style="157" customWidth="1"/>
    <col min="7175" max="7175" width="12.7109375" style="157" customWidth="1"/>
    <col min="7176" max="7176" width="10.85546875" style="157" customWidth="1"/>
    <col min="7177" max="7178" width="12.42578125" style="157" customWidth="1"/>
    <col min="7179" max="7179" width="12.5703125" style="157" customWidth="1"/>
    <col min="7180" max="7180" width="9.85546875" style="157" customWidth="1"/>
    <col min="7181" max="7181" width="11.7109375" style="157" customWidth="1"/>
    <col min="7182" max="7182" width="12.42578125" style="157" customWidth="1"/>
    <col min="7183" max="7183" width="13.140625" style="157" customWidth="1"/>
    <col min="7184" max="7184" width="16.5703125" style="157" customWidth="1"/>
    <col min="7185" max="7185" width="14.5703125" style="157" customWidth="1"/>
    <col min="7186" max="7186" width="11.42578125" style="157"/>
    <col min="7187" max="7187" width="12.7109375" style="157" customWidth="1"/>
    <col min="7188" max="7424" width="11.42578125" style="157"/>
    <col min="7425" max="7425" width="7.28515625" style="157" customWidth="1"/>
    <col min="7426" max="7426" width="21.85546875" style="157" customWidth="1"/>
    <col min="7427" max="7427" width="12.7109375" style="157" customWidth="1"/>
    <col min="7428" max="7428" width="10.7109375" style="157" customWidth="1"/>
    <col min="7429" max="7429" width="12" style="157" customWidth="1"/>
    <col min="7430" max="7430" width="13.28515625" style="157" customWidth="1"/>
    <col min="7431" max="7431" width="12.7109375" style="157" customWidth="1"/>
    <col min="7432" max="7432" width="10.85546875" style="157" customWidth="1"/>
    <col min="7433" max="7434" width="12.42578125" style="157" customWidth="1"/>
    <col min="7435" max="7435" width="12.5703125" style="157" customWidth="1"/>
    <col min="7436" max="7436" width="9.85546875" style="157" customWidth="1"/>
    <col min="7437" max="7437" width="11.7109375" style="157" customWidth="1"/>
    <col min="7438" max="7438" width="12.42578125" style="157" customWidth="1"/>
    <col min="7439" max="7439" width="13.140625" style="157" customWidth="1"/>
    <col min="7440" max="7440" width="16.5703125" style="157" customWidth="1"/>
    <col min="7441" max="7441" width="14.5703125" style="157" customWidth="1"/>
    <col min="7442" max="7442" width="11.42578125" style="157"/>
    <col min="7443" max="7443" width="12.7109375" style="157" customWidth="1"/>
    <col min="7444" max="7680" width="11.42578125" style="157"/>
    <col min="7681" max="7681" width="7.28515625" style="157" customWidth="1"/>
    <col min="7682" max="7682" width="21.85546875" style="157" customWidth="1"/>
    <col min="7683" max="7683" width="12.7109375" style="157" customWidth="1"/>
    <col min="7684" max="7684" width="10.7109375" style="157" customWidth="1"/>
    <col min="7685" max="7685" width="12" style="157" customWidth="1"/>
    <col min="7686" max="7686" width="13.28515625" style="157" customWidth="1"/>
    <col min="7687" max="7687" width="12.7109375" style="157" customWidth="1"/>
    <col min="7688" max="7688" width="10.85546875" style="157" customWidth="1"/>
    <col min="7689" max="7690" width="12.42578125" style="157" customWidth="1"/>
    <col min="7691" max="7691" width="12.5703125" style="157" customWidth="1"/>
    <col min="7692" max="7692" width="9.85546875" style="157" customWidth="1"/>
    <col min="7693" max="7693" width="11.7109375" style="157" customWidth="1"/>
    <col min="7694" max="7694" width="12.42578125" style="157" customWidth="1"/>
    <col min="7695" max="7695" width="13.140625" style="157" customWidth="1"/>
    <col min="7696" max="7696" width="16.5703125" style="157" customWidth="1"/>
    <col min="7697" max="7697" width="14.5703125" style="157" customWidth="1"/>
    <col min="7698" max="7698" width="11.42578125" style="157"/>
    <col min="7699" max="7699" width="12.7109375" style="157" customWidth="1"/>
    <col min="7700" max="7936" width="11.42578125" style="157"/>
    <col min="7937" max="7937" width="7.28515625" style="157" customWidth="1"/>
    <col min="7938" max="7938" width="21.85546875" style="157" customWidth="1"/>
    <col min="7939" max="7939" width="12.7109375" style="157" customWidth="1"/>
    <col min="7940" max="7940" width="10.7109375" style="157" customWidth="1"/>
    <col min="7941" max="7941" width="12" style="157" customWidth="1"/>
    <col min="7942" max="7942" width="13.28515625" style="157" customWidth="1"/>
    <col min="7943" max="7943" width="12.7109375" style="157" customWidth="1"/>
    <col min="7944" max="7944" width="10.85546875" style="157" customWidth="1"/>
    <col min="7945" max="7946" width="12.42578125" style="157" customWidth="1"/>
    <col min="7947" max="7947" width="12.5703125" style="157" customWidth="1"/>
    <col min="7948" max="7948" width="9.85546875" style="157" customWidth="1"/>
    <col min="7949" max="7949" width="11.7109375" style="157" customWidth="1"/>
    <col min="7950" max="7950" width="12.42578125" style="157" customWidth="1"/>
    <col min="7951" max="7951" width="13.140625" style="157" customWidth="1"/>
    <col min="7952" max="7952" width="16.5703125" style="157" customWidth="1"/>
    <col min="7953" max="7953" width="14.5703125" style="157" customWidth="1"/>
    <col min="7954" max="7954" width="11.42578125" style="157"/>
    <col min="7955" max="7955" width="12.7109375" style="157" customWidth="1"/>
    <col min="7956" max="8192" width="11.42578125" style="157"/>
    <col min="8193" max="8193" width="7.28515625" style="157" customWidth="1"/>
    <col min="8194" max="8194" width="21.85546875" style="157" customWidth="1"/>
    <col min="8195" max="8195" width="12.7109375" style="157" customWidth="1"/>
    <col min="8196" max="8196" width="10.7109375" style="157" customWidth="1"/>
    <col min="8197" max="8197" width="12" style="157" customWidth="1"/>
    <col min="8198" max="8198" width="13.28515625" style="157" customWidth="1"/>
    <col min="8199" max="8199" width="12.7109375" style="157" customWidth="1"/>
    <col min="8200" max="8200" width="10.85546875" style="157" customWidth="1"/>
    <col min="8201" max="8202" width="12.42578125" style="157" customWidth="1"/>
    <col min="8203" max="8203" width="12.5703125" style="157" customWidth="1"/>
    <col min="8204" max="8204" width="9.85546875" style="157" customWidth="1"/>
    <col min="8205" max="8205" width="11.7109375" style="157" customWidth="1"/>
    <col min="8206" max="8206" width="12.42578125" style="157" customWidth="1"/>
    <col min="8207" max="8207" width="13.140625" style="157" customWidth="1"/>
    <col min="8208" max="8208" width="16.5703125" style="157" customWidth="1"/>
    <col min="8209" max="8209" width="14.5703125" style="157" customWidth="1"/>
    <col min="8210" max="8210" width="11.42578125" style="157"/>
    <col min="8211" max="8211" width="12.7109375" style="157" customWidth="1"/>
    <col min="8212" max="8448" width="11.42578125" style="157"/>
    <col min="8449" max="8449" width="7.28515625" style="157" customWidth="1"/>
    <col min="8450" max="8450" width="21.85546875" style="157" customWidth="1"/>
    <col min="8451" max="8451" width="12.7109375" style="157" customWidth="1"/>
    <col min="8452" max="8452" width="10.7109375" style="157" customWidth="1"/>
    <col min="8453" max="8453" width="12" style="157" customWidth="1"/>
    <col min="8454" max="8454" width="13.28515625" style="157" customWidth="1"/>
    <col min="8455" max="8455" width="12.7109375" style="157" customWidth="1"/>
    <col min="8456" max="8456" width="10.85546875" style="157" customWidth="1"/>
    <col min="8457" max="8458" width="12.42578125" style="157" customWidth="1"/>
    <col min="8459" max="8459" width="12.5703125" style="157" customWidth="1"/>
    <col min="8460" max="8460" width="9.85546875" style="157" customWidth="1"/>
    <col min="8461" max="8461" width="11.7109375" style="157" customWidth="1"/>
    <col min="8462" max="8462" width="12.42578125" style="157" customWidth="1"/>
    <col min="8463" max="8463" width="13.140625" style="157" customWidth="1"/>
    <col min="8464" max="8464" width="16.5703125" style="157" customWidth="1"/>
    <col min="8465" max="8465" width="14.5703125" style="157" customWidth="1"/>
    <col min="8466" max="8466" width="11.42578125" style="157"/>
    <col min="8467" max="8467" width="12.7109375" style="157" customWidth="1"/>
    <col min="8468" max="8704" width="11.42578125" style="157"/>
    <col min="8705" max="8705" width="7.28515625" style="157" customWidth="1"/>
    <col min="8706" max="8706" width="21.85546875" style="157" customWidth="1"/>
    <col min="8707" max="8707" width="12.7109375" style="157" customWidth="1"/>
    <col min="8708" max="8708" width="10.7109375" style="157" customWidth="1"/>
    <col min="8709" max="8709" width="12" style="157" customWidth="1"/>
    <col min="8710" max="8710" width="13.28515625" style="157" customWidth="1"/>
    <col min="8711" max="8711" width="12.7109375" style="157" customWidth="1"/>
    <col min="8712" max="8712" width="10.85546875" style="157" customWidth="1"/>
    <col min="8713" max="8714" width="12.42578125" style="157" customWidth="1"/>
    <col min="8715" max="8715" width="12.5703125" style="157" customWidth="1"/>
    <col min="8716" max="8716" width="9.85546875" style="157" customWidth="1"/>
    <col min="8717" max="8717" width="11.7109375" style="157" customWidth="1"/>
    <col min="8718" max="8718" width="12.42578125" style="157" customWidth="1"/>
    <col min="8719" max="8719" width="13.140625" style="157" customWidth="1"/>
    <col min="8720" max="8720" width="16.5703125" style="157" customWidth="1"/>
    <col min="8721" max="8721" width="14.5703125" style="157" customWidth="1"/>
    <col min="8722" max="8722" width="11.42578125" style="157"/>
    <col min="8723" max="8723" width="12.7109375" style="157" customWidth="1"/>
    <col min="8724" max="8960" width="11.42578125" style="157"/>
    <col min="8961" max="8961" width="7.28515625" style="157" customWidth="1"/>
    <col min="8962" max="8962" width="21.85546875" style="157" customWidth="1"/>
    <col min="8963" max="8963" width="12.7109375" style="157" customWidth="1"/>
    <col min="8964" max="8964" width="10.7109375" style="157" customWidth="1"/>
    <col min="8965" max="8965" width="12" style="157" customWidth="1"/>
    <col min="8966" max="8966" width="13.28515625" style="157" customWidth="1"/>
    <col min="8967" max="8967" width="12.7109375" style="157" customWidth="1"/>
    <col min="8968" max="8968" width="10.85546875" style="157" customWidth="1"/>
    <col min="8969" max="8970" width="12.42578125" style="157" customWidth="1"/>
    <col min="8971" max="8971" width="12.5703125" style="157" customWidth="1"/>
    <col min="8972" max="8972" width="9.85546875" style="157" customWidth="1"/>
    <col min="8973" max="8973" width="11.7109375" style="157" customWidth="1"/>
    <col min="8974" max="8974" width="12.42578125" style="157" customWidth="1"/>
    <col min="8975" max="8975" width="13.140625" style="157" customWidth="1"/>
    <col min="8976" max="8976" width="16.5703125" style="157" customWidth="1"/>
    <col min="8977" max="8977" width="14.5703125" style="157" customWidth="1"/>
    <col min="8978" max="8978" width="11.42578125" style="157"/>
    <col min="8979" max="8979" width="12.7109375" style="157" customWidth="1"/>
    <col min="8980" max="9216" width="11.42578125" style="157"/>
    <col min="9217" max="9217" width="7.28515625" style="157" customWidth="1"/>
    <col min="9218" max="9218" width="21.85546875" style="157" customWidth="1"/>
    <col min="9219" max="9219" width="12.7109375" style="157" customWidth="1"/>
    <col min="9220" max="9220" width="10.7109375" style="157" customWidth="1"/>
    <col min="9221" max="9221" width="12" style="157" customWidth="1"/>
    <col min="9222" max="9222" width="13.28515625" style="157" customWidth="1"/>
    <col min="9223" max="9223" width="12.7109375" style="157" customWidth="1"/>
    <col min="9224" max="9224" width="10.85546875" style="157" customWidth="1"/>
    <col min="9225" max="9226" width="12.42578125" style="157" customWidth="1"/>
    <col min="9227" max="9227" width="12.5703125" style="157" customWidth="1"/>
    <col min="9228" max="9228" width="9.85546875" style="157" customWidth="1"/>
    <col min="9229" max="9229" width="11.7109375" style="157" customWidth="1"/>
    <col min="9230" max="9230" width="12.42578125" style="157" customWidth="1"/>
    <col min="9231" max="9231" width="13.140625" style="157" customWidth="1"/>
    <col min="9232" max="9232" width="16.5703125" style="157" customWidth="1"/>
    <col min="9233" max="9233" width="14.5703125" style="157" customWidth="1"/>
    <col min="9234" max="9234" width="11.42578125" style="157"/>
    <col min="9235" max="9235" width="12.7109375" style="157" customWidth="1"/>
    <col min="9236" max="9472" width="11.42578125" style="157"/>
    <col min="9473" max="9473" width="7.28515625" style="157" customWidth="1"/>
    <col min="9474" max="9474" width="21.85546875" style="157" customWidth="1"/>
    <col min="9475" max="9475" width="12.7109375" style="157" customWidth="1"/>
    <col min="9476" max="9476" width="10.7109375" style="157" customWidth="1"/>
    <col min="9477" max="9477" width="12" style="157" customWidth="1"/>
    <col min="9478" max="9478" width="13.28515625" style="157" customWidth="1"/>
    <col min="9479" max="9479" width="12.7109375" style="157" customWidth="1"/>
    <col min="9480" max="9480" width="10.85546875" style="157" customWidth="1"/>
    <col min="9481" max="9482" width="12.42578125" style="157" customWidth="1"/>
    <col min="9483" max="9483" width="12.5703125" style="157" customWidth="1"/>
    <col min="9484" max="9484" width="9.85546875" style="157" customWidth="1"/>
    <col min="9485" max="9485" width="11.7109375" style="157" customWidth="1"/>
    <col min="9486" max="9486" width="12.42578125" style="157" customWidth="1"/>
    <col min="9487" max="9487" width="13.140625" style="157" customWidth="1"/>
    <col min="9488" max="9488" width="16.5703125" style="157" customWidth="1"/>
    <col min="9489" max="9489" width="14.5703125" style="157" customWidth="1"/>
    <col min="9490" max="9490" width="11.42578125" style="157"/>
    <col min="9491" max="9491" width="12.7109375" style="157" customWidth="1"/>
    <col min="9492" max="9728" width="11.42578125" style="157"/>
    <col min="9729" max="9729" width="7.28515625" style="157" customWidth="1"/>
    <col min="9730" max="9730" width="21.85546875" style="157" customWidth="1"/>
    <col min="9731" max="9731" width="12.7109375" style="157" customWidth="1"/>
    <col min="9732" max="9732" width="10.7109375" style="157" customWidth="1"/>
    <col min="9733" max="9733" width="12" style="157" customWidth="1"/>
    <col min="9734" max="9734" width="13.28515625" style="157" customWidth="1"/>
    <col min="9735" max="9735" width="12.7109375" style="157" customWidth="1"/>
    <col min="9736" max="9736" width="10.85546875" style="157" customWidth="1"/>
    <col min="9737" max="9738" width="12.42578125" style="157" customWidth="1"/>
    <col min="9739" max="9739" width="12.5703125" style="157" customWidth="1"/>
    <col min="9740" max="9740" width="9.85546875" style="157" customWidth="1"/>
    <col min="9741" max="9741" width="11.7109375" style="157" customWidth="1"/>
    <col min="9742" max="9742" width="12.42578125" style="157" customWidth="1"/>
    <col min="9743" max="9743" width="13.140625" style="157" customWidth="1"/>
    <col min="9744" max="9744" width="16.5703125" style="157" customWidth="1"/>
    <col min="9745" max="9745" width="14.5703125" style="157" customWidth="1"/>
    <col min="9746" max="9746" width="11.42578125" style="157"/>
    <col min="9747" max="9747" width="12.7109375" style="157" customWidth="1"/>
    <col min="9748" max="9984" width="11.42578125" style="157"/>
    <col min="9985" max="9985" width="7.28515625" style="157" customWidth="1"/>
    <col min="9986" max="9986" width="21.85546875" style="157" customWidth="1"/>
    <col min="9987" max="9987" width="12.7109375" style="157" customWidth="1"/>
    <col min="9988" max="9988" width="10.7109375" style="157" customWidth="1"/>
    <col min="9989" max="9989" width="12" style="157" customWidth="1"/>
    <col min="9990" max="9990" width="13.28515625" style="157" customWidth="1"/>
    <col min="9991" max="9991" width="12.7109375" style="157" customWidth="1"/>
    <col min="9992" max="9992" width="10.85546875" style="157" customWidth="1"/>
    <col min="9993" max="9994" width="12.42578125" style="157" customWidth="1"/>
    <col min="9995" max="9995" width="12.5703125" style="157" customWidth="1"/>
    <col min="9996" max="9996" width="9.85546875" style="157" customWidth="1"/>
    <col min="9997" max="9997" width="11.7109375" style="157" customWidth="1"/>
    <col min="9998" max="9998" width="12.42578125" style="157" customWidth="1"/>
    <col min="9999" max="9999" width="13.140625" style="157" customWidth="1"/>
    <col min="10000" max="10000" width="16.5703125" style="157" customWidth="1"/>
    <col min="10001" max="10001" width="14.5703125" style="157" customWidth="1"/>
    <col min="10002" max="10002" width="11.42578125" style="157"/>
    <col min="10003" max="10003" width="12.7109375" style="157" customWidth="1"/>
    <col min="10004" max="10240" width="11.42578125" style="157"/>
    <col min="10241" max="10241" width="7.28515625" style="157" customWidth="1"/>
    <col min="10242" max="10242" width="21.85546875" style="157" customWidth="1"/>
    <col min="10243" max="10243" width="12.7109375" style="157" customWidth="1"/>
    <col min="10244" max="10244" width="10.7109375" style="157" customWidth="1"/>
    <col min="10245" max="10245" width="12" style="157" customWidth="1"/>
    <col min="10246" max="10246" width="13.28515625" style="157" customWidth="1"/>
    <col min="10247" max="10247" width="12.7109375" style="157" customWidth="1"/>
    <col min="10248" max="10248" width="10.85546875" style="157" customWidth="1"/>
    <col min="10249" max="10250" width="12.42578125" style="157" customWidth="1"/>
    <col min="10251" max="10251" width="12.5703125" style="157" customWidth="1"/>
    <col min="10252" max="10252" width="9.85546875" style="157" customWidth="1"/>
    <col min="10253" max="10253" width="11.7109375" style="157" customWidth="1"/>
    <col min="10254" max="10254" width="12.42578125" style="157" customWidth="1"/>
    <col min="10255" max="10255" width="13.140625" style="157" customWidth="1"/>
    <col min="10256" max="10256" width="16.5703125" style="157" customWidth="1"/>
    <col min="10257" max="10257" width="14.5703125" style="157" customWidth="1"/>
    <col min="10258" max="10258" width="11.42578125" style="157"/>
    <col min="10259" max="10259" width="12.7109375" style="157" customWidth="1"/>
    <col min="10260" max="10496" width="11.42578125" style="157"/>
    <col min="10497" max="10497" width="7.28515625" style="157" customWidth="1"/>
    <col min="10498" max="10498" width="21.85546875" style="157" customWidth="1"/>
    <col min="10499" max="10499" width="12.7109375" style="157" customWidth="1"/>
    <col min="10500" max="10500" width="10.7109375" style="157" customWidth="1"/>
    <col min="10501" max="10501" width="12" style="157" customWidth="1"/>
    <col min="10502" max="10502" width="13.28515625" style="157" customWidth="1"/>
    <col min="10503" max="10503" width="12.7109375" style="157" customWidth="1"/>
    <col min="10504" max="10504" width="10.85546875" style="157" customWidth="1"/>
    <col min="10505" max="10506" width="12.42578125" style="157" customWidth="1"/>
    <col min="10507" max="10507" width="12.5703125" style="157" customWidth="1"/>
    <col min="10508" max="10508" width="9.85546875" style="157" customWidth="1"/>
    <col min="10509" max="10509" width="11.7109375" style="157" customWidth="1"/>
    <col min="10510" max="10510" width="12.42578125" style="157" customWidth="1"/>
    <col min="10511" max="10511" width="13.140625" style="157" customWidth="1"/>
    <col min="10512" max="10512" width="16.5703125" style="157" customWidth="1"/>
    <col min="10513" max="10513" width="14.5703125" style="157" customWidth="1"/>
    <col min="10514" max="10514" width="11.42578125" style="157"/>
    <col min="10515" max="10515" width="12.7109375" style="157" customWidth="1"/>
    <col min="10516" max="10752" width="11.42578125" style="157"/>
    <col min="10753" max="10753" width="7.28515625" style="157" customWidth="1"/>
    <col min="10754" max="10754" width="21.85546875" style="157" customWidth="1"/>
    <col min="10755" max="10755" width="12.7109375" style="157" customWidth="1"/>
    <col min="10756" max="10756" width="10.7109375" style="157" customWidth="1"/>
    <col min="10757" max="10757" width="12" style="157" customWidth="1"/>
    <col min="10758" max="10758" width="13.28515625" style="157" customWidth="1"/>
    <col min="10759" max="10759" width="12.7109375" style="157" customWidth="1"/>
    <col min="10760" max="10760" width="10.85546875" style="157" customWidth="1"/>
    <col min="10761" max="10762" width="12.42578125" style="157" customWidth="1"/>
    <col min="10763" max="10763" width="12.5703125" style="157" customWidth="1"/>
    <col min="10764" max="10764" width="9.85546875" style="157" customWidth="1"/>
    <col min="10765" max="10765" width="11.7109375" style="157" customWidth="1"/>
    <col min="10766" max="10766" width="12.42578125" style="157" customWidth="1"/>
    <col min="10767" max="10767" width="13.140625" style="157" customWidth="1"/>
    <col min="10768" max="10768" width="16.5703125" style="157" customWidth="1"/>
    <col min="10769" max="10769" width="14.5703125" style="157" customWidth="1"/>
    <col min="10770" max="10770" width="11.42578125" style="157"/>
    <col min="10771" max="10771" width="12.7109375" style="157" customWidth="1"/>
    <col min="10772" max="11008" width="11.42578125" style="157"/>
    <col min="11009" max="11009" width="7.28515625" style="157" customWidth="1"/>
    <col min="11010" max="11010" width="21.85546875" style="157" customWidth="1"/>
    <col min="11011" max="11011" width="12.7109375" style="157" customWidth="1"/>
    <col min="11012" max="11012" width="10.7109375" style="157" customWidth="1"/>
    <col min="11013" max="11013" width="12" style="157" customWidth="1"/>
    <col min="11014" max="11014" width="13.28515625" style="157" customWidth="1"/>
    <col min="11015" max="11015" width="12.7109375" style="157" customWidth="1"/>
    <col min="11016" max="11016" width="10.85546875" style="157" customWidth="1"/>
    <col min="11017" max="11018" width="12.42578125" style="157" customWidth="1"/>
    <col min="11019" max="11019" width="12.5703125" style="157" customWidth="1"/>
    <col min="11020" max="11020" width="9.85546875" style="157" customWidth="1"/>
    <col min="11021" max="11021" width="11.7109375" style="157" customWidth="1"/>
    <col min="11022" max="11022" width="12.42578125" style="157" customWidth="1"/>
    <col min="11023" max="11023" width="13.140625" style="157" customWidth="1"/>
    <col min="11024" max="11024" width="16.5703125" style="157" customWidth="1"/>
    <col min="11025" max="11025" width="14.5703125" style="157" customWidth="1"/>
    <col min="11026" max="11026" width="11.42578125" style="157"/>
    <col min="11027" max="11027" width="12.7109375" style="157" customWidth="1"/>
    <col min="11028" max="11264" width="11.42578125" style="157"/>
    <col min="11265" max="11265" width="7.28515625" style="157" customWidth="1"/>
    <col min="11266" max="11266" width="21.85546875" style="157" customWidth="1"/>
    <col min="11267" max="11267" width="12.7109375" style="157" customWidth="1"/>
    <col min="11268" max="11268" width="10.7109375" style="157" customWidth="1"/>
    <col min="11269" max="11269" width="12" style="157" customWidth="1"/>
    <col min="11270" max="11270" width="13.28515625" style="157" customWidth="1"/>
    <col min="11271" max="11271" width="12.7109375" style="157" customWidth="1"/>
    <col min="11272" max="11272" width="10.85546875" style="157" customWidth="1"/>
    <col min="11273" max="11274" width="12.42578125" style="157" customWidth="1"/>
    <col min="11275" max="11275" width="12.5703125" style="157" customWidth="1"/>
    <col min="11276" max="11276" width="9.85546875" style="157" customWidth="1"/>
    <col min="11277" max="11277" width="11.7109375" style="157" customWidth="1"/>
    <col min="11278" max="11278" width="12.42578125" style="157" customWidth="1"/>
    <col min="11279" max="11279" width="13.140625" style="157" customWidth="1"/>
    <col min="11280" max="11280" width="16.5703125" style="157" customWidth="1"/>
    <col min="11281" max="11281" width="14.5703125" style="157" customWidth="1"/>
    <col min="11282" max="11282" width="11.42578125" style="157"/>
    <col min="11283" max="11283" width="12.7109375" style="157" customWidth="1"/>
    <col min="11284" max="11520" width="11.42578125" style="157"/>
    <col min="11521" max="11521" width="7.28515625" style="157" customWidth="1"/>
    <col min="11522" max="11522" width="21.85546875" style="157" customWidth="1"/>
    <col min="11523" max="11523" width="12.7109375" style="157" customWidth="1"/>
    <col min="11524" max="11524" width="10.7109375" style="157" customWidth="1"/>
    <col min="11525" max="11525" width="12" style="157" customWidth="1"/>
    <col min="11526" max="11526" width="13.28515625" style="157" customWidth="1"/>
    <col min="11527" max="11527" width="12.7109375" style="157" customWidth="1"/>
    <col min="11528" max="11528" width="10.85546875" style="157" customWidth="1"/>
    <col min="11529" max="11530" width="12.42578125" style="157" customWidth="1"/>
    <col min="11531" max="11531" width="12.5703125" style="157" customWidth="1"/>
    <col min="11532" max="11532" width="9.85546875" style="157" customWidth="1"/>
    <col min="11533" max="11533" width="11.7109375" style="157" customWidth="1"/>
    <col min="11534" max="11534" width="12.42578125" style="157" customWidth="1"/>
    <col min="11535" max="11535" width="13.140625" style="157" customWidth="1"/>
    <col min="11536" max="11536" width="16.5703125" style="157" customWidth="1"/>
    <col min="11537" max="11537" width="14.5703125" style="157" customWidth="1"/>
    <col min="11538" max="11538" width="11.42578125" style="157"/>
    <col min="11539" max="11539" width="12.7109375" style="157" customWidth="1"/>
    <col min="11540" max="11776" width="11.42578125" style="157"/>
    <col min="11777" max="11777" width="7.28515625" style="157" customWidth="1"/>
    <col min="11778" max="11778" width="21.85546875" style="157" customWidth="1"/>
    <col min="11779" max="11779" width="12.7109375" style="157" customWidth="1"/>
    <col min="11780" max="11780" width="10.7109375" style="157" customWidth="1"/>
    <col min="11781" max="11781" width="12" style="157" customWidth="1"/>
    <col min="11782" max="11782" width="13.28515625" style="157" customWidth="1"/>
    <col min="11783" max="11783" width="12.7109375" style="157" customWidth="1"/>
    <col min="11784" max="11784" width="10.85546875" style="157" customWidth="1"/>
    <col min="11785" max="11786" width="12.42578125" style="157" customWidth="1"/>
    <col min="11787" max="11787" width="12.5703125" style="157" customWidth="1"/>
    <col min="11788" max="11788" width="9.85546875" style="157" customWidth="1"/>
    <col min="11789" max="11789" width="11.7109375" style="157" customWidth="1"/>
    <col min="11790" max="11790" width="12.42578125" style="157" customWidth="1"/>
    <col min="11791" max="11791" width="13.140625" style="157" customWidth="1"/>
    <col min="11792" max="11792" width="16.5703125" style="157" customWidth="1"/>
    <col min="11793" max="11793" width="14.5703125" style="157" customWidth="1"/>
    <col min="11794" max="11794" width="11.42578125" style="157"/>
    <col min="11795" max="11795" width="12.7109375" style="157" customWidth="1"/>
    <col min="11796" max="12032" width="11.42578125" style="157"/>
    <col min="12033" max="12033" width="7.28515625" style="157" customWidth="1"/>
    <col min="12034" max="12034" width="21.85546875" style="157" customWidth="1"/>
    <col min="12035" max="12035" width="12.7109375" style="157" customWidth="1"/>
    <col min="12036" max="12036" width="10.7109375" style="157" customWidth="1"/>
    <col min="12037" max="12037" width="12" style="157" customWidth="1"/>
    <col min="12038" max="12038" width="13.28515625" style="157" customWidth="1"/>
    <col min="12039" max="12039" width="12.7109375" style="157" customWidth="1"/>
    <col min="12040" max="12040" width="10.85546875" style="157" customWidth="1"/>
    <col min="12041" max="12042" width="12.42578125" style="157" customWidth="1"/>
    <col min="12043" max="12043" width="12.5703125" style="157" customWidth="1"/>
    <col min="12044" max="12044" width="9.85546875" style="157" customWidth="1"/>
    <col min="12045" max="12045" width="11.7109375" style="157" customWidth="1"/>
    <col min="12046" max="12046" width="12.42578125" style="157" customWidth="1"/>
    <col min="12047" max="12047" width="13.140625" style="157" customWidth="1"/>
    <col min="12048" max="12048" width="16.5703125" style="157" customWidth="1"/>
    <col min="12049" max="12049" width="14.5703125" style="157" customWidth="1"/>
    <col min="12050" max="12050" width="11.42578125" style="157"/>
    <col min="12051" max="12051" width="12.7109375" style="157" customWidth="1"/>
    <col min="12052" max="12288" width="11.42578125" style="157"/>
    <col min="12289" max="12289" width="7.28515625" style="157" customWidth="1"/>
    <col min="12290" max="12290" width="21.85546875" style="157" customWidth="1"/>
    <col min="12291" max="12291" width="12.7109375" style="157" customWidth="1"/>
    <col min="12292" max="12292" width="10.7109375" style="157" customWidth="1"/>
    <col min="12293" max="12293" width="12" style="157" customWidth="1"/>
    <col min="12294" max="12294" width="13.28515625" style="157" customWidth="1"/>
    <col min="12295" max="12295" width="12.7109375" style="157" customWidth="1"/>
    <col min="12296" max="12296" width="10.85546875" style="157" customWidth="1"/>
    <col min="12297" max="12298" width="12.42578125" style="157" customWidth="1"/>
    <col min="12299" max="12299" width="12.5703125" style="157" customWidth="1"/>
    <col min="12300" max="12300" width="9.85546875" style="157" customWidth="1"/>
    <col min="12301" max="12301" width="11.7109375" style="157" customWidth="1"/>
    <col min="12302" max="12302" width="12.42578125" style="157" customWidth="1"/>
    <col min="12303" max="12303" width="13.140625" style="157" customWidth="1"/>
    <col min="12304" max="12304" width="16.5703125" style="157" customWidth="1"/>
    <col min="12305" max="12305" width="14.5703125" style="157" customWidth="1"/>
    <col min="12306" max="12306" width="11.42578125" style="157"/>
    <col min="12307" max="12307" width="12.7109375" style="157" customWidth="1"/>
    <col min="12308" max="12544" width="11.42578125" style="157"/>
    <col min="12545" max="12545" width="7.28515625" style="157" customWidth="1"/>
    <col min="12546" max="12546" width="21.85546875" style="157" customWidth="1"/>
    <col min="12547" max="12547" width="12.7109375" style="157" customWidth="1"/>
    <col min="12548" max="12548" width="10.7109375" style="157" customWidth="1"/>
    <col min="12549" max="12549" width="12" style="157" customWidth="1"/>
    <col min="12550" max="12550" width="13.28515625" style="157" customWidth="1"/>
    <col min="12551" max="12551" width="12.7109375" style="157" customWidth="1"/>
    <col min="12552" max="12552" width="10.85546875" style="157" customWidth="1"/>
    <col min="12553" max="12554" width="12.42578125" style="157" customWidth="1"/>
    <col min="12555" max="12555" width="12.5703125" style="157" customWidth="1"/>
    <col min="12556" max="12556" width="9.85546875" style="157" customWidth="1"/>
    <col min="12557" max="12557" width="11.7109375" style="157" customWidth="1"/>
    <col min="12558" max="12558" width="12.42578125" style="157" customWidth="1"/>
    <col min="12559" max="12559" width="13.140625" style="157" customWidth="1"/>
    <col min="12560" max="12560" width="16.5703125" style="157" customWidth="1"/>
    <col min="12561" max="12561" width="14.5703125" style="157" customWidth="1"/>
    <col min="12562" max="12562" width="11.42578125" style="157"/>
    <col min="12563" max="12563" width="12.7109375" style="157" customWidth="1"/>
    <col min="12564" max="12800" width="11.42578125" style="157"/>
    <col min="12801" max="12801" width="7.28515625" style="157" customWidth="1"/>
    <col min="12802" max="12802" width="21.85546875" style="157" customWidth="1"/>
    <col min="12803" max="12803" width="12.7109375" style="157" customWidth="1"/>
    <col min="12804" max="12804" width="10.7109375" style="157" customWidth="1"/>
    <col min="12805" max="12805" width="12" style="157" customWidth="1"/>
    <col min="12806" max="12806" width="13.28515625" style="157" customWidth="1"/>
    <col min="12807" max="12807" width="12.7109375" style="157" customWidth="1"/>
    <col min="12808" max="12808" width="10.85546875" style="157" customWidth="1"/>
    <col min="12809" max="12810" width="12.42578125" style="157" customWidth="1"/>
    <col min="12811" max="12811" width="12.5703125" style="157" customWidth="1"/>
    <col min="12812" max="12812" width="9.85546875" style="157" customWidth="1"/>
    <col min="12813" max="12813" width="11.7109375" style="157" customWidth="1"/>
    <col min="12814" max="12814" width="12.42578125" style="157" customWidth="1"/>
    <col min="12815" max="12815" width="13.140625" style="157" customWidth="1"/>
    <col min="12816" max="12816" width="16.5703125" style="157" customWidth="1"/>
    <col min="12817" max="12817" width="14.5703125" style="157" customWidth="1"/>
    <col min="12818" max="12818" width="11.42578125" style="157"/>
    <col min="12819" max="12819" width="12.7109375" style="157" customWidth="1"/>
    <col min="12820" max="13056" width="11.42578125" style="157"/>
    <col min="13057" max="13057" width="7.28515625" style="157" customWidth="1"/>
    <col min="13058" max="13058" width="21.85546875" style="157" customWidth="1"/>
    <col min="13059" max="13059" width="12.7109375" style="157" customWidth="1"/>
    <col min="13060" max="13060" width="10.7109375" style="157" customWidth="1"/>
    <col min="13061" max="13061" width="12" style="157" customWidth="1"/>
    <col min="13062" max="13062" width="13.28515625" style="157" customWidth="1"/>
    <col min="13063" max="13063" width="12.7109375" style="157" customWidth="1"/>
    <col min="13064" max="13064" width="10.85546875" style="157" customWidth="1"/>
    <col min="13065" max="13066" width="12.42578125" style="157" customWidth="1"/>
    <col min="13067" max="13067" width="12.5703125" style="157" customWidth="1"/>
    <col min="13068" max="13068" width="9.85546875" style="157" customWidth="1"/>
    <col min="13069" max="13069" width="11.7109375" style="157" customWidth="1"/>
    <col min="13070" max="13070" width="12.42578125" style="157" customWidth="1"/>
    <col min="13071" max="13071" width="13.140625" style="157" customWidth="1"/>
    <col min="13072" max="13072" width="16.5703125" style="157" customWidth="1"/>
    <col min="13073" max="13073" width="14.5703125" style="157" customWidth="1"/>
    <col min="13074" max="13074" width="11.42578125" style="157"/>
    <col min="13075" max="13075" width="12.7109375" style="157" customWidth="1"/>
    <col min="13076" max="13312" width="11.42578125" style="157"/>
    <col min="13313" max="13313" width="7.28515625" style="157" customWidth="1"/>
    <col min="13314" max="13314" width="21.85546875" style="157" customWidth="1"/>
    <col min="13315" max="13315" width="12.7109375" style="157" customWidth="1"/>
    <col min="13316" max="13316" width="10.7109375" style="157" customWidth="1"/>
    <col min="13317" max="13317" width="12" style="157" customWidth="1"/>
    <col min="13318" max="13318" width="13.28515625" style="157" customWidth="1"/>
    <col min="13319" max="13319" width="12.7109375" style="157" customWidth="1"/>
    <col min="13320" max="13320" width="10.85546875" style="157" customWidth="1"/>
    <col min="13321" max="13322" width="12.42578125" style="157" customWidth="1"/>
    <col min="13323" max="13323" width="12.5703125" style="157" customWidth="1"/>
    <col min="13324" max="13324" width="9.85546875" style="157" customWidth="1"/>
    <col min="13325" max="13325" width="11.7109375" style="157" customWidth="1"/>
    <col min="13326" max="13326" width="12.42578125" style="157" customWidth="1"/>
    <col min="13327" max="13327" width="13.140625" style="157" customWidth="1"/>
    <col min="13328" max="13328" width="16.5703125" style="157" customWidth="1"/>
    <col min="13329" max="13329" width="14.5703125" style="157" customWidth="1"/>
    <col min="13330" max="13330" width="11.42578125" style="157"/>
    <col min="13331" max="13331" width="12.7109375" style="157" customWidth="1"/>
    <col min="13332" max="13568" width="11.42578125" style="157"/>
    <col min="13569" max="13569" width="7.28515625" style="157" customWidth="1"/>
    <col min="13570" max="13570" width="21.85546875" style="157" customWidth="1"/>
    <col min="13571" max="13571" width="12.7109375" style="157" customWidth="1"/>
    <col min="13572" max="13572" width="10.7109375" style="157" customWidth="1"/>
    <col min="13573" max="13573" width="12" style="157" customWidth="1"/>
    <col min="13574" max="13574" width="13.28515625" style="157" customWidth="1"/>
    <col min="13575" max="13575" width="12.7109375" style="157" customWidth="1"/>
    <col min="13576" max="13576" width="10.85546875" style="157" customWidth="1"/>
    <col min="13577" max="13578" width="12.42578125" style="157" customWidth="1"/>
    <col min="13579" max="13579" width="12.5703125" style="157" customWidth="1"/>
    <col min="13580" max="13580" width="9.85546875" style="157" customWidth="1"/>
    <col min="13581" max="13581" width="11.7109375" style="157" customWidth="1"/>
    <col min="13582" max="13582" width="12.42578125" style="157" customWidth="1"/>
    <col min="13583" max="13583" width="13.140625" style="157" customWidth="1"/>
    <col min="13584" max="13584" width="16.5703125" style="157" customWidth="1"/>
    <col min="13585" max="13585" width="14.5703125" style="157" customWidth="1"/>
    <col min="13586" max="13586" width="11.42578125" style="157"/>
    <col min="13587" max="13587" width="12.7109375" style="157" customWidth="1"/>
    <col min="13588" max="13824" width="11.42578125" style="157"/>
    <col min="13825" max="13825" width="7.28515625" style="157" customWidth="1"/>
    <col min="13826" max="13826" width="21.85546875" style="157" customWidth="1"/>
    <col min="13827" max="13827" width="12.7109375" style="157" customWidth="1"/>
    <col min="13828" max="13828" width="10.7109375" style="157" customWidth="1"/>
    <col min="13829" max="13829" width="12" style="157" customWidth="1"/>
    <col min="13830" max="13830" width="13.28515625" style="157" customWidth="1"/>
    <col min="13831" max="13831" width="12.7109375" style="157" customWidth="1"/>
    <col min="13832" max="13832" width="10.85546875" style="157" customWidth="1"/>
    <col min="13833" max="13834" width="12.42578125" style="157" customWidth="1"/>
    <col min="13835" max="13835" width="12.5703125" style="157" customWidth="1"/>
    <col min="13836" max="13836" width="9.85546875" style="157" customWidth="1"/>
    <col min="13837" max="13837" width="11.7109375" style="157" customWidth="1"/>
    <col min="13838" max="13838" width="12.42578125" style="157" customWidth="1"/>
    <col min="13839" max="13839" width="13.140625" style="157" customWidth="1"/>
    <col min="13840" max="13840" width="16.5703125" style="157" customWidth="1"/>
    <col min="13841" max="13841" width="14.5703125" style="157" customWidth="1"/>
    <col min="13842" max="13842" width="11.42578125" style="157"/>
    <col min="13843" max="13843" width="12.7109375" style="157" customWidth="1"/>
    <col min="13844" max="14080" width="11.42578125" style="157"/>
    <col min="14081" max="14081" width="7.28515625" style="157" customWidth="1"/>
    <col min="14082" max="14082" width="21.85546875" style="157" customWidth="1"/>
    <col min="14083" max="14083" width="12.7109375" style="157" customWidth="1"/>
    <col min="14084" max="14084" width="10.7109375" style="157" customWidth="1"/>
    <col min="14085" max="14085" width="12" style="157" customWidth="1"/>
    <col min="14086" max="14086" width="13.28515625" style="157" customWidth="1"/>
    <col min="14087" max="14087" width="12.7109375" style="157" customWidth="1"/>
    <col min="14088" max="14088" width="10.85546875" style="157" customWidth="1"/>
    <col min="14089" max="14090" width="12.42578125" style="157" customWidth="1"/>
    <col min="14091" max="14091" width="12.5703125" style="157" customWidth="1"/>
    <col min="14092" max="14092" width="9.85546875" style="157" customWidth="1"/>
    <col min="14093" max="14093" width="11.7109375" style="157" customWidth="1"/>
    <col min="14094" max="14094" width="12.42578125" style="157" customWidth="1"/>
    <col min="14095" max="14095" width="13.140625" style="157" customWidth="1"/>
    <col min="14096" max="14096" width="16.5703125" style="157" customWidth="1"/>
    <col min="14097" max="14097" width="14.5703125" style="157" customWidth="1"/>
    <col min="14098" max="14098" width="11.42578125" style="157"/>
    <col min="14099" max="14099" width="12.7109375" style="157" customWidth="1"/>
    <col min="14100" max="14336" width="11.42578125" style="157"/>
    <col min="14337" max="14337" width="7.28515625" style="157" customWidth="1"/>
    <col min="14338" max="14338" width="21.85546875" style="157" customWidth="1"/>
    <col min="14339" max="14339" width="12.7109375" style="157" customWidth="1"/>
    <col min="14340" max="14340" width="10.7109375" style="157" customWidth="1"/>
    <col min="14341" max="14341" width="12" style="157" customWidth="1"/>
    <col min="14342" max="14342" width="13.28515625" style="157" customWidth="1"/>
    <col min="14343" max="14343" width="12.7109375" style="157" customWidth="1"/>
    <col min="14344" max="14344" width="10.85546875" style="157" customWidth="1"/>
    <col min="14345" max="14346" width="12.42578125" style="157" customWidth="1"/>
    <col min="14347" max="14347" width="12.5703125" style="157" customWidth="1"/>
    <col min="14348" max="14348" width="9.85546875" style="157" customWidth="1"/>
    <col min="14349" max="14349" width="11.7109375" style="157" customWidth="1"/>
    <col min="14350" max="14350" width="12.42578125" style="157" customWidth="1"/>
    <col min="14351" max="14351" width="13.140625" style="157" customWidth="1"/>
    <col min="14352" max="14352" width="16.5703125" style="157" customWidth="1"/>
    <col min="14353" max="14353" width="14.5703125" style="157" customWidth="1"/>
    <col min="14354" max="14354" width="11.42578125" style="157"/>
    <col min="14355" max="14355" width="12.7109375" style="157" customWidth="1"/>
    <col min="14356" max="14592" width="11.42578125" style="157"/>
    <col min="14593" max="14593" width="7.28515625" style="157" customWidth="1"/>
    <col min="14594" max="14594" width="21.85546875" style="157" customWidth="1"/>
    <col min="14595" max="14595" width="12.7109375" style="157" customWidth="1"/>
    <col min="14596" max="14596" width="10.7109375" style="157" customWidth="1"/>
    <col min="14597" max="14597" width="12" style="157" customWidth="1"/>
    <col min="14598" max="14598" width="13.28515625" style="157" customWidth="1"/>
    <col min="14599" max="14599" width="12.7109375" style="157" customWidth="1"/>
    <col min="14600" max="14600" width="10.85546875" style="157" customWidth="1"/>
    <col min="14601" max="14602" width="12.42578125" style="157" customWidth="1"/>
    <col min="14603" max="14603" width="12.5703125" style="157" customWidth="1"/>
    <col min="14604" max="14604" width="9.85546875" style="157" customWidth="1"/>
    <col min="14605" max="14605" width="11.7109375" style="157" customWidth="1"/>
    <col min="14606" max="14606" width="12.42578125" style="157" customWidth="1"/>
    <col min="14607" max="14607" width="13.140625" style="157" customWidth="1"/>
    <col min="14608" max="14608" width="16.5703125" style="157" customWidth="1"/>
    <col min="14609" max="14609" width="14.5703125" style="157" customWidth="1"/>
    <col min="14610" max="14610" width="11.42578125" style="157"/>
    <col min="14611" max="14611" width="12.7109375" style="157" customWidth="1"/>
    <col min="14612" max="14848" width="11.42578125" style="157"/>
    <col min="14849" max="14849" width="7.28515625" style="157" customWidth="1"/>
    <col min="14850" max="14850" width="21.85546875" style="157" customWidth="1"/>
    <col min="14851" max="14851" width="12.7109375" style="157" customWidth="1"/>
    <col min="14852" max="14852" width="10.7109375" style="157" customWidth="1"/>
    <col min="14853" max="14853" width="12" style="157" customWidth="1"/>
    <col min="14854" max="14854" width="13.28515625" style="157" customWidth="1"/>
    <col min="14855" max="14855" width="12.7109375" style="157" customWidth="1"/>
    <col min="14856" max="14856" width="10.85546875" style="157" customWidth="1"/>
    <col min="14857" max="14858" width="12.42578125" style="157" customWidth="1"/>
    <col min="14859" max="14859" width="12.5703125" style="157" customWidth="1"/>
    <col min="14860" max="14860" width="9.85546875" style="157" customWidth="1"/>
    <col min="14861" max="14861" width="11.7109375" style="157" customWidth="1"/>
    <col min="14862" max="14862" width="12.42578125" style="157" customWidth="1"/>
    <col min="14863" max="14863" width="13.140625" style="157" customWidth="1"/>
    <col min="14864" max="14864" width="16.5703125" style="157" customWidth="1"/>
    <col min="14865" max="14865" width="14.5703125" style="157" customWidth="1"/>
    <col min="14866" max="14866" width="11.42578125" style="157"/>
    <col min="14867" max="14867" width="12.7109375" style="157" customWidth="1"/>
    <col min="14868" max="15104" width="11.42578125" style="157"/>
    <col min="15105" max="15105" width="7.28515625" style="157" customWidth="1"/>
    <col min="15106" max="15106" width="21.85546875" style="157" customWidth="1"/>
    <col min="15107" max="15107" width="12.7109375" style="157" customWidth="1"/>
    <col min="15108" max="15108" width="10.7109375" style="157" customWidth="1"/>
    <col min="15109" max="15109" width="12" style="157" customWidth="1"/>
    <col min="15110" max="15110" width="13.28515625" style="157" customWidth="1"/>
    <col min="15111" max="15111" width="12.7109375" style="157" customWidth="1"/>
    <col min="15112" max="15112" width="10.85546875" style="157" customWidth="1"/>
    <col min="15113" max="15114" width="12.42578125" style="157" customWidth="1"/>
    <col min="15115" max="15115" width="12.5703125" style="157" customWidth="1"/>
    <col min="15116" max="15116" width="9.85546875" style="157" customWidth="1"/>
    <col min="15117" max="15117" width="11.7109375" style="157" customWidth="1"/>
    <col min="15118" max="15118" width="12.42578125" style="157" customWidth="1"/>
    <col min="15119" max="15119" width="13.140625" style="157" customWidth="1"/>
    <col min="15120" max="15120" width="16.5703125" style="157" customWidth="1"/>
    <col min="15121" max="15121" width="14.5703125" style="157" customWidth="1"/>
    <col min="15122" max="15122" width="11.42578125" style="157"/>
    <col min="15123" max="15123" width="12.7109375" style="157" customWidth="1"/>
    <col min="15124" max="15360" width="11.42578125" style="157"/>
    <col min="15361" max="15361" width="7.28515625" style="157" customWidth="1"/>
    <col min="15362" max="15362" width="21.85546875" style="157" customWidth="1"/>
    <col min="15363" max="15363" width="12.7109375" style="157" customWidth="1"/>
    <col min="15364" max="15364" width="10.7109375" style="157" customWidth="1"/>
    <col min="15365" max="15365" width="12" style="157" customWidth="1"/>
    <col min="15366" max="15366" width="13.28515625" style="157" customWidth="1"/>
    <col min="15367" max="15367" width="12.7109375" style="157" customWidth="1"/>
    <col min="15368" max="15368" width="10.85546875" style="157" customWidth="1"/>
    <col min="15369" max="15370" width="12.42578125" style="157" customWidth="1"/>
    <col min="15371" max="15371" width="12.5703125" style="157" customWidth="1"/>
    <col min="15372" max="15372" width="9.85546875" style="157" customWidth="1"/>
    <col min="15373" max="15373" width="11.7109375" style="157" customWidth="1"/>
    <col min="15374" max="15374" width="12.42578125" style="157" customWidth="1"/>
    <col min="15375" max="15375" width="13.140625" style="157" customWidth="1"/>
    <col min="15376" max="15376" width="16.5703125" style="157" customWidth="1"/>
    <col min="15377" max="15377" width="14.5703125" style="157" customWidth="1"/>
    <col min="15378" max="15378" width="11.42578125" style="157"/>
    <col min="15379" max="15379" width="12.7109375" style="157" customWidth="1"/>
    <col min="15380" max="15616" width="11.42578125" style="157"/>
    <col min="15617" max="15617" width="7.28515625" style="157" customWidth="1"/>
    <col min="15618" max="15618" width="21.85546875" style="157" customWidth="1"/>
    <col min="15619" max="15619" width="12.7109375" style="157" customWidth="1"/>
    <col min="15620" max="15620" width="10.7109375" style="157" customWidth="1"/>
    <col min="15621" max="15621" width="12" style="157" customWidth="1"/>
    <col min="15622" max="15622" width="13.28515625" style="157" customWidth="1"/>
    <col min="15623" max="15623" width="12.7109375" style="157" customWidth="1"/>
    <col min="15624" max="15624" width="10.85546875" style="157" customWidth="1"/>
    <col min="15625" max="15626" width="12.42578125" style="157" customWidth="1"/>
    <col min="15627" max="15627" width="12.5703125" style="157" customWidth="1"/>
    <col min="15628" max="15628" width="9.85546875" style="157" customWidth="1"/>
    <col min="15629" max="15629" width="11.7109375" style="157" customWidth="1"/>
    <col min="15630" max="15630" width="12.42578125" style="157" customWidth="1"/>
    <col min="15631" max="15631" width="13.140625" style="157" customWidth="1"/>
    <col min="15632" max="15632" width="16.5703125" style="157" customWidth="1"/>
    <col min="15633" max="15633" width="14.5703125" style="157" customWidth="1"/>
    <col min="15634" max="15634" width="11.42578125" style="157"/>
    <col min="15635" max="15635" width="12.7109375" style="157" customWidth="1"/>
    <col min="15636" max="15872" width="11.42578125" style="157"/>
    <col min="15873" max="15873" width="7.28515625" style="157" customWidth="1"/>
    <col min="15874" max="15874" width="21.85546875" style="157" customWidth="1"/>
    <col min="15875" max="15875" width="12.7109375" style="157" customWidth="1"/>
    <col min="15876" max="15876" width="10.7109375" style="157" customWidth="1"/>
    <col min="15877" max="15877" width="12" style="157" customWidth="1"/>
    <col min="15878" max="15878" width="13.28515625" style="157" customWidth="1"/>
    <col min="15879" max="15879" width="12.7109375" style="157" customWidth="1"/>
    <col min="15880" max="15880" width="10.85546875" style="157" customWidth="1"/>
    <col min="15881" max="15882" width="12.42578125" style="157" customWidth="1"/>
    <col min="15883" max="15883" width="12.5703125" style="157" customWidth="1"/>
    <col min="15884" max="15884" width="9.85546875" style="157" customWidth="1"/>
    <col min="15885" max="15885" width="11.7109375" style="157" customWidth="1"/>
    <col min="15886" max="15886" width="12.42578125" style="157" customWidth="1"/>
    <col min="15887" max="15887" width="13.140625" style="157" customWidth="1"/>
    <col min="15888" max="15888" width="16.5703125" style="157" customWidth="1"/>
    <col min="15889" max="15889" width="14.5703125" style="157" customWidth="1"/>
    <col min="15890" max="15890" width="11.42578125" style="157"/>
    <col min="15891" max="15891" width="12.7109375" style="157" customWidth="1"/>
    <col min="15892" max="16128" width="11.42578125" style="157"/>
    <col min="16129" max="16129" width="7.28515625" style="157" customWidth="1"/>
    <col min="16130" max="16130" width="21.85546875" style="157" customWidth="1"/>
    <col min="16131" max="16131" width="12.7109375" style="157" customWidth="1"/>
    <col min="16132" max="16132" width="10.7109375" style="157" customWidth="1"/>
    <col min="16133" max="16133" width="12" style="157" customWidth="1"/>
    <col min="16134" max="16134" width="13.28515625" style="157" customWidth="1"/>
    <col min="16135" max="16135" width="12.7109375" style="157" customWidth="1"/>
    <col min="16136" max="16136" width="10.85546875" style="157" customWidth="1"/>
    <col min="16137" max="16138" width="12.42578125" style="157" customWidth="1"/>
    <col min="16139" max="16139" width="12.5703125" style="157" customWidth="1"/>
    <col min="16140" max="16140" width="9.85546875" style="157" customWidth="1"/>
    <col min="16141" max="16141" width="11.7109375" style="157" customWidth="1"/>
    <col min="16142" max="16142" width="12.42578125" style="157" customWidth="1"/>
    <col min="16143" max="16143" width="13.140625" style="157" customWidth="1"/>
    <col min="16144" max="16144" width="16.5703125" style="157" customWidth="1"/>
    <col min="16145" max="16145" width="14.5703125" style="157" customWidth="1"/>
    <col min="16146" max="16146" width="11.42578125" style="157"/>
    <col min="16147" max="16147" width="12.7109375" style="157" customWidth="1"/>
    <col min="16148" max="16384" width="11.42578125" style="157"/>
  </cols>
  <sheetData>
    <row r="2" spans="1:22" ht="20.25" x14ac:dyDescent="0.3">
      <c r="B2" s="158"/>
      <c r="C2" s="158"/>
      <c r="D2" s="158"/>
    </row>
    <row r="4" spans="1:22" ht="20.25" x14ac:dyDescent="0.3">
      <c r="A4" s="158" t="s">
        <v>145</v>
      </c>
      <c r="D4" s="159"/>
      <c r="E4" s="160"/>
      <c r="F4" s="160"/>
      <c r="G4" s="160"/>
      <c r="H4" s="160"/>
      <c r="I4" s="160"/>
      <c r="J4" s="160"/>
      <c r="K4" s="161"/>
      <c r="L4" s="161"/>
      <c r="M4" s="161"/>
      <c r="N4" s="161"/>
      <c r="O4" s="161"/>
    </row>
    <row r="5" spans="1:22" x14ac:dyDescent="0.2">
      <c r="O5" s="162"/>
    </row>
    <row r="6" spans="1:22" ht="13.5" thickBot="1" x14ac:dyDescent="0.25">
      <c r="Q6" s="163"/>
    </row>
    <row r="7" spans="1:22" x14ac:dyDescent="0.2">
      <c r="B7" s="1473" t="s">
        <v>132</v>
      </c>
      <c r="C7" s="164"/>
      <c r="D7" s="1351" t="s">
        <v>146</v>
      </c>
      <c r="E7" s="1352"/>
      <c r="F7" s="1352"/>
      <c r="G7" s="1353"/>
      <c r="H7" s="1354" t="s">
        <v>147</v>
      </c>
      <c r="I7" s="1352"/>
      <c r="J7" s="1352"/>
      <c r="K7" s="1353"/>
      <c r="L7" s="1354" t="s">
        <v>148</v>
      </c>
      <c r="M7" s="1352"/>
      <c r="N7" s="1352"/>
      <c r="O7" s="1355"/>
      <c r="P7" s="1356" t="s">
        <v>149</v>
      </c>
      <c r="Q7" s="165"/>
    </row>
    <row r="8" spans="1:22" ht="12.75" customHeight="1" x14ac:dyDescent="0.2">
      <c r="B8" s="1474"/>
      <c r="C8" s="166" t="s">
        <v>150</v>
      </c>
      <c r="D8" s="167" t="s">
        <v>151</v>
      </c>
      <c r="E8" s="168" t="s">
        <v>152</v>
      </c>
      <c r="F8" s="169" t="s">
        <v>153</v>
      </c>
      <c r="G8" s="170" t="s">
        <v>154</v>
      </c>
      <c r="H8" s="171" t="s">
        <v>151</v>
      </c>
      <c r="I8" s="172" t="s">
        <v>152</v>
      </c>
      <c r="J8" s="173" t="s">
        <v>153</v>
      </c>
      <c r="K8" s="172" t="s">
        <v>154</v>
      </c>
      <c r="L8" s="171" t="s">
        <v>151</v>
      </c>
      <c r="M8" s="174" t="s">
        <v>152</v>
      </c>
      <c r="N8" s="173" t="s">
        <v>153</v>
      </c>
      <c r="O8" s="175" t="s">
        <v>154</v>
      </c>
      <c r="P8" s="1357"/>
      <c r="Q8" s="176"/>
      <c r="R8" s="163"/>
    </row>
    <row r="9" spans="1:22" x14ac:dyDescent="0.2">
      <c r="B9" s="177"/>
      <c r="C9" s="178" t="s">
        <v>151</v>
      </c>
      <c r="D9" s="179"/>
      <c r="E9" s="180"/>
      <c r="F9" s="181"/>
      <c r="G9" s="182"/>
      <c r="H9" s="183"/>
      <c r="I9" s="184"/>
      <c r="J9" s="185"/>
      <c r="K9" s="184"/>
      <c r="L9" s="186"/>
      <c r="M9" s="187"/>
      <c r="N9" s="185"/>
      <c r="O9" s="188"/>
      <c r="P9" s="1358"/>
      <c r="Q9" s="176"/>
      <c r="R9" s="163"/>
      <c r="S9" s="189" t="s">
        <v>151</v>
      </c>
      <c r="T9" s="190" t="s">
        <v>155</v>
      </c>
      <c r="U9" s="157" t="s">
        <v>156</v>
      </c>
    </row>
    <row r="10" spans="1:22" x14ac:dyDescent="0.2">
      <c r="B10" s="191"/>
      <c r="C10" s="192"/>
      <c r="D10" s="193"/>
      <c r="E10" s="194"/>
      <c r="F10" s="195"/>
      <c r="G10" s="196"/>
      <c r="H10" s="197"/>
      <c r="I10" s="194"/>
      <c r="J10" s="195"/>
      <c r="K10" s="194"/>
      <c r="L10" s="197"/>
      <c r="M10" s="198"/>
      <c r="N10" s="195"/>
      <c r="O10" s="199"/>
      <c r="P10" s="200"/>
      <c r="Q10" s="176"/>
      <c r="R10" s="163"/>
      <c r="S10" s="189"/>
    </row>
    <row r="11" spans="1:22" x14ac:dyDescent="0.2">
      <c r="B11" s="1463">
        <v>1995</v>
      </c>
      <c r="C11" s="1464">
        <f>+D11+P11</f>
        <v>295.166629</v>
      </c>
      <c r="D11" s="1465">
        <f>E11+F11+G11</f>
        <v>220.87862900000002</v>
      </c>
      <c r="E11" s="1466">
        <f t="shared" ref="E11:G26" si="0">+I11+M11</f>
        <v>46.066738999999991</v>
      </c>
      <c r="F11" s="1467">
        <f t="shared" si="0"/>
        <v>11.412649999999999</v>
      </c>
      <c r="G11" s="1468">
        <f t="shared" si="0"/>
        <v>163.39924000000002</v>
      </c>
      <c r="H11" s="1469">
        <f>+I11+J11+K11</f>
        <v>154.712999</v>
      </c>
      <c r="I11" s="1466">
        <v>38.418108999999994</v>
      </c>
      <c r="J11" s="1467">
        <v>11.412649999999999</v>
      </c>
      <c r="K11" s="1466">
        <v>104.88224000000001</v>
      </c>
      <c r="L11" s="1469">
        <f>+M11+N11+O11</f>
        <v>66.165630000000007</v>
      </c>
      <c r="M11" s="1470">
        <v>7.6486299999999998</v>
      </c>
      <c r="N11" s="1467"/>
      <c r="O11" s="1471">
        <v>58.517000000000003</v>
      </c>
      <c r="P11" s="1472">
        <v>74.287999999999997</v>
      </c>
      <c r="Q11" s="201"/>
      <c r="R11" s="157">
        <v>1995</v>
      </c>
      <c r="S11" s="202">
        <f>D11</f>
        <v>220.87862900000002</v>
      </c>
      <c r="T11" s="203">
        <f>H11</f>
        <v>154.712999</v>
      </c>
      <c r="U11" s="203">
        <f>L11</f>
        <v>66.165630000000007</v>
      </c>
      <c r="V11" s="203"/>
    </row>
    <row r="12" spans="1:22" x14ac:dyDescent="0.2">
      <c r="B12" s="204">
        <v>1996</v>
      </c>
      <c r="C12" s="205">
        <f>+D12+P12</f>
        <v>508.84737699999999</v>
      </c>
      <c r="D12" s="206">
        <f>+E12+F12+G12</f>
        <v>372.89737700000001</v>
      </c>
      <c r="E12" s="207">
        <f t="shared" si="0"/>
        <v>163.01889699999998</v>
      </c>
      <c r="F12" s="208">
        <f t="shared" si="0"/>
        <v>16.600999999999999</v>
      </c>
      <c r="G12" s="209">
        <f t="shared" si="0"/>
        <v>193.27748000000003</v>
      </c>
      <c r="H12" s="210">
        <f>+I12+J12+K12</f>
        <v>176.97620699999999</v>
      </c>
      <c r="I12" s="207">
        <v>65.267436999999987</v>
      </c>
      <c r="J12" s="208">
        <v>16.600999999999999</v>
      </c>
      <c r="K12" s="207">
        <v>95.107770000000002</v>
      </c>
      <c r="L12" s="210">
        <f>+M12+N12+O12</f>
        <v>195.92117000000002</v>
      </c>
      <c r="M12" s="211">
        <v>97.751460000000009</v>
      </c>
      <c r="N12" s="208"/>
      <c r="O12" s="212">
        <v>98.169710000000009</v>
      </c>
      <c r="P12" s="200">
        <v>135.94999999999999</v>
      </c>
      <c r="Q12" s="201"/>
      <c r="R12" s="157">
        <v>1996</v>
      </c>
      <c r="S12" s="202">
        <f t="shared" ref="S12:S31" si="1">D12</f>
        <v>372.89737700000001</v>
      </c>
      <c r="T12" s="203">
        <f t="shared" ref="T12:T31" si="2">H12</f>
        <v>176.97620699999999</v>
      </c>
      <c r="U12" s="203">
        <f t="shared" ref="U12:U31" si="3">L12</f>
        <v>195.92117000000002</v>
      </c>
      <c r="V12" s="203"/>
    </row>
    <row r="13" spans="1:22" x14ac:dyDescent="0.2">
      <c r="B13" s="1463">
        <v>1997</v>
      </c>
      <c r="C13" s="1464">
        <f t="shared" ref="C13:C20" si="4">+D13+P13</f>
        <v>594.18388100000004</v>
      </c>
      <c r="D13" s="1465">
        <f t="shared" ref="D13:D27" si="5">+E13+F13+G13</f>
        <v>547.62588100000005</v>
      </c>
      <c r="E13" s="1466">
        <f t="shared" si="0"/>
        <v>343.44413100000003</v>
      </c>
      <c r="F13" s="1467">
        <f t="shared" si="0"/>
        <v>32.720779999999998</v>
      </c>
      <c r="G13" s="1468">
        <f t="shared" si="0"/>
        <v>171.46097</v>
      </c>
      <c r="H13" s="1469">
        <f t="shared" ref="H13:H27" si="6">+I13+J13+K13</f>
        <v>207.88996599999999</v>
      </c>
      <c r="I13" s="1466">
        <v>103.23717600000001</v>
      </c>
      <c r="J13" s="1467">
        <v>32.720779999999998</v>
      </c>
      <c r="K13" s="1466">
        <v>71.932009999999991</v>
      </c>
      <c r="L13" s="1469">
        <f t="shared" ref="L13:L27" si="7">+M13+N13+O13</f>
        <v>339.73591500000003</v>
      </c>
      <c r="M13" s="1470">
        <v>240.20695500000002</v>
      </c>
      <c r="N13" s="1467"/>
      <c r="O13" s="1471">
        <v>99.528960000000012</v>
      </c>
      <c r="P13" s="1472">
        <v>46.558</v>
      </c>
      <c r="Q13" s="213"/>
      <c r="R13" s="157">
        <v>1997</v>
      </c>
      <c r="S13" s="202">
        <f t="shared" si="1"/>
        <v>547.62588100000005</v>
      </c>
      <c r="T13" s="203">
        <f t="shared" si="2"/>
        <v>207.88996599999999</v>
      </c>
      <c r="U13" s="203">
        <f t="shared" si="3"/>
        <v>339.73591500000003</v>
      </c>
      <c r="V13" s="203"/>
    </row>
    <row r="14" spans="1:22" x14ac:dyDescent="0.2">
      <c r="B14" s="204">
        <v>1998</v>
      </c>
      <c r="C14" s="205">
        <f t="shared" si="4"/>
        <v>612.99943099999996</v>
      </c>
      <c r="D14" s="206">
        <f t="shared" si="5"/>
        <v>561.51143100000002</v>
      </c>
      <c r="E14" s="207">
        <f t="shared" si="0"/>
        <v>365.36324100000002</v>
      </c>
      <c r="F14" s="208">
        <f t="shared" si="0"/>
        <v>59.643269999999994</v>
      </c>
      <c r="G14" s="209">
        <f t="shared" si="0"/>
        <v>136.50492</v>
      </c>
      <c r="H14" s="210">
        <f t="shared" si="6"/>
        <v>202.79134299999998</v>
      </c>
      <c r="I14" s="207">
        <v>114.539113</v>
      </c>
      <c r="J14" s="208">
        <v>46.155269999999994</v>
      </c>
      <c r="K14" s="207">
        <v>42.096959999999996</v>
      </c>
      <c r="L14" s="210">
        <f t="shared" si="7"/>
        <v>358.72008800000003</v>
      </c>
      <c r="M14" s="211">
        <v>250.824128</v>
      </c>
      <c r="N14" s="208">
        <v>13.488</v>
      </c>
      <c r="O14" s="212">
        <v>94.407960000000003</v>
      </c>
      <c r="P14" s="200">
        <v>51.488</v>
      </c>
      <c r="Q14" s="213"/>
      <c r="R14" s="157">
        <v>1998</v>
      </c>
      <c r="S14" s="202">
        <f t="shared" si="1"/>
        <v>561.51143100000002</v>
      </c>
      <c r="T14" s="203">
        <f t="shared" si="2"/>
        <v>202.79134299999998</v>
      </c>
      <c r="U14" s="203">
        <f t="shared" si="3"/>
        <v>358.72008800000003</v>
      </c>
      <c r="V14" s="203"/>
    </row>
    <row r="15" spans="1:22" x14ac:dyDescent="0.2">
      <c r="B15" s="1463">
        <v>1999</v>
      </c>
      <c r="C15" s="1464">
        <f t="shared" si="4"/>
        <v>764.17922801183431</v>
      </c>
      <c r="D15" s="1465">
        <f t="shared" si="5"/>
        <v>709.53922801183433</v>
      </c>
      <c r="E15" s="1466">
        <f t="shared" si="0"/>
        <v>417.232328</v>
      </c>
      <c r="F15" s="1467">
        <f t="shared" si="0"/>
        <v>170.80662000000001</v>
      </c>
      <c r="G15" s="1468">
        <f t="shared" si="0"/>
        <v>121.50028001183432</v>
      </c>
      <c r="H15" s="1469">
        <f t="shared" si="6"/>
        <v>201.72455901183432</v>
      </c>
      <c r="I15" s="1466">
        <v>136.331909</v>
      </c>
      <c r="J15" s="1467">
        <v>31.317900000000002</v>
      </c>
      <c r="K15" s="1466">
        <v>34.074750011834318</v>
      </c>
      <c r="L15" s="1469">
        <f t="shared" si="7"/>
        <v>507.81466899999998</v>
      </c>
      <c r="M15" s="1470">
        <v>280.900419</v>
      </c>
      <c r="N15" s="1467">
        <v>139.48872</v>
      </c>
      <c r="O15" s="1471">
        <v>87.425529999999995</v>
      </c>
      <c r="P15" s="1472">
        <v>54.64</v>
      </c>
      <c r="Q15" s="213"/>
      <c r="R15" s="157">
        <v>1999</v>
      </c>
      <c r="S15" s="202">
        <f t="shared" si="1"/>
        <v>709.53922801183433</v>
      </c>
      <c r="T15" s="203">
        <f t="shared" si="2"/>
        <v>201.72455901183432</v>
      </c>
      <c r="U15" s="203">
        <f t="shared" si="3"/>
        <v>507.81466899999998</v>
      </c>
      <c r="V15" s="203"/>
    </row>
    <row r="16" spans="1:22" x14ac:dyDescent="0.2">
      <c r="B16" s="204">
        <v>2000</v>
      </c>
      <c r="C16" s="205">
        <f t="shared" si="4"/>
        <v>659.21399999999994</v>
      </c>
      <c r="D16" s="206">
        <f t="shared" si="5"/>
        <v>605.803</v>
      </c>
      <c r="E16" s="207">
        <f t="shared" si="0"/>
        <v>337.65800000000002</v>
      </c>
      <c r="F16" s="208">
        <f t="shared" si="0"/>
        <v>128.93899999999999</v>
      </c>
      <c r="G16" s="209">
        <f t="shared" si="0"/>
        <v>139.20599999999999</v>
      </c>
      <c r="H16" s="210">
        <f t="shared" si="6"/>
        <v>165.994</v>
      </c>
      <c r="I16" s="207">
        <v>123.21599999999999</v>
      </c>
      <c r="J16" s="208">
        <v>26.69</v>
      </c>
      <c r="K16" s="207">
        <v>16.088000000000001</v>
      </c>
      <c r="L16" s="210">
        <f t="shared" si="7"/>
        <v>439.80900000000003</v>
      </c>
      <c r="M16" s="211">
        <v>214.44200000000001</v>
      </c>
      <c r="N16" s="214">
        <v>102.249</v>
      </c>
      <c r="O16" s="212">
        <v>123.11799999999999</v>
      </c>
      <c r="P16" s="200">
        <v>53.411000000000001</v>
      </c>
      <c r="Q16" s="213"/>
      <c r="R16" s="157">
        <v>2000</v>
      </c>
      <c r="S16" s="202">
        <f t="shared" si="1"/>
        <v>605.803</v>
      </c>
      <c r="T16" s="203">
        <f t="shared" si="2"/>
        <v>165.994</v>
      </c>
      <c r="U16" s="203">
        <f t="shared" si="3"/>
        <v>439.80900000000003</v>
      </c>
      <c r="V16" s="203"/>
    </row>
    <row r="17" spans="2:22" x14ac:dyDescent="0.2">
      <c r="B17" s="1463" t="s">
        <v>157</v>
      </c>
      <c r="C17" s="1464">
        <f t="shared" si="4"/>
        <v>351.06397000000004</v>
      </c>
      <c r="D17" s="1465">
        <f t="shared" si="5"/>
        <v>305.89697000000001</v>
      </c>
      <c r="E17" s="1466">
        <f t="shared" si="0"/>
        <v>109.77217999999999</v>
      </c>
      <c r="F17" s="1467">
        <f t="shared" si="0"/>
        <v>61.743000000000002</v>
      </c>
      <c r="G17" s="1468">
        <f t="shared" si="0"/>
        <v>134.38179</v>
      </c>
      <c r="H17" s="1469">
        <f t="shared" si="6"/>
        <v>95.058679999999995</v>
      </c>
      <c r="I17" s="1466">
        <v>76.277079999999998</v>
      </c>
      <c r="J17" s="1467">
        <v>3.1160000000000001</v>
      </c>
      <c r="K17" s="1466">
        <v>15.6656</v>
      </c>
      <c r="L17" s="1469">
        <f t="shared" si="7"/>
        <v>210.83829</v>
      </c>
      <c r="M17" s="1470">
        <v>33.495100000000001</v>
      </c>
      <c r="N17" s="1467">
        <v>58.627000000000002</v>
      </c>
      <c r="O17" s="1471">
        <v>118.71619</v>
      </c>
      <c r="P17" s="1472">
        <v>45.167000000000002</v>
      </c>
      <c r="Q17" s="213"/>
      <c r="R17" s="157">
        <v>2001</v>
      </c>
      <c r="S17" s="202">
        <f t="shared" si="1"/>
        <v>305.89697000000001</v>
      </c>
      <c r="T17" s="203">
        <f t="shared" si="2"/>
        <v>95.058679999999995</v>
      </c>
      <c r="U17" s="203">
        <f t="shared" si="3"/>
        <v>210.83829</v>
      </c>
      <c r="V17" s="203"/>
    </row>
    <row r="18" spans="2:22" x14ac:dyDescent="0.2">
      <c r="B18" s="204">
        <v>2002</v>
      </c>
      <c r="C18" s="205">
        <f t="shared" si="4"/>
        <v>259.529</v>
      </c>
      <c r="D18" s="206">
        <f t="shared" si="5"/>
        <v>242.19900000000001</v>
      </c>
      <c r="E18" s="207">
        <f t="shared" si="0"/>
        <v>107.84</v>
      </c>
      <c r="F18" s="208">
        <f t="shared" si="0"/>
        <v>37.657000000000004</v>
      </c>
      <c r="G18" s="209">
        <f t="shared" si="0"/>
        <v>96.701999999999998</v>
      </c>
      <c r="H18" s="210">
        <f t="shared" si="6"/>
        <v>109.85599999999999</v>
      </c>
      <c r="I18" s="207">
        <v>77.798000000000002</v>
      </c>
      <c r="J18" s="208">
        <v>0.377</v>
      </c>
      <c r="K18" s="207">
        <v>31.681000000000001</v>
      </c>
      <c r="L18" s="210">
        <f t="shared" si="7"/>
        <v>132.34300000000002</v>
      </c>
      <c r="M18" s="211">
        <v>30.042000000000002</v>
      </c>
      <c r="N18" s="214">
        <v>37.28</v>
      </c>
      <c r="O18" s="212">
        <v>65.021000000000001</v>
      </c>
      <c r="P18" s="200">
        <v>17.329999999999998</v>
      </c>
      <c r="Q18" s="215"/>
      <c r="R18" s="157">
        <v>2002</v>
      </c>
      <c r="S18" s="202">
        <f t="shared" si="1"/>
        <v>242.19900000000001</v>
      </c>
      <c r="T18" s="203">
        <f t="shared" si="2"/>
        <v>109.85599999999999</v>
      </c>
      <c r="U18" s="203">
        <f t="shared" si="3"/>
        <v>132.34300000000002</v>
      </c>
      <c r="V18" s="203"/>
    </row>
    <row r="19" spans="2:22" x14ac:dyDescent="0.2">
      <c r="B19" s="1463">
        <v>2003</v>
      </c>
      <c r="C19" s="1464">
        <f>+D19+P19</f>
        <v>235.38499999999999</v>
      </c>
      <c r="D19" s="1465">
        <f>+E19+F19+G19</f>
        <v>191.95699999999999</v>
      </c>
      <c r="E19" s="1466">
        <f>+I19+M19</f>
        <v>87.165000000000006</v>
      </c>
      <c r="F19" s="1467">
        <f>+J19+N19</f>
        <v>12.826000000000001</v>
      </c>
      <c r="G19" s="1468">
        <f>+K19+O19</f>
        <v>91.965999999999994</v>
      </c>
      <c r="H19" s="1469">
        <f>+I19+J19+K19</f>
        <v>110.83199999999999</v>
      </c>
      <c r="I19" s="1466">
        <v>67.105000000000004</v>
      </c>
      <c r="J19" s="1467"/>
      <c r="K19" s="1466">
        <v>43.726999999999997</v>
      </c>
      <c r="L19" s="1469">
        <f>+M19+N19+O19</f>
        <v>81.125</v>
      </c>
      <c r="M19" s="1470">
        <v>20.059999999999999</v>
      </c>
      <c r="N19" s="1467">
        <v>12.826000000000001</v>
      </c>
      <c r="O19" s="1471">
        <v>48.238999999999997</v>
      </c>
      <c r="P19" s="1472">
        <v>43.427999999999997</v>
      </c>
      <c r="R19" s="157">
        <v>2003</v>
      </c>
      <c r="S19" s="202">
        <f t="shared" si="1"/>
        <v>191.95699999999999</v>
      </c>
      <c r="T19" s="203">
        <f t="shared" si="2"/>
        <v>110.83199999999999</v>
      </c>
      <c r="U19" s="203">
        <f t="shared" si="3"/>
        <v>81.125</v>
      </c>
      <c r="V19" s="203"/>
    </row>
    <row r="20" spans="2:22" x14ac:dyDescent="0.2">
      <c r="B20" s="204">
        <v>2004</v>
      </c>
      <c r="C20" s="205">
        <f t="shared" si="4"/>
        <v>323.77300000000002</v>
      </c>
      <c r="D20" s="206">
        <f t="shared" si="5"/>
        <v>284.69500000000005</v>
      </c>
      <c r="E20" s="207">
        <f t="shared" si="0"/>
        <v>159.566</v>
      </c>
      <c r="F20" s="208">
        <f t="shared" si="0"/>
        <v>24.366</v>
      </c>
      <c r="G20" s="207">
        <f t="shared" si="0"/>
        <v>100.76300000000001</v>
      </c>
      <c r="H20" s="210">
        <f t="shared" si="6"/>
        <v>116.143</v>
      </c>
      <c r="I20" s="207">
        <v>67.001000000000005</v>
      </c>
      <c r="J20" s="208"/>
      <c r="K20" s="207">
        <v>49.142000000000003</v>
      </c>
      <c r="L20" s="210">
        <f t="shared" si="7"/>
        <v>168.55199999999999</v>
      </c>
      <c r="M20" s="207">
        <v>92.564999999999998</v>
      </c>
      <c r="N20" s="214">
        <v>24.366</v>
      </c>
      <c r="O20" s="212">
        <v>51.621000000000002</v>
      </c>
      <c r="P20" s="200">
        <v>39.078000000000003</v>
      </c>
      <c r="R20" s="157">
        <v>2004</v>
      </c>
      <c r="S20" s="202">
        <f t="shared" si="1"/>
        <v>284.69500000000005</v>
      </c>
      <c r="T20" s="203">
        <f t="shared" si="2"/>
        <v>116.143</v>
      </c>
      <c r="U20" s="203">
        <f t="shared" si="3"/>
        <v>168.55199999999999</v>
      </c>
      <c r="V20" s="203"/>
    </row>
    <row r="21" spans="2:22" x14ac:dyDescent="0.2">
      <c r="B21" s="1463">
        <v>2005</v>
      </c>
      <c r="C21" s="1464">
        <f>+D21+P21</f>
        <v>393.73589000000004</v>
      </c>
      <c r="D21" s="1465">
        <f t="shared" si="5"/>
        <v>348.49189000000001</v>
      </c>
      <c r="E21" s="1466">
        <f t="shared" si="0"/>
        <v>193.49135000000001</v>
      </c>
      <c r="F21" s="1467">
        <f t="shared" si="0"/>
        <v>20.633900000000001</v>
      </c>
      <c r="G21" s="1466">
        <f t="shared" si="0"/>
        <v>134.36663999999999</v>
      </c>
      <c r="H21" s="1469">
        <f t="shared" si="6"/>
        <v>117.43026999999999</v>
      </c>
      <c r="I21" s="1466">
        <v>53.766709999999996</v>
      </c>
      <c r="J21" s="1467"/>
      <c r="K21" s="1466">
        <v>63.663559999999997</v>
      </c>
      <c r="L21" s="1469">
        <f t="shared" si="7"/>
        <v>231.06162000000003</v>
      </c>
      <c r="M21" s="1466">
        <v>139.72464000000002</v>
      </c>
      <c r="N21" s="1475">
        <v>20.633900000000001</v>
      </c>
      <c r="O21" s="1471">
        <v>70.70308</v>
      </c>
      <c r="P21" s="1472">
        <v>45.244</v>
      </c>
      <c r="R21" s="157">
        <v>2005</v>
      </c>
      <c r="S21" s="202">
        <f t="shared" si="1"/>
        <v>348.49189000000001</v>
      </c>
      <c r="T21" s="203">
        <f t="shared" si="2"/>
        <v>117.43026999999999</v>
      </c>
      <c r="U21" s="203">
        <f t="shared" si="3"/>
        <v>231.06162000000003</v>
      </c>
      <c r="V21" s="203"/>
    </row>
    <row r="22" spans="2:22" x14ac:dyDescent="0.2">
      <c r="B22" s="204">
        <v>2006</v>
      </c>
      <c r="C22" s="205">
        <f>+D22+P22</f>
        <v>480.15700000000004</v>
      </c>
      <c r="D22" s="206">
        <f t="shared" si="5"/>
        <v>446.20400000000001</v>
      </c>
      <c r="E22" s="207">
        <f t="shared" si="0"/>
        <v>289.57499999999999</v>
      </c>
      <c r="F22" s="208">
        <f t="shared" si="0"/>
        <v>16.542999999999999</v>
      </c>
      <c r="G22" s="207">
        <f t="shared" si="0"/>
        <v>140.08600000000001</v>
      </c>
      <c r="H22" s="210">
        <f t="shared" si="6"/>
        <v>95.745000000000005</v>
      </c>
      <c r="I22" s="207">
        <v>29.198</v>
      </c>
      <c r="J22" s="208"/>
      <c r="K22" s="207">
        <v>66.546999999999997</v>
      </c>
      <c r="L22" s="210">
        <f t="shared" si="7"/>
        <v>350.459</v>
      </c>
      <c r="M22" s="207">
        <v>260.37700000000001</v>
      </c>
      <c r="N22" s="214">
        <v>16.542999999999999</v>
      </c>
      <c r="O22" s="212">
        <v>73.539000000000001</v>
      </c>
      <c r="P22" s="200">
        <v>33.953000000000003</v>
      </c>
      <c r="R22" s="216">
        <v>2006</v>
      </c>
      <c r="S22" s="202">
        <f t="shared" si="1"/>
        <v>446.20400000000001</v>
      </c>
      <c r="T22" s="203">
        <f t="shared" si="2"/>
        <v>95.745000000000005</v>
      </c>
      <c r="U22" s="203">
        <f t="shared" si="3"/>
        <v>350.459</v>
      </c>
      <c r="V22" s="203"/>
    </row>
    <row r="23" spans="2:22" x14ac:dyDescent="0.2">
      <c r="B23" s="1463">
        <v>2007</v>
      </c>
      <c r="C23" s="1464">
        <f>+D23+P23</f>
        <v>629.00013000000001</v>
      </c>
      <c r="D23" s="1465">
        <f t="shared" si="5"/>
        <v>539.07312999999999</v>
      </c>
      <c r="E23" s="1466">
        <f t="shared" si="0"/>
        <v>318.03030000000001</v>
      </c>
      <c r="F23" s="1467">
        <f t="shared" si="0"/>
        <v>69.635899999999992</v>
      </c>
      <c r="G23" s="1466">
        <f t="shared" si="0"/>
        <v>151.40692999999999</v>
      </c>
      <c r="H23" s="1469">
        <f t="shared" si="6"/>
        <v>139.72556</v>
      </c>
      <c r="I23" s="1466">
        <v>73.499299999999991</v>
      </c>
      <c r="J23" s="1467"/>
      <c r="K23" s="1466">
        <v>66.226260000000011</v>
      </c>
      <c r="L23" s="1469">
        <f t="shared" si="7"/>
        <v>399.34757000000002</v>
      </c>
      <c r="M23" s="1466">
        <v>244.53100000000001</v>
      </c>
      <c r="N23" s="1475">
        <v>69.635899999999992</v>
      </c>
      <c r="O23" s="1471">
        <v>85.180669999999992</v>
      </c>
      <c r="P23" s="1472">
        <v>89.927000000000007</v>
      </c>
      <c r="R23" s="216">
        <v>2007</v>
      </c>
      <c r="S23" s="202">
        <f t="shared" si="1"/>
        <v>539.07312999999999</v>
      </c>
      <c r="T23" s="203">
        <f t="shared" si="2"/>
        <v>139.72556</v>
      </c>
      <c r="U23" s="203">
        <f t="shared" si="3"/>
        <v>399.34757000000002</v>
      </c>
      <c r="V23" s="203"/>
    </row>
    <row r="24" spans="2:22" x14ac:dyDescent="0.2">
      <c r="B24" s="204">
        <v>2008</v>
      </c>
      <c r="C24" s="205">
        <f t="shared" ref="C24:C30" si="8">D24+P24</f>
        <v>862.00699999999995</v>
      </c>
      <c r="D24" s="206">
        <f t="shared" si="5"/>
        <v>762.52</v>
      </c>
      <c r="E24" s="207">
        <f t="shared" si="0"/>
        <v>483.51</v>
      </c>
      <c r="F24" s="208">
        <f t="shared" si="0"/>
        <v>43.1</v>
      </c>
      <c r="G24" s="207">
        <f t="shared" si="0"/>
        <v>235.91</v>
      </c>
      <c r="H24" s="210">
        <f t="shared" si="6"/>
        <v>128.88</v>
      </c>
      <c r="I24" s="207">
        <v>26.5</v>
      </c>
      <c r="J24" s="208"/>
      <c r="K24" s="207">
        <v>102.38</v>
      </c>
      <c r="L24" s="210">
        <f t="shared" si="7"/>
        <v>633.64</v>
      </c>
      <c r="M24" s="207">
        <v>457.01</v>
      </c>
      <c r="N24" s="214">
        <v>43.1</v>
      </c>
      <c r="O24" s="212">
        <v>133.53</v>
      </c>
      <c r="P24" s="200">
        <v>99.486999999999995</v>
      </c>
      <c r="R24" s="216">
        <v>2008</v>
      </c>
      <c r="S24" s="202">
        <f t="shared" si="1"/>
        <v>762.52</v>
      </c>
      <c r="T24" s="203">
        <f t="shared" si="2"/>
        <v>128.88</v>
      </c>
      <c r="U24" s="203">
        <f t="shared" si="3"/>
        <v>633.64</v>
      </c>
      <c r="V24" s="203"/>
    </row>
    <row r="25" spans="2:22" x14ac:dyDescent="0.2">
      <c r="B25" s="1476">
        <v>2009</v>
      </c>
      <c r="C25" s="1464">
        <f t="shared" si="8"/>
        <v>1176.8417200000001</v>
      </c>
      <c r="D25" s="1465">
        <f t="shared" si="5"/>
        <v>992.11972000000003</v>
      </c>
      <c r="E25" s="1466">
        <f t="shared" si="0"/>
        <v>448.38329999999996</v>
      </c>
      <c r="F25" s="1467">
        <f t="shared" si="0"/>
        <v>254.363</v>
      </c>
      <c r="G25" s="1466">
        <f t="shared" si="0"/>
        <v>289.37342000000001</v>
      </c>
      <c r="H25" s="1469">
        <f t="shared" si="6"/>
        <v>250.28899999999999</v>
      </c>
      <c r="I25" s="1477">
        <v>88.849000000000004</v>
      </c>
      <c r="J25" s="1478"/>
      <c r="K25" s="1477">
        <v>161.44</v>
      </c>
      <c r="L25" s="1469">
        <f t="shared" si="7"/>
        <v>741.83071999999993</v>
      </c>
      <c r="M25" s="1477">
        <v>359.53429999999997</v>
      </c>
      <c r="N25" s="1479">
        <v>254.363</v>
      </c>
      <c r="O25" s="1480">
        <v>127.93342</v>
      </c>
      <c r="P25" s="1472">
        <v>184.72200000000001</v>
      </c>
      <c r="R25" s="216">
        <v>2009</v>
      </c>
      <c r="S25" s="202">
        <f t="shared" si="1"/>
        <v>992.11972000000003</v>
      </c>
      <c r="T25" s="203">
        <f t="shared" si="2"/>
        <v>250.28899999999999</v>
      </c>
      <c r="U25" s="203">
        <f t="shared" si="3"/>
        <v>741.83071999999993</v>
      </c>
      <c r="V25" s="203"/>
    </row>
    <row r="26" spans="2:22" x14ac:dyDescent="0.2">
      <c r="B26" s="204">
        <v>2010</v>
      </c>
      <c r="C26" s="205">
        <f t="shared" si="8"/>
        <v>1367.7377822261485</v>
      </c>
      <c r="D26" s="206">
        <f t="shared" si="5"/>
        <v>1144.3617822261485</v>
      </c>
      <c r="E26" s="207">
        <f t="shared" si="0"/>
        <v>558.63338222614846</v>
      </c>
      <c r="F26" s="208">
        <f t="shared" si="0"/>
        <v>332.55720000000002</v>
      </c>
      <c r="G26" s="207">
        <f t="shared" si="0"/>
        <v>253.1712</v>
      </c>
      <c r="H26" s="210">
        <f t="shared" si="6"/>
        <v>165.61058222614841</v>
      </c>
      <c r="I26" s="207">
        <v>25.113882226148409</v>
      </c>
      <c r="J26" s="208"/>
      <c r="K26" s="207">
        <v>140.4967</v>
      </c>
      <c r="L26" s="210">
        <f t="shared" si="7"/>
        <v>978.75120000000004</v>
      </c>
      <c r="M26" s="207">
        <v>533.51949999999999</v>
      </c>
      <c r="N26" s="214">
        <v>332.55720000000002</v>
      </c>
      <c r="O26" s="212">
        <v>112.67449999999999</v>
      </c>
      <c r="P26" s="200">
        <v>223.376</v>
      </c>
      <c r="R26" s="216">
        <v>2010</v>
      </c>
      <c r="S26" s="202">
        <f t="shared" si="1"/>
        <v>1144.3617822261485</v>
      </c>
      <c r="T26" s="203">
        <f t="shared" si="2"/>
        <v>165.61058222614841</v>
      </c>
      <c r="U26" s="203">
        <f t="shared" si="3"/>
        <v>978.75120000000004</v>
      </c>
      <c r="V26" s="203"/>
    </row>
    <row r="27" spans="2:22" s="217" customFormat="1" x14ac:dyDescent="0.2">
      <c r="B27" s="1476">
        <v>2011</v>
      </c>
      <c r="C27" s="1464">
        <f t="shared" si="8"/>
        <v>1880</v>
      </c>
      <c r="D27" s="1465">
        <f t="shared" si="5"/>
        <v>1748.7</v>
      </c>
      <c r="E27" s="1466">
        <f t="shared" ref="E27:G30" si="9">+I27+M27</f>
        <v>1240.8</v>
      </c>
      <c r="F27" s="1467">
        <f t="shared" si="9"/>
        <v>278.5</v>
      </c>
      <c r="G27" s="1466">
        <f t="shared" si="9"/>
        <v>229.4</v>
      </c>
      <c r="H27" s="1469">
        <f t="shared" si="6"/>
        <v>107</v>
      </c>
      <c r="I27" s="1477">
        <v>28.6</v>
      </c>
      <c r="J27" s="1478"/>
      <c r="K27" s="1477">
        <v>78.400000000000006</v>
      </c>
      <c r="L27" s="1469">
        <f t="shared" si="7"/>
        <v>1641.7</v>
      </c>
      <c r="M27" s="1477">
        <v>1212.2</v>
      </c>
      <c r="N27" s="1479">
        <v>278.5</v>
      </c>
      <c r="O27" s="1480">
        <v>151</v>
      </c>
      <c r="P27" s="1472">
        <v>131.30000000000001</v>
      </c>
      <c r="R27" s="216">
        <v>2011</v>
      </c>
      <c r="S27" s="202">
        <f t="shared" si="1"/>
        <v>1748.7</v>
      </c>
      <c r="T27" s="203">
        <f t="shared" si="2"/>
        <v>107</v>
      </c>
      <c r="U27" s="203">
        <f t="shared" si="3"/>
        <v>1641.7</v>
      </c>
      <c r="V27" s="218"/>
    </row>
    <row r="28" spans="2:22" s="217" customFormat="1" x14ac:dyDescent="0.2">
      <c r="B28" s="204">
        <v>2012</v>
      </c>
      <c r="C28" s="205">
        <f t="shared" si="8"/>
        <v>2738.9250697518219</v>
      </c>
      <c r="D28" s="206">
        <f>+E28+F28+G28</f>
        <v>2589.04386045</v>
      </c>
      <c r="E28" s="207">
        <f t="shared" si="9"/>
        <v>1781.40966045</v>
      </c>
      <c r="F28" s="208">
        <f t="shared" si="9"/>
        <v>470.27</v>
      </c>
      <c r="G28" s="207">
        <f t="shared" si="9"/>
        <v>337.36420000000004</v>
      </c>
      <c r="H28" s="210">
        <f>+I28+J28+K28</f>
        <v>121.623</v>
      </c>
      <c r="I28" s="207">
        <v>35.28</v>
      </c>
      <c r="J28" s="208"/>
      <c r="K28" s="207">
        <v>86.343000000000004</v>
      </c>
      <c r="L28" s="210">
        <f>+M28+N28+O28</f>
        <v>2467.42086045</v>
      </c>
      <c r="M28" s="207">
        <v>1746.1296604500001</v>
      </c>
      <c r="N28" s="214">
        <v>470.27</v>
      </c>
      <c r="O28" s="212">
        <v>251.02120000000002</v>
      </c>
      <c r="P28" s="200">
        <v>149.8812093018218</v>
      </c>
      <c r="R28" s="219">
        <v>2012</v>
      </c>
      <c r="S28" s="202">
        <f t="shared" si="1"/>
        <v>2589.04386045</v>
      </c>
      <c r="T28" s="203">
        <f t="shared" si="2"/>
        <v>121.623</v>
      </c>
      <c r="U28" s="203">
        <f t="shared" si="3"/>
        <v>2467.42086045</v>
      </c>
      <c r="V28" s="218"/>
    </row>
    <row r="29" spans="2:22" s="217" customFormat="1" x14ac:dyDescent="0.2">
      <c r="B29" s="1476">
        <v>2013</v>
      </c>
      <c r="C29" s="1464">
        <f t="shared" si="8"/>
        <v>2589.0289318988771</v>
      </c>
      <c r="D29" s="1465">
        <f>+E29+F29+G29</f>
        <v>2439.6153999999997</v>
      </c>
      <c r="E29" s="1466">
        <f t="shared" si="9"/>
        <v>1829.8335</v>
      </c>
      <c r="F29" s="1467">
        <f t="shared" si="9"/>
        <v>188.4134</v>
      </c>
      <c r="G29" s="1466">
        <f t="shared" si="9"/>
        <v>421.36850000000004</v>
      </c>
      <c r="H29" s="1469">
        <f>+I29+J29+K29</f>
        <v>209.3229</v>
      </c>
      <c r="I29" s="1477">
        <v>65.214799999999997</v>
      </c>
      <c r="J29" s="1478"/>
      <c r="K29" s="1477">
        <v>144.10810000000001</v>
      </c>
      <c r="L29" s="1469">
        <f>+M29+N29+O29</f>
        <v>2230.2925</v>
      </c>
      <c r="M29" s="1477">
        <v>1764.6187</v>
      </c>
      <c r="N29" s="1479">
        <v>188.4134</v>
      </c>
      <c r="O29" s="1480">
        <v>277.2604</v>
      </c>
      <c r="P29" s="1472">
        <v>149.41353189887735</v>
      </c>
      <c r="R29" s="219">
        <v>2013</v>
      </c>
      <c r="S29" s="202">
        <f t="shared" si="1"/>
        <v>2439.6153999999997</v>
      </c>
      <c r="T29" s="203">
        <f t="shared" si="2"/>
        <v>209.3229</v>
      </c>
      <c r="U29" s="203">
        <f t="shared" si="3"/>
        <v>2230.2925</v>
      </c>
      <c r="V29" s="218"/>
    </row>
    <row r="30" spans="2:22" s="217" customFormat="1" x14ac:dyDescent="0.2">
      <c r="B30" s="220">
        <v>2014</v>
      </c>
      <c r="C30" s="205">
        <f t="shared" si="8"/>
        <v>2585.5924817041569</v>
      </c>
      <c r="D30" s="206">
        <f>+E30+F30+G30</f>
        <v>2474.5684952176703</v>
      </c>
      <c r="E30" s="207">
        <f t="shared" si="9"/>
        <v>1829.2607998337028</v>
      </c>
      <c r="F30" s="208">
        <f t="shared" si="9"/>
        <v>244.01244188000001</v>
      </c>
      <c r="G30" s="207">
        <f t="shared" si="9"/>
        <v>401.29525350396761</v>
      </c>
      <c r="H30" s="210">
        <f>+I30+J30+K30</f>
        <v>178.33149350396769</v>
      </c>
      <c r="I30" s="207">
        <v>62.090519999999998</v>
      </c>
      <c r="J30" s="208"/>
      <c r="K30" s="207">
        <v>116.24097350396768</v>
      </c>
      <c r="L30" s="210">
        <f>+M30+N30+O30</f>
        <v>2296.2370017137027</v>
      </c>
      <c r="M30" s="207">
        <v>1767.1702798337028</v>
      </c>
      <c r="N30" s="214">
        <v>244.01244188000001</v>
      </c>
      <c r="O30" s="212">
        <v>285.05427999999995</v>
      </c>
      <c r="P30" s="200">
        <v>111.02398648648649</v>
      </c>
      <c r="R30" s="221">
        <v>2014</v>
      </c>
      <c r="S30" s="202">
        <f t="shared" si="1"/>
        <v>2474.5684952176703</v>
      </c>
      <c r="T30" s="203">
        <f t="shared" si="2"/>
        <v>178.33149350396769</v>
      </c>
      <c r="U30" s="203">
        <f t="shared" si="3"/>
        <v>2296.2370017137027</v>
      </c>
      <c r="V30" s="218"/>
    </row>
    <row r="31" spans="2:22" s="222" customFormat="1" x14ac:dyDescent="0.2">
      <c r="B31" s="1481" t="s">
        <v>136</v>
      </c>
      <c r="C31" s="1482">
        <f>D31+P31</f>
        <v>2383.7920826942809</v>
      </c>
      <c r="D31" s="1483">
        <f>+E31+F31+G31</f>
        <v>2267.297321448606</v>
      </c>
      <c r="E31" s="1484">
        <f>+I31+M31</f>
        <v>1553.6569439220775</v>
      </c>
      <c r="F31" s="1485">
        <f>+J31+N31</f>
        <v>341.36752000000001</v>
      </c>
      <c r="G31" s="1484">
        <f>+K31+O31</f>
        <v>372.27285752652858</v>
      </c>
      <c r="H31" s="1486">
        <f>+I31+J31+K31</f>
        <v>131.09463552652863</v>
      </c>
      <c r="I31" s="1487">
        <v>78.957100000000011</v>
      </c>
      <c r="J31" s="1488"/>
      <c r="K31" s="1487">
        <v>52.137535526528637</v>
      </c>
      <c r="L31" s="1486">
        <f>+M31+N31+O31</f>
        <v>2136.2026859220773</v>
      </c>
      <c r="M31" s="1487">
        <v>1474.6998439220774</v>
      </c>
      <c r="N31" s="1489">
        <v>341.36752000000001</v>
      </c>
      <c r="O31" s="1490">
        <v>320.13532199999997</v>
      </c>
      <c r="P31" s="1491">
        <v>116.49476124567477</v>
      </c>
      <c r="R31" s="223" t="s">
        <v>136</v>
      </c>
      <c r="S31" s="202">
        <f t="shared" si="1"/>
        <v>2267.297321448606</v>
      </c>
      <c r="T31" s="203">
        <f t="shared" si="2"/>
        <v>131.09463552652863</v>
      </c>
      <c r="U31" s="203">
        <f t="shared" si="3"/>
        <v>2136.2026859220773</v>
      </c>
      <c r="V31" s="224"/>
    </row>
    <row r="32" spans="2:22" ht="13.5" thickBot="1" x14ac:dyDescent="0.25">
      <c r="B32" s="225"/>
      <c r="C32" s="226"/>
      <c r="D32" s="227"/>
      <c r="E32" s="228"/>
      <c r="F32" s="229"/>
      <c r="G32" s="228"/>
      <c r="H32" s="230"/>
      <c r="I32" s="231"/>
      <c r="J32" s="232"/>
      <c r="K32" s="231"/>
      <c r="L32" s="230"/>
      <c r="M32" s="231"/>
      <c r="N32" s="233"/>
      <c r="O32" s="234"/>
      <c r="P32" s="235"/>
      <c r="R32" s="216"/>
      <c r="S32" s="202"/>
      <c r="T32" s="203"/>
      <c r="U32" s="203"/>
      <c r="V32" s="203"/>
    </row>
    <row r="33" spans="2:22" x14ac:dyDescent="0.2">
      <c r="B33" s="1492" t="s">
        <v>137</v>
      </c>
      <c r="C33" s="1493">
        <f>(C31/C30)-1</f>
        <v>-7.8048029779569039E-2</v>
      </c>
      <c r="D33" s="1494">
        <f t="shared" ref="D33:I33" si="10">(D31/D30)-1</f>
        <v>-8.3760532056249337E-2</v>
      </c>
      <c r="E33" s="1495">
        <f t="shared" si="10"/>
        <v>-0.15066405836536834</v>
      </c>
      <c r="F33" s="1496">
        <f t="shared" si="10"/>
        <v>0.39897587750003782</v>
      </c>
      <c r="G33" s="1495">
        <f t="shared" si="10"/>
        <v>-7.2321802274075697E-2</v>
      </c>
      <c r="H33" s="1497">
        <f t="shared" si="10"/>
        <v>-0.26488231018144914</v>
      </c>
      <c r="I33" s="1498">
        <f t="shared" si="10"/>
        <v>0.2716450111868931</v>
      </c>
      <c r="J33" s="1499"/>
      <c r="K33" s="1495">
        <f t="shared" ref="K33:P33" si="11">(K31/K30)-1</f>
        <v>-0.55147024362498986</v>
      </c>
      <c r="L33" s="1497">
        <f t="shared" si="11"/>
        <v>-6.9694162959742512E-2</v>
      </c>
      <c r="M33" s="1495">
        <f t="shared" si="11"/>
        <v>-0.16550212463914227</v>
      </c>
      <c r="N33" s="1496">
        <f t="shared" si="11"/>
        <v>0.39897587750003782</v>
      </c>
      <c r="O33" s="1500">
        <f t="shared" si="11"/>
        <v>0.12306793639443003</v>
      </c>
      <c r="P33" s="1501">
        <f t="shared" si="11"/>
        <v>4.927561090462329E-2</v>
      </c>
    </row>
    <row r="34" spans="2:22" x14ac:dyDescent="0.2">
      <c r="B34" s="236" t="s">
        <v>138</v>
      </c>
      <c r="C34" s="237">
        <f>((C31/C26)^(1/5))-1</f>
        <v>0.11751434277289019</v>
      </c>
      <c r="D34" s="238">
        <f t="shared" ref="D34:I34" si="12">((D31/D26)^(1/5))-1</f>
        <v>0.14653951184970948</v>
      </c>
      <c r="E34" s="239">
        <f t="shared" si="12"/>
        <v>0.22700306967846218</v>
      </c>
      <c r="F34" s="240">
        <f t="shared" si="12"/>
        <v>5.2432565672109188E-3</v>
      </c>
      <c r="G34" s="239">
        <f t="shared" si="12"/>
        <v>8.0163292785261797E-2</v>
      </c>
      <c r="H34" s="241">
        <f t="shared" si="12"/>
        <v>-4.5668262022750428E-2</v>
      </c>
      <c r="I34" s="239">
        <f t="shared" si="12"/>
        <v>0.25746372970837861</v>
      </c>
      <c r="J34" s="242"/>
      <c r="K34" s="239">
        <f t="shared" ref="K34:P34" si="13">((K31/K26)^(1/5))-1</f>
        <v>-0.17984322830707777</v>
      </c>
      <c r="L34" s="241">
        <f t="shared" si="13"/>
        <v>0.16894487130288693</v>
      </c>
      <c r="M34" s="239">
        <f t="shared" si="13"/>
        <v>0.22549252725173941</v>
      </c>
      <c r="N34" s="240">
        <f t="shared" si="13"/>
        <v>5.2432565672109188E-3</v>
      </c>
      <c r="O34" s="243">
        <f t="shared" si="13"/>
        <v>0.23225784295430452</v>
      </c>
      <c r="P34" s="244">
        <f t="shared" si="13"/>
        <v>-0.12208195209553718</v>
      </c>
    </row>
    <row r="35" spans="2:22" x14ac:dyDescent="0.2">
      <c r="B35" s="1492" t="s">
        <v>144</v>
      </c>
      <c r="C35" s="1502">
        <f>(C31/C21)-1</f>
        <v>5.0542920857285338</v>
      </c>
      <c r="D35" s="1503">
        <f t="shared" ref="D35:I35" si="14">(D31/D21)-1</f>
        <v>5.5060260697848831</v>
      </c>
      <c r="E35" s="1504">
        <f t="shared" si="14"/>
        <v>7.0295937979763821</v>
      </c>
      <c r="F35" s="1505">
        <f t="shared" si="14"/>
        <v>15.54401349235966</v>
      </c>
      <c r="G35" s="1504">
        <f t="shared" si="14"/>
        <v>1.7705750290885343</v>
      </c>
      <c r="H35" s="1506">
        <f t="shared" si="14"/>
        <v>0.11636152694299895</v>
      </c>
      <c r="I35" s="1504">
        <f t="shared" si="14"/>
        <v>0.46851276561277455</v>
      </c>
      <c r="J35" s="1499"/>
      <c r="K35" s="1504">
        <f t="shared" ref="K35:P35" si="15">(K31/K21)-1</f>
        <v>-0.18104586789477939</v>
      </c>
      <c r="L35" s="1507">
        <f t="shared" si="15"/>
        <v>8.2451644973409124</v>
      </c>
      <c r="M35" s="1504">
        <f t="shared" si="15"/>
        <v>9.5543291714480514</v>
      </c>
      <c r="N35" s="1505">
        <f t="shared" si="15"/>
        <v>15.54401349235966</v>
      </c>
      <c r="O35" s="1508">
        <f t="shared" si="15"/>
        <v>3.5278836791834243</v>
      </c>
      <c r="P35" s="1509">
        <f t="shared" si="15"/>
        <v>1.5748112732224109</v>
      </c>
      <c r="R35" s="1347"/>
    </row>
    <row r="36" spans="2:22" ht="13.5" thickBot="1" x14ac:dyDescent="0.25">
      <c r="B36" s="245" t="s">
        <v>140</v>
      </c>
      <c r="C36" s="246">
        <f>((C31/C21)^(1/10))-1</f>
        <v>0.19730924783283621</v>
      </c>
      <c r="D36" s="247">
        <f t="shared" ref="D36:I36" si="16">((D31/D21)^(1/10))-1</f>
        <v>0.20595632574571354</v>
      </c>
      <c r="E36" s="248">
        <f t="shared" si="16"/>
        <v>0.23159908497572812</v>
      </c>
      <c r="F36" s="249">
        <f t="shared" si="16"/>
        <v>0.32392714741114359</v>
      </c>
      <c r="G36" s="248">
        <f t="shared" si="16"/>
        <v>0.1072788167967329</v>
      </c>
      <c r="H36" s="250">
        <f t="shared" si="16"/>
        <v>1.1068281200614205E-2</v>
      </c>
      <c r="I36" s="248">
        <f t="shared" si="16"/>
        <v>3.9172804578824882E-2</v>
      </c>
      <c r="J36" s="251"/>
      <c r="K36" s="248">
        <f t="shared" ref="K36:P36" si="17">((K31/K21)^(1/10))-1</f>
        <v>-1.9774586651121639E-2</v>
      </c>
      <c r="L36" s="250">
        <f t="shared" si="17"/>
        <v>0.24908347925006069</v>
      </c>
      <c r="M36" s="248">
        <f t="shared" si="17"/>
        <v>0.26573579900742428</v>
      </c>
      <c r="N36" s="249">
        <f t="shared" si="17"/>
        <v>0.32392714741114359</v>
      </c>
      <c r="O36" s="252">
        <f t="shared" si="17"/>
        <v>0.16302627432518779</v>
      </c>
      <c r="P36" s="253">
        <f t="shared" si="17"/>
        <v>9.9194483636627639E-2</v>
      </c>
      <c r="R36" s="1348"/>
    </row>
    <row r="37" spans="2:22" ht="5.25" customHeight="1" x14ac:dyDescent="0.2">
      <c r="B37" s="254"/>
      <c r="C37" s="255"/>
      <c r="D37" s="255"/>
      <c r="R37" s="215"/>
    </row>
    <row r="38" spans="2:22" x14ac:dyDescent="0.2">
      <c r="B38" s="256" t="s">
        <v>158</v>
      </c>
      <c r="C38" s="256"/>
      <c r="D38" s="255"/>
      <c r="R38" s="215"/>
    </row>
    <row r="39" spans="2:22" x14ac:dyDescent="0.2">
      <c r="B39" s="255" t="s">
        <v>159</v>
      </c>
      <c r="C39" s="256"/>
      <c r="D39" s="255"/>
      <c r="R39" s="215"/>
    </row>
    <row r="40" spans="2:22" x14ac:dyDescent="0.2">
      <c r="B40" s="255" t="s">
        <v>160</v>
      </c>
      <c r="C40" s="255"/>
      <c r="D40" s="255"/>
    </row>
    <row r="41" spans="2:22" ht="14.25" x14ac:dyDescent="0.2">
      <c r="C41" s="257"/>
      <c r="D41" s="257"/>
    </row>
    <row r="42" spans="2:22" ht="20.25" x14ac:dyDescent="0.3">
      <c r="B42" s="158"/>
      <c r="C42" s="158"/>
      <c r="D42" s="258"/>
    </row>
    <row r="44" spans="2:22" x14ac:dyDescent="0.2">
      <c r="S44" s="217" t="s">
        <v>161</v>
      </c>
      <c r="T44" s="203" t="s">
        <v>162</v>
      </c>
      <c r="U44" s="203" t="s">
        <v>163</v>
      </c>
      <c r="V44" s="203" t="s">
        <v>164</v>
      </c>
    </row>
    <row r="45" spans="2:22" x14ac:dyDescent="0.2">
      <c r="R45" s="157">
        <v>1995</v>
      </c>
      <c r="S45" s="202">
        <f>H11</f>
        <v>154.712999</v>
      </c>
      <c r="T45" s="202">
        <f>I11</f>
        <v>38.418108999999994</v>
      </c>
      <c r="U45" s="202">
        <f>J11</f>
        <v>11.412649999999999</v>
      </c>
      <c r="V45" s="202">
        <f>K11</f>
        <v>104.88224000000001</v>
      </c>
    </row>
    <row r="46" spans="2:22" x14ac:dyDescent="0.2">
      <c r="R46" s="157">
        <v>1996</v>
      </c>
      <c r="S46" s="202">
        <f t="shared" ref="S46:V61" si="18">H12</f>
        <v>176.97620699999999</v>
      </c>
      <c r="T46" s="202">
        <f t="shared" si="18"/>
        <v>65.267436999999987</v>
      </c>
      <c r="U46" s="202">
        <f t="shared" si="18"/>
        <v>16.600999999999999</v>
      </c>
      <c r="V46" s="202">
        <f t="shared" si="18"/>
        <v>95.107770000000002</v>
      </c>
    </row>
    <row r="47" spans="2:22" x14ac:dyDescent="0.2">
      <c r="R47" s="157">
        <v>1997</v>
      </c>
      <c r="S47" s="202">
        <f t="shared" si="18"/>
        <v>207.88996599999999</v>
      </c>
      <c r="T47" s="202">
        <f t="shared" si="18"/>
        <v>103.23717600000001</v>
      </c>
      <c r="U47" s="202">
        <f t="shared" si="18"/>
        <v>32.720779999999998</v>
      </c>
      <c r="V47" s="202">
        <f t="shared" si="18"/>
        <v>71.932009999999991</v>
      </c>
    </row>
    <row r="48" spans="2:22" x14ac:dyDescent="0.2">
      <c r="R48" s="157">
        <v>1998</v>
      </c>
      <c r="S48" s="202">
        <f t="shared" si="18"/>
        <v>202.79134299999998</v>
      </c>
      <c r="T48" s="202">
        <f t="shared" si="18"/>
        <v>114.539113</v>
      </c>
      <c r="U48" s="202">
        <f t="shared" si="18"/>
        <v>46.155269999999994</v>
      </c>
      <c r="V48" s="202">
        <f t="shared" si="18"/>
        <v>42.096959999999996</v>
      </c>
    </row>
    <row r="49" spans="2:22" x14ac:dyDescent="0.2">
      <c r="R49" s="157">
        <v>1999</v>
      </c>
      <c r="S49" s="202">
        <f t="shared" si="18"/>
        <v>201.72455901183432</v>
      </c>
      <c r="T49" s="202">
        <f t="shared" si="18"/>
        <v>136.331909</v>
      </c>
      <c r="U49" s="202">
        <f t="shared" si="18"/>
        <v>31.317900000000002</v>
      </c>
      <c r="V49" s="202">
        <f t="shared" si="18"/>
        <v>34.074750011834318</v>
      </c>
    </row>
    <row r="50" spans="2:22" x14ac:dyDescent="0.2">
      <c r="R50" s="157">
        <v>2000</v>
      </c>
      <c r="S50" s="202">
        <f t="shared" si="18"/>
        <v>165.994</v>
      </c>
      <c r="T50" s="202">
        <f t="shared" si="18"/>
        <v>123.21599999999999</v>
      </c>
      <c r="U50" s="202">
        <f t="shared" si="18"/>
        <v>26.69</v>
      </c>
      <c r="V50" s="202">
        <f t="shared" si="18"/>
        <v>16.088000000000001</v>
      </c>
    </row>
    <row r="51" spans="2:22" x14ac:dyDescent="0.2">
      <c r="R51" s="157">
        <v>2001</v>
      </c>
      <c r="S51" s="202">
        <f t="shared" si="18"/>
        <v>95.058679999999995</v>
      </c>
      <c r="T51" s="202">
        <f t="shared" si="18"/>
        <v>76.277079999999998</v>
      </c>
      <c r="U51" s="202">
        <f t="shared" si="18"/>
        <v>3.1160000000000001</v>
      </c>
      <c r="V51" s="202">
        <f t="shared" si="18"/>
        <v>15.6656</v>
      </c>
    </row>
    <row r="52" spans="2:22" x14ac:dyDescent="0.2">
      <c r="R52" s="216">
        <v>2002</v>
      </c>
      <c r="S52" s="202">
        <f t="shared" si="18"/>
        <v>109.85599999999999</v>
      </c>
      <c r="T52" s="202">
        <f t="shared" si="18"/>
        <v>77.798000000000002</v>
      </c>
      <c r="U52" s="202">
        <f t="shared" si="18"/>
        <v>0.377</v>
      </c>
      <c r="V52" s="202">
        <f t="shared" si="18"/>
        <v>31.681000000000001</v>
      </c>
    </row>
    <row r="53" spans="2:22" x14ac:dyDescent="0.2">
      <c r="R53" s="157">
        <v>2003</v>
      </c>
      <c r="S53" s="202">
        <f t="shared" si="18"/>
        <v>110.83199999999999</v>
      </c>
      <c r="T53" s="202">
        <f t="shared" si="18"/>
        <v>67.105000000000004</v>
      </c>
      <c r="U53" s="202">
        <f t="shared" si="18"/>
        <v>0</v>
      </c>
      <c r="V53" s="202">
        <f t="shared" si="18"/>
        <v>43.726999999999997</v>
      </c>
    </row>
    <row r="54" spans="2:22" x14ac:dyDescent="0.2">
      <c r="R54" s="157">
        <v>2004</v>
      </c>
      <c r="S54" s="202">
        <f t="shared" si="18"/>
        <v>116.143</v>
      </c>
      <c r="T54" s="202">
        <f t="shared" si="18"/>
        <v>67.001000000000005</v>
      </c>
      <c r="U54" s="202">
        <f t="shared" si="18"/>
        <v>0</v>
      </c>
      <c r="V54" s="202">
        <f t="shared" si="18"/>
        <v>49.142000000000003</v>
      </c>
    </row>
    <row r="55" spans="2:22" x14ac:dyDescent="0.2">
      <c r="R55" s="157">
        <v>2005</v>
      </c>
      <c r="S55" s="202">
        <f t="shared" si="18"/>
        <v>117.43026999999999</v>
      </c>
      <c r="T55" s="202">
        <f t="shared" si="18"/>
        <v>53.766709999999996</v>
      </c>
      <c r="U55" s="202">
        <f t="shared" si="18"/>
        <v>0</v>
      </c>
      <c r="V55" s="202">
        <f t="shared" si="18"/>
        <v>63.663559999999997</v>
      </c>
    </row>
    <row r="56" spans="2:22" x14ac:dyDescent="0.2">
      <c r="R56" s="157">
        <v>2006</v>
      </c>
      <c r="S56" s="202">
        <f t="shared" si="18"/>
        <v>95.745000000000005</v>
      </c>
      <c r="T56" s="202">
        <f t="shared" si="18"/>
        <v>29.198</v>
      </c>
      <c r="U56" s="202">
        <f t="shared" si="18"/>
        <v>0</v>
      </c>
      <c r="V56" s="202">
        <f t="shared" si="18"/>
        <v>66.546999999999997</v>
      </c>
    </row>
    <row r="57" spans="2:22" x14ac:dyDescent="0.2">
      <c r="R57" s="157">
        <v>2007</v>
      </c>
      <c r="S57" s="202">
        <f t="shared" si="18"/>
        <v>139.72556</v>
      </c>
      <c r="T57" s="202">
        <f t="shared" si="18"/>
        <v>73.499299999999991</v>
      </c>
      <c r="U57" s="202">
        <f t="shared" si="18"/>
        <v>0</v>
      </c>
      <c r="V57" s="202">
        <f t="shared" si="18"/>
        <v>66.226260000000011</v>
      </c>
    </row>
    <row r="58" spans="2:22" x14ac:dyDescent="0.2">
      <c r="R58" s="157">
        <v>2008</v>
      </c>
      <c r="S58" s="202">
        <f t="shared" si="18"/>
        <v>128.88</v>
      </c>
      <c r="T58" s="202">
        <f t="shared" si="18"/>
        <v>26.5</v>
      </c>
      <c r="U58" s="202">
        <f t="shared" si="18"/>
        <v>0</v>
      </c>
      <c r="V58" s="202">
        <f t="shared" si="18"/>
        <v>102.38</v>
      </c>
    </row>
    <row r="59" spans="2:22" ht="226.5" x14ac:dyDescent="0.3">
      <c r="B59" s="1424" t="s">
        <v>316</v>
      </c>
      <c r="R59" s="157">
        <v>2009</v>
      </c>
      <c r="S59" s="202">
        <f t="shared" si="18"/>
        <v>250.28899999999999</v>
      </c>
      <c r="T59" s="202">
        <f t="shared" si="18"/>
        <v>88.849000000000004</v>
      </c>
      <c r="U59" s="202">
        <f t="shared" si="18"/>
        <v>0</v>
      </c>
      <c r="V59" s="202">
        <f t="shared" si="18"/>
        <v>161.44</v>
      </c>
    </row>
    <row r="60" spans="2:22" x14ac:dyDescent="0.2">
      <c r="R60" s="157">
        <v>2010</v>
      </c>
      <c r="S60" s="202">
        <f t="shared" si="18"/>
        <v>165.61058222614841</v>
      </c>
      <c r="T60" s="202">
        <f t="shared" si="18"/>
        <v>25.113882226148409</v>
      </c>
      <c r="U60" s="202">
        <f t="shared" si="18"/>
        <v>0</v>
      </c>
      <c r="V60" s="202">
        <f t="shared" si="18"/>
        <v>140.4967</v>
      </c>
    </row>
    <row r="61" spans="2:22" x14ac:dyDescent="0.2">
      <c r="R61" s="157">
        <v>2011</v>
      </c>
      <c r="S61" s="202">
        <f t="shared" si="18"/>
        <v>107</v>
      </c>
      <c r="T61" s="202">
        <f t="shared" si="18"/>
        <v>28.6</v>
      </c>
      <c r="U61" s="202">
        <f t="shared" si="18"/>
        <v>0</v>
      </c>
      <c r="V61" s="202">
        <f t="shared" si="18"/>
        <v>78.400000000000006</v>
      </c>
    </row>
    <row r="62" spans="2:22" x14ac:dyDescent="0.2">
      <c r="R62" s="157">
        <v>2012</v>
      </c>
      <c r="S62" s="202">
        <f t="shared" ref="S62:V65" si="19">H28</f>
        <v>121.623</v>
      </c>
      <c r="T62" s="202">
        <f t="shared" si="19"/>
        <v>35.28</v>
      </c>
      <c r="U62" s="202">
        <f t="shared" si="19"/>
        <v>0</v>
      </c>
      <c r="V62" s="202">
        <f t="shared" si="19"/>
        <v>86.343000000000004</v>
      </c>
    </row>
    <row r="63" spans="2:22" x14ac:dyDescent="0.2">
      <c r="R63" s="157">
        <v>2013</v>
      </c>
      <c r="S63" s="202">
        <f t="shared" si="19"/>
        <v>209.3229</v>
      </c>
      <c r="T63" s="202">
        <f t="shared" si="19"/>
        <v>65.214799999999997</v>
      </c>
      <c r="U63" s="202">
        <f t="shared" si="19"/>
        <v>0</v>
      </c>
      <c r="V63" s="202">
        <f t="shared" si="19"/>
        <v>144.10810000000001</v>
      </c>
    </row>
    <row r="64" spans="2:22" x14ac:dyDescent="0.2">
      <c r="R64" s="157">
        <v>2014</v>
      </c>
      <c r="S64" s="202">
        <f t="shared" si="19"/>
        <v>178.33149350396769</v>
      </c>
      <c r="T64" s="202">
        <f t="shared" si="19"/>
        <v>62.090519999999998</v>
      </c>
      <c r="U64" s="202">
        <f t="shared" si="19"/>
        <v>0</v>
      </c>
      <c r="V64" s="202">
        <f t="shared" si="19"/>
        <v>116.24097350396768</v>
      </c>
    </row>
    <row r="65" spans="3:22" x14ac:dyDescent="0.2">
      <c r="C65" s="255" t="s">
        <v>165</v>
      </c>
      <c r="R65" s="259" t="s">
        <v>136</v>
      </c>
      <c r="S65" s="202">
        <f t="shared" si="19"/>
        <v>131.09463552652863</v>
      </c>
      <c r="T65" s="202">
        <f t="shared" si="19"/>
        <v>78.957100000000011</v>
      </c>
      <c r="U65" s="202">
        <f t="shared" si="19"/>
        <v>0</v>
      </c>
      <c r="V65" s="202">
        <f t="shared" si="19"/>
        <v>52.137535526528637</v>
      </c>
    </row>
    <row r="66" spans="3:22" ht="11.25" customHeight="1" x14ac:dyDescent="0.2">
      <c r="C66" s="255" t="s">
        <v>166</v>
      </c>
    </row>
    <row r="67" spans="3:22" x14ac:dyDescent="0.2">
      <c r="S67" s="260" t="s">
        <v>167</v>
      </c>
      <c r="T67" s="202" t="s">
        <v>162</v>
      </c>
      <c r="U67" s="202" t="s">
        <v>163</v>
      </c>
      <c r="V67" s="202" t="s">
        <v>164</v>
      </c>
    </row>
    <row r="68" spans="3:22" x14ac:dyDescent="0.2">
      <c r="R68" s="157">
        <v>1995</v>
      </c>
      <c r="S68" s="202">
        <f t="shared" ref="S68:V86" si="20">L11</f>
        <v>66.165630000000007</v>
      </c>
      <c r="T68" s="202">
        <f t="shared" si="20"/>
        <v>7.6486299999999998</v>
      </c>
      <c r="U68" s="202">
        <f t="shared" si="20"/>
        <v>0</v>
      </c>
      <c r="V68" s="202">
        <f t="shared" si="20"/>
        <v>58.517000000000003</v>
      </c>
    </row>
    <row r="69" spans="3:22" x14ac:dyDescent="0.2">
      <c r="R69" s="157">
        <v>1996</v>
      </c>
      <c r="S69" s="202">
        <f t="shared" si="20"/>
        <v>195.92117000000002</v>
      </c>
      <c r="T69" s="202">
        <f t="shared" si="20"/>
        <v>97.751460000000009</v>
      </c>
      <c r="U69" s="202">
        <f t="shared" si="20"/>
        <v>0</v>
      </c>
      <c r="V69" s="202">
        <f t="shared" si="20"/>
        <v>98.169710000000009</v>
      </c>
    </row>
    <row r="70" spans="3:22" x14ac:dyDescent="0.2">
      <c r="R70" s="157">
        <v>1997</v>
      </c>
      <c r="S70" s="202">
        <f t="shared" si="20"/>
        <v>339.73591500000003</v>
      </c>
      <c r="T70" s="202">
        <f t="shared" si="20"/>
        <v>240.20695500000002</v>
      </c>
      <c r="U70" s="202">
        <f t="shared" si="20"/>
        <v>0</v>
      </c>
      <c r="V70" s="202">
        <f t="shared" si="20"/>
        <v>99.528960000000012</v>
      </c>
    </row>
    <row r="71" spans="3:22" x14ac:dyDescent="0.2">
      <c r="R71" s="157">
        <v>1998</v>
      </c>
      <c r="S71" s="202">
        <f t="shared" si="20"/>
        <v>358.72008800000003</v>
      </c>
      <c r="T71" s="202">
        <f t="shared" si="20"/>
        <v>250.824128</v>
      </c>
      <c r="U71" s="202">
        <f t="shared" si="20"/>
        <v>13.488</v>
      </c>
      <c r="V71" s="202">
        <f t="shared" si="20"/>
        <v>94.407960000000003</v>
      </c>
    </row>
    <row r="72" spans="3:22" x14ac:dyDescent="0.2">
      <c r="R72" s="157">
        <v>1999</v>
      </c>
      <c r="S72" s="202">
        <f t="shared" si="20"/>
        <v>507.81466899999998</v>
      </c>
      <c r="T72" s="202">
        <f t="shared" si="20"/>
        <v>280.900419</v>
      </c>
      <c r="U72" s="202">
        <f t="shared" si="20"/>
        <v>139.48872</v>
      </c>
      <c r="V72" s="202">
        <f t="shared" si="20"/>
        <v>87.425529999999995</v>
      </c>
    </row>
    <row r="73" spans="3:22" x14ac:dyDescent="0.2">
      <c r="R73" s="157">
        <v>2000</v>
      </c>
      <c r="S73" s="202">
        <f t="shared" si="20"/>
        <v>439.80900000000003</v>
      </c>
      <c r="T73" s="202">
        <f t="shared" si="20"/>
        <v>214.44200000000001</v>
      </c>
      <c r="U73" s="202">
        <f t="shared" si="20"/>
        <v>102.249</v>
      </c>
      <c r="V73" s="202">
        <f t="shared" si="20"/>
        <v>123.11799999999999</v>
      </c>
    </row>
    <row r="74" spans="3:22" x14ac:dyDescent="0.2">
      <c r="R74" s="157">
        <v>2001</v>
      </c>
      <c r="S74" s="202">
        <f t="shared" si="20"/>
        <v>210.83829</v>
      </c>
      <c r="T74" s="202">
        <f t="shared" si="20"/>
        <v>33.495100000000001</v>
      </c>
      <c r="U74" s="202">
        <f t="shared" si="20"/>
        <v>58.627000000000002</v>
      </c>
      <c r="V74" s="202">
        <f t="shared" si="20"/>
        <v>118.71619</v>
      </c>
    </row>
    <row r="75" spans="3:22" x14ac:dyDescent="0.2">
      <c r="R75" s="157">
        <v>2002</v>
      </c>
      <c r="S75" s="202">
        <f t="shared" si="20"/>
        <v>132.34300000000002</v>
      </c>
      <c r="T75" s="202">
        <f t="shared" si="20"/>
        <v>30.042000000000002</v>
      </c>
      <c r="U75" s="202">
        <f t="shared" si="20"/>
        <v>37.28</v>
      </c>
      <c r="V75" s="202">
        <f t="shared" si="20"/>
        <v>65.021000000000001</v>
      </c>
    </row>
    <row r="76" spans="3:22" x14ac:dyDescent="0.2">
      <c r="R76" s="157">
        <v>2003</v>
      </c>
      <c r="S76" s="202">
        <f t="shared" si="20"/>
        <v>81.125</v>
      </c>
      <c r="T76" s="202">
        <f t="shared" si="20"/>
        <v>20.059999999999999</v>
      </c>
      <c r="U76" s="202">
        <f t="shared" si="20"/>
        <v>12.826000000000001</v>
      </c>
      <c r="V76" s="202">
        <f t="shared" si="20"/>
        <v>48.238999999999997</v>
      </c>
    </row>
    <row r="77" spans="3:22" x14ac:dyDescent="0.2">
      <c r="R77" s="157">
        <v>2004</v>
      </c>
      <c r="S77" s="202">
        <f t="shared" si="20"/>
        <v>168.55199999999999</v>
      </c>
      <c r="T77" s="202">
        <f t="shared" si="20"/>
        <v>92.564999999999998</v>
      </c>
      <c r="U77" s="202">
        <f t="shared" si="20"/>
        <v>24.366</v>
      </c>
      <c r="V77" s="202">
        <f t="shared" si="20"/>
        <v>51.621000000000002</v>
      </c>
    </row>
    <row r="78" spans="3:22" x14ac:dyDescent="0.2">
      <c r="R78" s="157">
        <v>2005</v>
      </c>
      <c r="S78" s="202">
        <f t="shared" si="20"/>
        <v>231.06162000000003</v>
      </c>
      <c r="T78" s="202">
        <f t="shared" si="20"/>
        <v>139.72464000000002</v>
      </c>
      <c r="U78" s="202">
        <f t="shared" si="20"/>
        <v>20.633900000000001</v>
      </c>
      <c r="V78" s="202">
        <f t="shared" si="20"/>
        <v>70.70308</v>
      </c>
    </row>
    <row r="79" spans="3:22" x14ac:dyDescent="0.2">
      <c r="R79" s="157">
        <v>2006</v>
      </c>
      <c r="S79" s="202">
        <f t="shared" si="20"/>
        <v>350.459</v>
      </c>
      <c r="T79" s="202">
        <f t="shared" si="20"/>
        <v>260.37700000000001</v>
      </c>
      <c r="U79" s="202">
        <f t="shared" si="20"/>
        <v>16.542999999999999</v>
      </c>
      <c r="V79" s="202">
        <f t="shared" si="20"/>
        <v>73.539000000000001</v>
      </c>
    </row>
    <row r="80" spans="3:22" x14ac:dyDescent="0.2">
      <c r="R80" s="157">
        <v>2007</v>
      </c>
      <c r="S80" s="202">
        <f t="shared" si="20"/>
        <v>399.34757000000002</v>
      </c>
      <c r="T80" s="202">
        <f t="shared" si="20"/>
        <v>244.53100000000001</v>
      </c>
      <c r="U80" s="202">
        <f t="shared" si="20"/>
        <v>69.635899999999992</v>
      </c>
      <c r="V80" s="202">
        <f t="shared" si="20"/>
        <v>85.180669999999992</v>
      </c>
    </row>
    <row r="81" spans="18:22" x14ac:dyDescent="0.2">
      <c r="R81" s="157">
        <v>2008</v>
      </c>
      <c r="S81" s="202">
        <f t="shared" si="20"/>
        <v>633.64</v>
      </c>
      <c r="T81" s="202">
        <f t="shared" si="20"/>
        <v>457.01</v>
      </c>
      <c r="U81" s="202">
        <f t="shared" si="20"/>
        <v>43.1</v>
      </c>
      <c r="V81" s="202">
        <f t="shared" si="20"/>
        <v>133.53</v>
      </c>
    </row>
    <row r="82" spans="18:22" x14ac:dyDescent="0.2">
      <c r="R82" s="157">
        <v>2009</v>
      </c>
      <c r="S82" s="202">
        <f t="shared" si="20"/>
        <v>741.83071999999993</v>
      </c>
      <c r="T82" s="202">
        <f t="shared" si="20"/>
        <v>359.53429999999997</v>
      </c>
      <c r="U82" s="202">
        <f t="shared" si="20"/>
        <v>254.363</v>
      </c>
      <c r="V82" s="202">
        <f t="shared" si="20"/>
        <v>127.93342</v>
      </c>
    </row>
    <row r="83" spans="18:22" x14ac:dyDescent="0.2">
      <c r="R83" s="157">
        <v>2010</v>
      </c>
      <c r="S83" s="202">
        <f t="shared" si="20"/>
        <v>978.75120000000004</v>
      </c>
      <c r="T83" s="202">
        <f t="shared" si="20"/>
        <v>533.51949999999999</v>
      </c>
      <c r="U83" s="202">
        <f t="shared" si="20"/>
        <v>332.55720000000002</v>
      </c>
      <c r="V83" s="202">
        <f t="shared" si="20"/>
        <v>112.67449999999999</v>
      </c>
    </row>
    <row r="84" spans="18:22" x14ac:dyDescent="0.2">
      <c r="R84" s="157">
        <v>2011</v>
      </c>
      <c r="S84" s="202">
        <f t="shared" si="20"/>
        <v>1641.7</v>
      </c>
      <c r="T84" s="202">
        <f t="shared" si="20"/>
        <v>1212.2</v>
      </c>
      <c r="U84" s="202">
        <f t="shared" si="20"/>
        <v>278.5</v>
      </c>
      <c r="V84" s="202">
        <f t="shared" si="20"/>
        <v>151</v>
      </c>
    </row>
    <row r="85" spans="18:22" x14ac:dyDescent="0.2">
      <c r="R85" s="157">
        <v>2012</v>
      </c>
      <c r="S85" s="202">
        <f t="shared" si="20"/>
        <v>2467.42086045</v>
      </c>
      <c r="T85" s="202">
        <f t="shared" si="20"/>
        <v>1746.1296604500001</v>
      </c>
      <c r="U85" s="202">
        <f t="shared" si="20"/>
        <v>470.27</v>
      </c>
      <c r="V85" s="202">
        <f t="shared" si="20"/>
        <v>251.02120000000002</v>
      </c>
    </row>
    <row r="86" spans="18:22" x14ac:dyDescent="0.2">
      <c r="R86" s="157">
        <v>2013</v>
      </c>
      <c r="S86" s="202">
        <f t="shared" si="20"/>
        <v>2230.2925</v>
      </c>
      <c r="T86" s="202">
        <f t="shared" si="20"/>
        <v>1764.6187</v>
      </c>
      <c r="U86" s="202">
        <f t="shared" si="20"/>
        <v>188.4134</v>
      </c>
      <c r="V86" s="202">
        <f t="shared" si="20"/>
        <v>277.2604</v>
      </c>
    </row>
    <row r="87" spans="18:22" x14ac:dyDescent="0.2">
      <c r="R87" s="157">
        <v>2014</v>
      </c>
      <c r="S87" s="202">
        <f t="shared" ref="S87:V88" si="21">L30</f>
        <v>2296.2370017137027</v>
      </c>
      <c r="T87" s="202">
        <f t="shared" si="21"/>
        <v>1767.1702798337028</v>
      </c>
      <c r="U87" s="202">
        <f t="shared" si="21"/>
        <v>244.01244188000001</v>
      </c>
      <c r="V87" s="202">
        <f t="shared" si="21"/>
        <v>285.05427999999995</v>
      </c>
    </row>
    <row r="88" spans="18:22" x14ac:dyDescent="0.2">
      <c r="R88" s="259" t="s">
        <v>136</v>
      </c>
      <c r="S88" s="202">
        <f t="shared" si="21"/>
        <v>2136.2026859220773</v>
      </c>
      <c r="T88" s="202">
        <f t="shared" si="21"/>
        <v>1474.6998439220774</v>
      </c>
      <c r="U88" s="202">
        <f t="shared" si="21"/>
        <v>341.36752000000001</v>
      </c>
      <c r="V88" s="202">
        <f t="shared" si="21"/>
        <v>320.13532199999997</v>
      </c>
    </row>
    <row r="91" spans="18:22" x14ac:dyDescent="0.2">
      <c r="S91" s="202" t="s">
        <v>152</v>
      </c>
      <c r="T91" s="202" t="s">
        <v>153</v>
      </c>
      <c r="U91" s="202" t="s">
        <v>154</v>
      </c>
      <c r="V91" s="261" t="s">
        <v>168</v>
      </c>
    </row>
    <row r="92" spans="18:22" x14ac:dyDescent="0.2">
      <c r="R92" s="216">
        <v>1995</v>
      </c>
      <c r="S92" s="262">
        <f t="shared" ref="S92:U111" si="22">E11</f>
        <v>46.066738999999991</v>
      </c>
      <c r="T92" s="262">
        <f t="shared" si="22"/>
        <v>11.412649999999999</v>
      </c>
      <c r="U92" s="262">
        <f t="shared" si="22"/>
        <v>163.39924000000002</v>
      </c>
      <c r="V92" s="263">
        <f t="shared" ref="V92:V111" si="23">P11</f>
        <v>74.287999999999997</v>
      </c>
    </row>
    <row r="93" spans="18:22" x14ac:dyDescent="0.2">
      <c r="R93" s="216">
        <v>96</v>
      </c>
      <c r="S93" s="262">
        <f t="shared" si="22"/>
        <v>163.01889699999998</v>
      </c>
      <c r="T93" s="262">
        <f t="shared" si="22"/>
        <v>16.600999999999999</v>
      </c>
      <c r="U93" s="262">
        <f t="shared" si="22"/>
        <v>193.27748000000003</v>
      </c>
      <c r="V93" s="263">
        <f t="shared" si="23"/>
        <v>135.94999999999999</v>
      </c>
    </row>
    <row r="94" spans="18:22" x14ac:dyDescent="0.2">
      <c r="R94" s="216">
        <v>97</v>
      </c>
      <c r="S94" s="262">
        <f t="shared" si="22"/>
        <v>343.44413100000003</v>
      </c>
      <c r="T94" s="262">
        <f t="shared" si="22"/>
        <v>32.720779999999998</v>
      </c>
      <c r="U94" s="262">
        <f t="shared" si="22"/>
        <v>171.46097</v>
      </c>
      <c r="V94" s="263">
        <f t="shared" si="23"/>
        <v>46.558</v>
      </c>
    </row>
    <row r="95" spans="18:22" x14ac:dyDescent="0.2">
      <c r="R95" s="216">
        <v>98</v>
      </c>
      <c r="S95" s="262">
        <f t="shared" si="22"/>
        <v>365.36324100000002</v>
      </c>
      <c r="T95" s="262">
        <f t="shared" si="22"/>
        <v>59.643269999999994</v>
      </c>
      <c r="U95" s="262">
        <f t="shared" si="22"/>
        <v>136.50492</v>
      </c>
      <c r="V95" s="263">
        <f t="shared" si="23"/>
        <v>51.488</v>
      </c>
    </row>
    <row r="96" spans="18:22" x14ac:dyDescent="0.2">
      <c r="R96" s="216">
        <v>99</v>
      </c>
      <c r="S96" s="262">
        <f t="shared" si="22"/>
        <v>417.232328</v>
      </c>
      <c r="T96" s="262">
        <f t="shared" si="22"/>
        <v>170.80662000000001</v>
      </c>
      <c r="U96" s="262">
        <f t="shared" si="22"/>
        <v>121.50028001183432</v>
      </c>
      <c r="V96" s="263">
        <f t="shared" si="23"/>
        <v>54.64</v>
      </c>
    </row>
    <row r="97" spans="18:22" x14ac:dyDescent="0.2">
      <c r="R97" s="264">
        <v>2000</v>
      </c>
      <c r="S97" s="262">
        <f t="shared" si="22"/>
        <v>337.65800000000002</v>
      </c>
      <c r="T97" s="262">
        <f t="shared" si="22"/>
        <v>128.93899999999999</v>
      </c>
      <c r="U97" s="262">
        <f t="shared" si="22"/>
        <v>139.20599999999999</v>
      </c>
      <c r="V97" s="263">
        <f t="shared" si="23"/>
        <v>53.411000000000001</v>
      </c>
    </row>
    <row r="98" spans="18:22" x14ac:dyDescent="0.2">
      <c r="R98" s="264" t="s">
        <v>169</v>
      </c>
      <c r="S98" s="262">
        <f t="shared" si="22"/>
        <v>109.77217999999999</v>
      </c>
      <c r="T98" s="262">
        <f t="shared" si="22"/>
        <v>61.743000000000002</v>
      </c>
      <c r="U98" s="262">
        <f t="shared" si="22"/>
        <v>134.38179</v>
      </c>
      <c r="V98" s="263">
        <f t="shared" si="23"/>
        <v>45.167000000000002</v>
      </c>
    </row>
    <row r="99" spans="18:22" x14ac:dyDescent="0.2">
      <c r="R99" s="264" t="s">
        <v>170</v>
      </c>
      <c r="S99" s="262">
        <f t="shared" si="22"/>
        <v>107.84</v>
      </c>
      <c r="T99" s="262">
        <f t="shared" si="22"/>
        <v>37.657000000000004</v>
      </c>
      <c r="U99" s="262">
        <f t="shared" si="22"/>
        <v>96.701999999999998</v>
      </c>
      <c r="V99" s="263">
        <f t="shared" si="23"/>
        <v>17.329999999999998</v>
      </c>
    </row>
    <row r="100" spans="18:22" x14ac:dyDescent="0.2">
      <c r="R100" s="264" t="s">
        <v>171</v>
      </c>
      <c r="S100" s="262">
        <f t="shared" si="22"/>
        <v>87.165000000000006</v>
      </c>
      <c r="T100" s="262">
        <f t="shared" si="22"/>
        <v>12.826000000000001</v>
      </c>
      <c r="U100" s="262">
        <f t="shared" si="22"/>
        <v>91.965999999999994</v>
      </c>
      <c r="V100" s="263">
        <f t="shared" si="23"/>
        <v>43.427999999999997</v>
      </c>
    </row>
    <row r="101" spans="18:22" x14ac:dyDescent="0.2">
      <c r="R101" s="264" t="s">
        <v>172</v>
      </c>
      <c r="S101" s="262">
        <f t="shared" si="22"/>
        <v>159.566</v>
      </c>
      <c r="T101" s="262">
        <f t="shared" si="22"/>
        <v>24.366</v>
      </c>
      <c r="U101" s="262">
        <f t="shared" si="22"/>
        <v>100.76300000000001</v>
      </c>
      <c r="V101" s="263">
        <f t="shared" si="23"/>
        <v>39.078000000000003</v>
      </c>
    </row>
    <row r="102" spans="18:22" x14ac:dyDescent="0.2">
      <c r="R102" s="264" t="s">
        <v>173</v>
      </c>
      <c r="S102" s="262">
        <f t="shared" si="22"/>
        <v>193.49135000000001</v>
      </c>
      <c r="T102" s="262">
        <f t="shared" si="22"/>
        <v>20.633900000000001</v>
      </c>
      <c r="U102" s="262">
        <f t="shared" si="22"/>
        <v>134.36663999999999</v>
      </c>
      <c r="V102" s="263">
        <f t="shared" si="23"/>
        <v>45.244</v>
      </c>
    </row>
    <row r="103" spans="18:22" x14ac:dyDescent="0.2">
      <c r="R103" s="264" t="s">
        <v>174</v>
      </c>
      <c r="S103" s="262">
        <f t="shared" si="22"/>
        <v>289.57499999999999</v>
      </c>
      <c r="T103" s="262">
        <f t="shared" si="22"/>
        <v>16.542999999999999</v>
      </c>
      <c r="U103" s="262">
        <f t="shared" si="22"/>
        <v>140.08600000000001</v>
      </c>
      <c r="V103" s="263">
        <f t="shared" si="23"/>
        <v>33.953000000000003</v>
      </c>
    </row>
    <row r="104" spans="18:22" x14ac:dyDescent="0.2">
      <c r="R104" s="264" t="s">
        <v>175</v>
      </c>
      <c r="S104" s="262">
        <f t="shared" si="22"/>
        <v>318.03030000000001</v>
      </c>
      <c r="T104" s="262">
        <f t="shared" si="22"/>
        <v>69.635899999999992</v>
      </c>
      <c r="U104" s="262">
        <f t="shared" si="22"/>
        <v>151.40692999999999</v>
      </c>
      <c r="V104" s="263">
        <f t="shared" si="23"/>
        <v>89.927000000000007</v>
      </c>
    </row>
    <row r="105" spans="18:22" x14ac:dyDescent="0.2">
      <c r="R105" s="264" t="s">
        <v>176</v>
      </c>
      <c r="S105" s="262">
        <f t="shared" si="22"/>
        <v>483.51</v>
      </c>
      <c r="T105" s="262">
        <f t="shared" si="22"/>
        <v>43.1</v>
      </c>
      <c r="U105" s="262">
        <f t="shared" si="22"/>
        <v>235.91</v>
      </c>
      <c r="V105" s="263">
        <f t="shared" si="23"/>
        <v>99.486999999999995</v>
      </c>
    </row>
    <row r="106" spans="18:22" x14ac:dyDescent="0.2">
      <c r="R106" s="264" t="s">
        <v>177</v>
      </c>
      <c r="S106" s="262">
        <f t="shared" si="22"/>
        <v>448.38329999999996</v>
      </c>
      <c r="T106" s="262">
        <f t="shared" si="22"/>
        <v>254.363</v>
      </c>
      <c r="U106" s="262">
        <f t="shared" si="22"/>
        <v>289.37342000000001</v>
      </c>
      <c r="V106" s="263">
        <f t="shared" si="23"/>
        <v>184.72200000000001</v>
      </c>
    </row>
    <row r="107" spans="18:22" x14ac:dyDescent="0.2">
      <c r="R107" s="216">
        <v>10</v>
      </c>
      <c r="S107" s="262">
        <f t="shared" si="22"/>
        <v>558.63338222614846</v>
      </c>
      <c r="T107" s="262">
        <f t="shared" si="22"/>
        <v>332.55720000000002</v>
      </c>
      <c r="U107" s="262">
        <f t="shared" si="22"/>
        <v>253.1712</v>
      </c>
      <c r="V107" s="263">
        <f t="shared" si="23"/>
        <v>223.376</v>
      </c>
    </row>
    <row r="108" spans="18:22" x14ac:dyDescent="0.2">
      <c r="R108" s="216">
        <v>11</v>
      </c>
      <c r="S108" s="262">
        <f t="shared" si="22"/>
        <v>1240.8</v>
      </c>
      <c r="T108" s="262">
        <f t="shared" si="22"/>
        <v>278.5</v>
      </c>
      <c r="U108" s="262">
        <f t="shared" si="22"/>
        <v>229.4</v>
      </c>
      <c r="V108" s="263">
        <f t="shared" si="23"/>
        <v>131.30000000000001</v>
      </c>
    </row>
    <row r="109" spans="18:22" x14ac:dyDescent="0.2">
      <c r="R109" s="216">
        <v>12</v>
      </c>
      <c r="S109" s="262">
        <f t="shared" si="22"/>
        <v>1781.40966045</v>
      </c>
      <c r="T109" s="262">
        <f t="shared" si="22"/>
        <v>470.27</v>
      </c>
      <c r="U109" s="262">
        <f t="shared" si="22"/>
        <v>337.36420000000004</v>
      </c>
      <c r="V109" s="263">
        <f t="shared" si="23"/>
        <v>149.8812093018218</v>
      </c>
    </row>
    <row r="110" spans="18:22" x14ac:dyDescent="0.2">
      <c r="R110" s="216">
        <v>13</v>
      </c>
      <c r="S110" s="262">
        <f t="shared" si="22"/>
        <v>1829.8335</v>
      </c>
      <c r="T110" s="262">
        <f t="shared" si="22"/>
        <v>188.4134</v>
      </c>
      <c r="U110" s="262">
        <f t="shared" si="22"/>
        <v>421.36850000000004</v>
      </c>
      <c r="V110" s="263">
        <f t="shared" si="23"/>
        <v>149.41353189887735</v>
      </c>
    </row>
    <row r="111" spans="18:22" x14ac:dyDescent="0.2">
      <c r="R111" s="216">
        <v>14</v>
      </c>
      <c r="S111" s="262">
        <f t="shared" si="22"/>
        <v>1829.2607998337028</v>
      </c>
      <c r="T111" s="262">
        <f t="shared" si="22"/>
        <v>244.01244188000001</v>
      </c>
      <c r="U111" s="262">
        <f t="shared" si="22"/>
        <v>401.29525350396761</v>
      </c>
      <c r="V111" s="263">
        <f t="shared" si="23"/>
        <v>111.02398648648649</v>
      </c>
    </row>
    <row r="112" spans="18:22" x14ac:dyDescent="0.2">
      <c r="R112" s="259" t="s">
        <v>136</v>
      </c>
      <c r="S112" s="262">
        <f>E31</f>
        <v>1553.6569439220775</v>
      </c>
      <c r="T112" s="262">
        <f>F31</f>
        <v>341.36752000000001</v>
      </c>
      <c r="U112" s="262">
        <f>G31</f>
        <v>372.27285752652858</v>
      </c>
      <c r="V112" s="263">
        <f>P31</f>
        <v>116.49476124567477</v>
      </c>
    </row>
    <row r="113" spans="18:22" x14ac:dyDescent="0.2">
      <c r="R113" s="216"/>
      <c r="S113" s="262"/>
      <c r="T113" s="262"/>
      <c r="U113" s="262"/>
      <c r="V113" s="263"/>
    </row>
  </sheetData>
  <mergeCells count="6">
    <mergeCell ref="R35:R36"/>
    <mergeCell ref="B7:B8"/>
    <mergeCell ref="D7:G7"/>
    <mergeCell ref="H7:K7"/>
    <mergeCell ref="L7:O7"/>
    <mergeCell ref="P7:P9"/>
  </mergeCells>
  <printOptions horizontalCentered="1" verticalCentered="1"/>
  <pageMargins left="0.23622047244094491" right="0.23622047244094491" top="0.39370078740157483" bottom="0.39370078740157483" header="0" footer="0"/>
  <pageSetup paperSize="9" scale="4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88"/>
  <sheetViews>
    <sheetView view="pageBreakPreview" topLeftCell="A91" zoomScaleNormal="100" zoomScaleSheetLayoutView="100" workbookViewId="0">
      <selection activeCell="C35" sqref="C35"/>
    </sheetView>
  </sheetViews>
  <sheetFormatPr baseColWidth="10" defaultRowHeight="12.75" x14ac:dyDescent="0.2"/>
  <cols>
    <col min="1" max="1" width="4.28515625" style="157" customWidth="1"/>
    <col min="2" max="2" width="21.42578125" style="157" customWidth="1"/>
    <col min="3" max="3" width="11.42578125" style="157"/>
    <col min="4" max="4" width="9.140625" style="157" bestFit="1" customWidth="1"/>
    <col min="5" max="6" width="8.5703125" style="157" customWidth="1"/>
    <col min="7" max="7" width="8" style="157" customWidth="1"/>
    <col min="8" max="8" width="11.140625" style="157" customWidth="1"/>
    <col min="9" max="9" width="11.7109375" style="157" customWidth="1"/>
    <col min="10" max="11" width="9.28515625" style="157" customWidth="1"/>
    <col min="12" max="12" width="7.28515625" style="157" customWidth="1"/>
    <col min="13" max="13" width="9.28515625" style="157" customWidth="1"/>
    <col min="14" max="14" width="9.85546875" style="157" customWidth="1"/>
    <col min="15" max="15" width="8.7109375" style="157" customWidth="1"/>
    <col min="16" max="16" width="11.42578125" style="157" customWidth="1"/>
    <col min="17" max="256" width="11.42578125" style="157"/>
    <col min="257" max="257" width="4.28515625" style="157" customWidth="1"/>
    <col min="258" max="258" width="21.42578125" style="157" customWidth="1"/>
    <col min="259" max="259" width="11.42578125" style="157"/>
    <col min="260" max="260" width="9.140625" style="157" bestFit="1" customWidth="1"/>
    <col min="261" max="262" width="8.5703125" style="157" customWidth="1"/>
    <col min="263" max="263" width="8" style="157" customWidth="1"/>
    <col min="264" max="264" width="11.140625" style="157" customWidth="1"/>
    <col min="265" max="265" width="11.7109375" style="157" customWidth="1"/>
    <col min="266" max="267" width="9.28515625" style="157" customWidth="1"/>
    <col min="268" max="268" width="7.28515625" style="157" customWidth="1"/>
    <col min="269" max="269" width="9.28515625" style="157" customWidth="1"/>
    <col min="270" max="270" width="9.85546875" style="157" customWidth="1"/>
    <col min="271" max="271" width="8.7109375" style="157" customWidth="1"/>
    <col min="272" max="272" width="11.42578125" style="157" customWidth="1"/>
    <col min="273" max="512" width="11.42578125" style="157"/>
    <col min="513" max="513" width="4.28515625" style="157" customWidth="1"/>
    <col min="514" max="514" width="21.42578125" style="157" customWidth="1"/>
    <col min="515" max="515" width="11.42578125" style="157"/>
    <col min="516" max="516" width="9.140625" style="157" bestFit="1" customWidth="1"/>
    <col min="517" max="518" width="8.5703125" style="157" customWidth="1"/>
    <col min="519" max="519" width="8" style="157" customWidth="1"/>
    <col min="520" max="520" width="11.140625" style="157" customWidth="1"/>
    <col min="521" max="521" width="11.7109375" style="157" customWidth="1"/>
    <col min="522" max="523" width="9.28515625" style="157" customWidth="1"/>
    <col min="524" max="524" width="7.28515625" style="157" customWidth="1"/>
    <col min="525" max="525" width="9.28515625" style="157" customWidth="1"/>
    <col min="526" max="526" width="9.85546875" style="157" customWidth="1"/>
    <col min="527" max="527" width="8.7109375" style="157" customWidth="1"/>
    <col min="528" max="528" width="11.42578125" style="157" customWidth="1"/>
    <col min="529" max="768" width="11.42578125" style="157"/>
    <col min="769" max="769" width="4.28515625" style="157" customWidth="1"/>
    <col min="770" max="770" width="21.42578125" style="157" customWidth="1"/>
    <col min="771" max="771" width="11.42578125" style="157"/>
    <col min="772" max="772" width="9.140625" style="157" bestFit="1" customWidth="1"/>
    <col min="773" max="774" width="8.5703125" style="157" customWidth="1"/>
    <col min="775" max="775" width="8" style="157" customWidth="1"/>
    <col min="776" max="776" width="11.140625" style="157" customWidth="1"/>
    <col min="777" max="777" width="11.7109375" style="157" customWidth="1"/>
    <col min="778" max="779" width="9.28515625" style="157" customWidth="1"/>
    <col min="780" max="780" width="7.28515625" style="157" customWidth="1"/>
    <col min="781" max="781" width="9.28515625" style="157" customWidth="1"/>
    <col min="782" max="782" width="9.85546875" style="157" customWidth="1"/>
    <col min="783" max="783" width="8.7109375" style="157" customWidth="1"/>
    <col min="784" max="784" width="11.42578125" style="157" customWidth="1"/>
    <col min="785" max="1024" width="11.42578125" style="157"/>
    <col min="1025" max="1025" width="4.28515625" style="157" customWidth="1"/>
    <col min="1026" max="1026" width="21.42578125" style="157" customWidth="1"/>
    <col min="1027" max="1027" width="11.42578125" style="157"/>
    <col min="1028" max="1028" width="9.140625" style="157" bestFit="1" customWidth="1"/>
    <col min="1029" max="1030" width="8.5703125" style="157" customWidth="1"/>
    <col min="1031" max="1031" width="8" style="157" customWidth="1"/>
    <col min="1032" max="1032" width="11.140625" style="157" customWidth="1"/>
    <col min="1033" max="1033" width="11.7109375" style="157" customWidth="1"/>
    <col min="1034" max="1035" width="9.28515625" style="157" customWidth="1"/>
    <col min="1036" max="1036" width="7.28515625" style="157" customWidth="1"/>
    <col min="1037" max="1037" width="9.28515625" style="157" customWidth="1"/>
    <col min="1038" max="1038" width="9.85546875" style="157" customWidth="1"/>
    <col min="1039" max="1039" width="8.7109375" style="157" customWidth="1"/>
    <col min="1040" max="1040" width="11.42578125" style="157" customWidth="1"/>
    <col min="1041" max="1280" width="11.42578125" style="157"/>
    <col min="1281" max="1281" width="4.28515625" style="157" customWidth="1"/>
    <col min="1282" max="1282" width="21.42578125" style="157" customWidth="1"/>
    <col min="1283" max="1283" width="11.42578125" style="157"/>
    <col min="1284" max="1284" width="9.140625" style="157" bestFit="1" customWidth="1"/>
    <col min="1285" max="1286" width="8.5703125" style="157" customWidth="1"/>
    <col min="1287" max="1287" width="8" style="157" customWidth="1"/>
    <col min="1288" max="1288" width="11.140625" style="157" customWidth="1"/>
    <col min="1289" max="1289" width="11.7109375" style="157" customWidth="1"/>
    <col min="1290" max="1291" width="9.28515625" style="157" customWidth="1"/>
    <col min="1292" max="1292" width="7.28515625" style="157" customWidth="1"/>
    <col min="1293" max="1293" width="9.28515625" style="157" customWidth="1"/>
    <col min="1294" max="1294" width="9.85546875" style="157" customWidth="1"/>
    <col min="1295" max="1295" width="8.7109375" style="157" customWidth="1"/>
    <col min="1296" max="1296" width="11.42578125" style="157" customWidth="1"/>
    <col min="1297" max="1536" width="11.42578125" style="157"/>
    <col min="1537" max="1537" width="4.28515625" style="157" customWidth="1"/>
    <col min="1538" max="1538" width="21.42578125" style="157" customWidth="1"/>
    <col min="1539" max="1539" width="11.42578125" style="157"/>
    <col min="1540" max="1540" width="9.140625" style="157" bestFit="1" customWidth="1"/>
    <col min="1541" max="1542" width="8.5703125" style="157" customWidth="1"/>
    <col min="1543" max="1543" width="8" style="157" customWidth="1"/>
    <col min="1544" max="1544" width="11.140625" style="157" customWidth="1"/>
    <col min="1545" max="1545" width="11.7109375" style="157" customWidth="1"/>
    <col min="1546" max="1547" width="9.28515625" style="157" customWidth="1"/>
    <col min="1548" max="1548" width="7.28515625" style="157" customWidth="1"/>
    <col min="1549" max="1549" width="9.28515625" style="157" customWidth="1"/>
    <col min="1550" max="1550" width="9.85546875" style="157" customWidth="1"/>
    <col min="1551" max="1551" width="8.7109375" style="157" customWidth="1"/>
    <col min="1552" max="1552" width="11.42578125" style="157" customWidth="1"/>
    <col min="1553" max="1792" width="11.42578125" style="157"/>
    <col min="1793" max="1793" width="4.28515625" style="157" customWidth="1"/>
    <col min="1794" max="1794" width="21.42578125" style="157" customWidth="1"/>
    <col min="1795" max="1795" width="11.42578125" style="157"/>
    <col min="1796" max="1796" width="9.140625" style="157" bestFit="1" customWidth="1"/>
    <col min="1797" max="1798" width="8.5703125" style="157" customWidth="1"/>
    <col min="1799" max="1799" width="8" style="157" customWidth="1"/>
    <col min="1800" max="1800" width="11.140625" style="157" customWidth="1"/>
    <col min="1801" max="1801" width="11.7109375" style="157" customWidth="1"/>
    <col min="1802" max="1803" width="9.28515625" style="157" customWidth="1"/>
    <col min="1804" max="1804" width="7.28515625" style="157" customWidth="1"/>
    <col min="1805" max="1805" width="9.28515625" style="157" customWidth="1"/>
    <col min="1806" max="1806" width="9.85546875" style="157" customWidth="1"/>
    <col min="1807" max="1807" width="8.7109375" style="157" customWidth="1"/>
    <col min="1808" max="1808" width="11.42578125" style="157" customWidth="1"/>
    <col min="1809" max="2048" width="11.42578125" style="157"/>
    <col min="2049" max="2049" width="4.28515625" style="157" customWidth="1"/>
    <col min="2050" max="2050" width="21.42578125" style="157" customWidth="1"/>
    <col min="2051" max="2051" width="11.42578125" style="157"/>
    <col min="2052" max="2052" width="9.140625" style="157" bestFit="1" customWidth="1"/>
    <col min="2053" max="2054" width="8.5703125" style="157" customWidth="1"/>
    <col min="2055" max="2055" width="8" style="157" customWidth="1"/>
    <col min="2056" max="2056" width="11.140625" style="157" customWidth="1"/>
    <col min="2057" max="2057" width="11.7109375" style="157" customWidth="1"/>
    <col min="2058" max="2059" width="9.28515625" style="157" customWidth="1"/>
    <col min="2060" max="2060" width="7.28515625" style="157" customWidth="1"/>
    <col min="2061" max="2061" width="9.28515625" style="157" customWidth="1"/>
    <col min="2062" max="2062" width="9.85546875" style="157" customWidth="1"/>
    <col min="2063" max="2063" width="8.7109375" style="157" customWidth="1"/>
    <col min="2064" max="2064" width="11.42578125" style="157" customWidth="1"/>
    <col min="2065" max="2304" width="11.42578125" style="157"/>
    <col min="2305" max="2305" width="4.28515625" style="157" customWidth="1"/>
    <col min="2306" max="2306" width="21.42578125" style="157" customWidth="1"/>
    <col min="2307" max="2307" width="11.42578125" style="157"/>
    <col min="2308" max="2308" width="9.140625" style="157" bestFit="1" customWidth="1"/>
    <col min="2309" max="2310" width="8.5703125" style="157" customWidth="1"/>
    <col min="2311" max="2311" width="8" style="157" customWidth="1"/>
    <col min="2312" max="2312" width="11.140625" style="157" customWidth="1"/>
    <col min="2313" max="2313" width="11.7109375" style="157" customWidth="1"/>
    <col min="2314" max="2315" width="9.28515625" style="157" customWidth="1"/>
    <col min="2316" max="2316" width="7.28515625" style="157" customWidth="1"/>
    <col min="2317" max="2317" width="9.28515625" style="157" customWidth="1"/>
    <col min="2318" max="2318" width="9.85546875" style="157" customWidth="1"/>
    <col min="2319" max="2319" width="8.7109375" style="157" customWidth="1"/>
    <col min="2320" max="2320" width="11.42578125" style="157" customWidth="1"/>
    <col min="2321" max="2560" width="11.42578125" style="157"/>
    <col min="2561" max="2561" width="4.28515625" style="157" customWidth="1"/>
    <col min="2562" max="2562" width="21.42578125" style="157" customWidth="1"/>
    <col min="2563" max="2563" width="11.42578125" style="157"/>
    <col min="2564" max="2564" width="9.140625" style="157" bestFit="1" customWidth="1"/>
    <col min="2565" max="2566" width="8.5703125" style="157" customWidth="1"/>
    <col min="2567" max="2567" width="8" style="157" customWidth="1"/>
    <col min="2568" max="2568" width="11.140625" style="157" customWidth="1"/>
    <col min="2569" max="2569" width="11.7109375" style="157" customWidth="1"/>
    <col min="2570" max="2571" width="9.28515625" style="157" customWidth="1"/>
    <col min="2572" max="2572" width="7.28515625" style="157" customWidth="1"/>
    <col min="2573" max="2573" width="9.28515625" style="157" customWidth="1"/>
    <col min="2574" max="2574" width="9.85546875" style="157" customWidth="1"/>
    <col min="2575" max="2575" width="8.7109375" style="157" customWidth="1"/>
    <col min="2576" max="2576" width="11.42578125" style="157" customWidth="1"/>
    <col min="2577" max="2816" width="11.42578125" style="157"/>
    <col min="2817" max="2817" width="4.28515625" style="157" customWidth="1"/>
    <col min="2818" max="2818" width="21.42578125" style="157" customWidth="1"/>
    <col min="2819" max="2819" width="11.42578125" style="157"/>
    <col min="2820" max="2820" width="9.140625" style="157" bestFit="1" customWidth="1"/>
    <col min="2821" max="2822" width="8.5703125" style="157" customWidth="1"/>
    <col min="2823" max="2823" width="8" style="157" customWidth="1"/>
    <col min="2824" max="2824" width="11.140625" style="157" customWidth="1"/>
    <col min="2825" max="2825" width="11.7109375" style="157" customWidth="1"/>
    <col min="2826" max="2827" width="9.28515625" style="157" customWidth="1"/>
    <col min="2828" max="2828" width="7.28515625" style="157" customWidth="1"/>
    <col min="2829" max="2829" width="9.28515625" style="157" customWidth="1"/>
    <col min="2830" max="2830" width="9.85546875" style="157" customWidth="1"/>
    <col min="2831" max="2831" width="8.7109375" style="157" customWidth="1"/>
    <col min="2832" max="2832" width="11.42578125" style="157" customWidth="1"/>
    <col min="2833" max="3072" width="11.42578125" style="157"/>
    <col min="3073" max="3073" width="4.28515625" style="157" customWidth="1"/>
    <col min="3074" max="3074" width="21.42578125" style="157" customWidth="1"/>
    <col min="3075" max="3075" width="11.42578125" style="157"/>
    <col min="3076" max="3076" width="9.140625" style="157" bestFit="1" customWidth="1"/>
    <col min="3077" max="3078" width="8.5703125" style="157" customWidth="1"/>
    <col min="3079" max="3079" width="8" style="157" customWidth="1"/>
    <col min="3080" max="3080" width="11.140625" style="157" customWidth="1"/>
    <col min="3081" max="3081" width="11.7109375" style="157" customWidth="1"/>
    <col min="3082" max="3083" width="9.28515625" style="157" customWidth="1"/>
    <col min="3084" max="3084" width="7.28515625" style="157" customWidth="1"/>
    <col min="3085" max="3085" width="9.28515625" style="157" customWidth="1"/>
    <col min="3086" max="3086" width="9.85546875" style="157" customWidth="1"/>
    <col min="3087" max="3087" width="8.7109375" style="157" customWidth="1"/>
    <col min="3088" max="3088" width="11.42578125" style="157" customWidth="1"/>
    <col min="3089" max="3328" width="11.42578125" style="157"/>
    <col min="3329" max="3329" width="4.28515625" style="157" customWidth="1"/>
    <col min="3330" max="3330" width="21.42578125" style="157" customWidth="1"/>
    <col min="3331" max="3331" width="11.42578125" style="157"/>
    <col min="3332" max="3332" width="9.140625" style="157" bestFit="1" customWidth="1"/>
    <col min="3333" max="3334" width="8.5703125" style="157" customWidth="1"/>
    <col min="3335" max="3335" width="8" style="157" customWidth="1"/>
    <col min="3336" max="3336" width="11.140625" style="157" customWidth="1"/>
    <col min="3337" max="3337" width="11.7109375" style="157" customWidth="1"/>
    <col min="3338" max="3339" width="9.28515625" style="157" customWidth="1"/>
    <col min="3340" max="3340" width="7.28515625" style="157" customWidth="1"/>
    <col min="3341" max="3341" width="9.28515625" style="157" customWidth="1"/>
    <col min="3342" max="3342" width="9.85546875" style="157" customWidth="1"/>
    <col min="3343" max="3343" width="8.7109375" style="157" customWidth="1"/>
    <col min="3344" max="3344" width="11.42578125" style="157" customWidth="1"/>
    <col min="3345" max="3584" width="11.42578125" style="157"/>
    <col min="3585" max="3585" width="4.28515625" style="157" customWidth="1"/>
    <col min="3586" max="3586" width="21.42578125" style="157" customWidth="1"/>
    <col min="3587" max="3587" width="11.42578125" style="157"/>
    <col min="3588" max="3588" width="9.140625" style="157" bestFit="1" customWidth="1"/>
    <col min="3589" max="3590" width="8.5703125" style="157" customWidth="1"/>
    <col min="3591" max="3591" width="8" style="157" customWidth="1"/>
    <col min="3592" max="3592" width="11.140625" style="157" customWidth="1"/>
    <col min="3593" max="3593" width="11.7109375" style="157" customWidth="1"/>
    <col min="3594" max="3595" width="9.28515625" style="157" customWidth="1"/>
    <col min="3596" max="3596" width="7.28515625" style="157" customWidth="1"/>
    <col min="3597" max="3597" width="9.28515625" style="157" customWidth="1"/>
    <col min="3598" max="3598" width="9.85546875" style="157" customWidth="1"/>
    <col min="3599" max="3599" width="8.7109375" style="157" customWidth="1"/>
    <col min="3600" max="3600" width="11.42578125" style="157" customWidth="1"/>
    <col min="3601" max="3840" width="11.42578125" style="157"/>
    <col min="3841" max="3841" width="4.28515625" style="157" customWidth="1"/>
    <col min="3842" max="3842" width="21.42578125" style="157" customWidth="1"/>
    <col min="3843" max="3843" width="11.42578125" style="157"/>
    <col min="3844" max="3844" width="9.140625" style="157" bestFit="1" customWidth="1"/>
    <col min="3845" max="3846" width="8.5703125" style="157" customWidth="1"/>
    <col min="3847" max="3847" width="8" style="157" customWidth="1"/>
    <col min="3848" max="3848" width="11.140625" style="157" customWidth="1"/>
    <col min="3849" max="3849" width="11.7109375" style="157" customWidth="1"/>
    <col min="3850" max="3851" width="9.28515625" style="157" customWidth="1"/>
    <col min="3852" max="3852" width="7.28515625" style="157" customWidth="1"/>
    <col min="3853" max="3853" width="9.28515625" style="157" customWidth="1"/>
    <col min="3854" max="3854" width="9.85546875" style="157" customWidth="1"/>
    <col min="3855" max="3855" width="8.7109375" style="157" customWidth="1"/>
    <col min="3856" max="3856" width="11.42578125" style="157" customWidth="1"/>
    <col min="3857" max="4096" width="11.42578125" style="157"/>
    <col min="4097" max="4097" width="4.28515625" style="157" customWidth="1"/>
    <col min="4098" max="4098" width="21.42578125" style="157" customWidth="1"/>
    <col min="4099" max="4099" width="11.42578125" style="157"/>
    <col min="4100" max="4100" width="9.140625" style="157" bestFit="1" customWidth="1"/>
    <col min="4101" max="4102" width="8.5703125" style="157" customWidth="1"/>
    <col min="4103" max="4103" width="8" style="157" customWidth="1"/>
    <col min="4104" max="4104" width="11.140625" style="157" customWidth="1"/>
    <col min="4105" max="4105" width="11.7109375" style="157" customWidth="1"/>
    <col min="4106" max="4107" width="9.28515625" style="157" customWidth="1"/>
    <col min="4108" max="4108" width="7.28515625" style="157" customWidth="1"/>
    <col min="4109" max="4109" width="9.28515625" style="157" customWidth="1"/>
    <col min="4110" max="4110" width="9.85546875" style="157" customWidth="1"/>
    <col min="4111" max="4111" width="8.7109375" style="157" customWidth="1"/>
    <col min="4112" max="4112" width="11.42578125" style="157" customWidth="1"/>
    <col min="4113" max="4352" width="11.42578125" style="157"/>
    <col min="4353" max="4353" width="4.28515625" style="157" customWidth="1"/>
    <col min="4354" max="4354" width="21.42578125" style="157" customWidth="1"/>
    <col min="4355" max="4355" width="11.42578125" style="157"/>
    <col min="4356" max="4356" width="9.140625" style="157" bestFit="1" customWidth="1"/>
    <col min="4357" max="4358" width="8.5703125" style="157" customWidth="1"/>
    <col min="4359" max="4359" width="8" style="157" customWidth="1"/>
    <col min="4360" max="4360" width="11.140625" style="157" customWidth="1"/>
    <col min="4361" max="4361" width="11.7109375" style="157" customWidth="1"/>
    <col min="4362" max="4363" width="9.28515625" style="157" customWidth="1"/>
    <col min="4364" max="4364" width="7.28515625" style="157" customWidth="1"/>
    <col min="4365" max="4365" width="9.28515625" style="157" customWidth="1"/>
    <col min="4366" max="4366" width="9.85546875" style="157" customWidth="1"/>
    <col min="4367" max="4367" width="8.7109375" style="157" customWidth="1"/>
    <col min="4368" max="4368" width="11.42578125" style="157" customWidth="1"/>
    <col min="4369" max="4608" width="11.42578125" style="157"/>
    <col min="4609" max="4609" width="4.28515625" style="157" customWidth="1"/>
    <col min="4610" max="4610" width="21.42578125" style="157" customWidth="1"/>
    <col min="4611" max="4611" width="11.42578125" style="157"/>
    <col min="4612" max="4612" width="9.140625" style="157" bestFit="1" customWidth="1"/>
    <col min="4613" max="4614" width="8.5703125" style="157" customWidth="1"/>
    <col min="4615" max="4615" width="8" style="157" customWidth="1"/>
    <col min="4616" max="4616" width="11.140625" style="157" customWidth="1"/>
    <col min="4617" max="4617" width="11.7109375" style="157" customWidth="1"/>
    <col min="4618" max="4619" width="9.28515625" style="157" customWidth="1"/>
    <col min="4620" max="4620" width="7.28515625" style="157" customWidth="1"/>
    <col min="4621" max="4621" width="9.28515625" style="157" customWidth="1"/>
    <col min="4622" max="4622" width="9.85546875" style="157" customWidth="1"/>
    <col min="4623" max="4623" width="8.7109375" style="157" customWidth="1"/>
    <col min="4624" max="4624" width="11.42578125" style="157" customWidth="1"/>
    <col min="4625" max="4864" width="11.42578125" style="157"/>
    <col min="4865" max="4865" width="4.28515625" style="157" customWidth="1"/>
    <col min="4866" max="4866" width="21.42578125" style="157" customWidth="1"/>
    <col min="4867" max="4867" width="11.42578125" style="157"/>
    <col min="4868" max="4868" width="9.140625" style="157" bestFit="1" customWidth="1"/>
    <col min="4869" max="4870" width="8.5703125" style="157" customWidth="1"/>
    <col min="4871" max="4871" width="8" style="157" customWidth="1"/>
    <col min="4872" max="4872" width="11.140625" style="157" customWidth="1"/>
    <col min="4873" max="4873" width="11.7109375" style="157" customWidth="1"/>
    <col min="4874" max="4875" width="9.28515625" style="157" customWidth="1"/>
    <col min="4876" max="4876" width="7.28515625" style="157" customWidth="1"/>
    <col min="4877" max="4877" width="9.28515625" style="157" customWidth="1"/>
    <col min="4878" max="4878" width="9.85546875" style="157" customWidth="1"/>
    <col min="4879" max="4879" width="8.7109375" style="157" customWidth="1"/>
    <col min="4880" max="4880" width="11.42578125" style="157" customWidth="1"/>
    <col min="4881" max="5120" width="11.42578125" style="157"/>
    <col min="5121" max="5121" width="4.28515625" style="157" customWidth="1"/>
    <col min="5122" max="5122" width="21.42578125" style="157" customWidth="1"/>
    <col min="5123" max="5123" width="11.42578125" style="157"/>
    <col min="5124" max="5124" width="9.140625" style="157" bestFit="1" customWidth="1"/>
    <col min="5125" max="5126" width="8.5703125" style="157" customWidth="1"/>
    <col min="5127" max="5127" width="8" style="157" customWidth="1"/>
    <col min="5128" max="5128" width="11.140625" style="157" customWidth="1"/>
    <col min="5129" max="5129" width="11.7109375" style="157" customWidth="1"/>
    <col min="5130" max="5131" width="9.28515625" style="157" customWidth="1"/>
    <col min="5132" max="5132" width="7.28515625" style="157" customWidth="1"/>
    <col min="5133" max="5133" width="9.28515625" style="157" customWidth="1"/>
    <col min="5134" max="5134" width="9.85546875" style="157" customWidth="1"/>
    <col min="5135" max="5135" width="8.7109375" style="157" customWidth="1"/>
    <col min="5136" max="5136" width="11.42578125" style="157" customWidth="1"/>
    <col min="5137" max="5376" width="11.42578125" style="157"/>
    <col min="5377" max="5377" width="4.28515625" style="157" customWidth="1"/>
    <col min="5378" max="5378" width="21.42578125" style="157" customWidth="1"/>
    <col min="5379" max="5379" width="11.42578125" style="157"/>
    <col min="5380" max="5380" width="9.140625" style="157" bestFit="1" customWidth="1"/>
    <col min="5381" max="5382" width="8.5703125" style="157" customWidth="1"/>
    <col min="5383" max="5383" width="8" style="157" customWidth="1"/>
    <col min="5384" max="5384" width="11.140625" style="157" customWidth="1"/>
    <col min="5385" max="5385" width="11.7109375" style="157" customWidth="1"/>
    <col min="5386" max="5387" width="9.28515625" style="157" customWidth="1"/>
    <col min="5388" max="5388" width="7.28515625" style="157" customWidth="1"/>
    <col min="5389" max="5389" width="9.28515625" style="157" customWidth="1"/>
    <col min="5390" max="5390" width="9.85546875" style="157" customWidth="1"/>
    <col min="5391" max="5391" width="8.7109375" style="157" customWidth="1"/>
    <col min="5392" max="5392" width="11.42578125" style="157" customWidth="1"/>
    <col min="5393" max="5632" width="11.42578125" style="157"/>
    <col min="5633" max="5633" width="4.28515625" style="157" customWidth="1"/>
    <col min="5634" max="5634" width="21.42578125" style="157" customWidth="1"/>
    <col min="5635" max="5635" width="11.42578125" style="157"/>
    <col min="5636" max="5636" width="9.140625" style="157" bestFit="1" customWidth="1"/>
    <col min="5637" max="5638" width="8.5703125" style="157" customWidth="1"/>
    <col min="5639" max="5639" width="8" style="157" customWidth="1"/>
    <col min="5640" max="5640" width="11.140625" style="157" customWidth="1"/>
    <col min="5641" max="5641" width="11.7109375" style="157" customWidth="1"/>
    <col min="5642" max="5643" width="9.28515625" style="157" customWidth="1"/>
    <col min="5644" max="5644" width="7.28515625" style="157" customWidth="1"/>
    <col min="5645" max="5645" width="9.28515625" style="157" customWidth="1"/>
    <col min="5646" max="5646" width="9.85546875" style="157" customWidth="1"/>
    <col min="5647" max="5647" width="8.7109375" style="157" customWidth="1"/>
    <col min="5648" max="5648" width="11.42578125" style="157" customWidth="1"/>
    <col min="5649" max="5888" width="11.42578125" style="157"/>
    <col min="5889" max="5889" width="4.28515625" style="157" customWidth="1"/>
    <col min="5890" max="5890" width="21.42578125" style="157" customWidth="1"/>
    <col min="5891" max="5891" width="11.42578125" style="157"/>
    <col min="5892" max="5892" width="9.140625" style="157" bestFit="1" customWidth="1"/>
    <col min="5893" max="5894" width="8.5703125" style="157" customWidth="1"/>
    <col min="5895" max="5895" width="8" style="157" customWidth="1"/>
    <col min="5896" max="5896" width="11.140625" style="157" customWidth="1"/>
    <col min="5897" max="5897" width="11.7109375" style="157" customWidth="1"/>
    <col min="5898" max="5899" width="9.28515625" style="157" customWidth="1"/>
    <col min="5900" max="5900" width="7.28515625" style="157" customWidth="1"/>
    <col min="5901" max="5901" width="9.28515625" style="157" customWidth="1"/>
    <col min="5902" max="5902" width="9.85546875" style="157" customWidth="1"/>
    <col min="5903" max="5903" width="8.7109375" style="157" customWidth="1"/>
    <col min="5904" max="5904" width="11.42578125" style="157" customWidth="1"/>
    <col min="5905" max="6144" width="11.42578125" style="157"/>
    <col min="6145" max="6145" width="4.28515625" style="157" customWidth="1"/>
    <col min="6146" max="6146" width="21.42578125" style="157" customWidth="1"/>
    <col min="6147" max="6147" width="11.42578125" style="157"/>
    <col min="6148" max="6148" width="9.140625" style="157" bestFit="1" customWidth="1"/>
    <col min="6149" max="6150" width="8.5703125" style="157" customWidth="1"/>
    <col min="6151" max="6151" width="8" style="157" customWidth="1"/>
    <col min="6152" max="6152" width="11.140625" style="157" customWidth="1"/>
    <col min="6153" max="6153" width="11.7109375" style="157" customWidth="1"/>
    <col min="6154" max="6155" width="9.28515625" style="157" customWidth="1"/>
    <col min="6156" max="6156" width="7.28515625" style="157" customWidth="1"/>
    <col min="6157" max="6157" width="9.28515625" style="157" customWidth="1"/>
    <col min="6158" max="6158" width="9.85546875" style="157" customWidth="1"/>
    <col min="6159" max="6159" width="8.7109375" style="157" customWidth="1"/>
    <col min="6160" max="6160" width="11.42578125" style="157" customWidth="1"/>
    <col min="6161" max="6400" width="11.42578125" style="157"/>
    <col min="6401" max="6401" width="4.28515625" style="157" customWidth="1"/>
    <col min="6402" max="6402" width="21.42578125" style="157" customWidth="1"/>
    <col min="6403" max="6403" width="11.42578125" style="157"/>
    <col min="6404" max="6404" width="9.140625" style="157" bestFit="1" customWidth="1"/>
    <col min="6405" max="6406" width="8.5703125" style="157" customWidth="1"/>
    <col min="6407" max="6407" width="8" style="157" customWidth="1"/>
    <col min="6408" max="6408" width="11.140625" style="157" customWidth="1"/>
    <col min="6409" max="6409" width="11.7109375" style="157" customWidth="1"/>
    <col min="6410" max="6411" width="9.28515625" style="157" customWidth="1"/>
    <col min="6412" max="6412" width="7.28515625" style="157" customWidth="1"/>
    <col min="6413" max="6413" width="9.28515625" style="157" customWidth="1"/>
    <col min="6414" max="6414" width="9.85546875" style="157" customWidth="1"/>
    <col min="6415" max="6415" width="8.7109375" style="157" customWidth="1"/>
    <col min="6416" max="6416" width="11.42578125" style="157" customWidth="1"/>
    <col min="6417" max="6656" width="11.42578125" style="157"/>
    <col min="6657" max="6657" width="4.28515625" style="157" customWidth="1"/>
    <col min="6658" max="6658" width="21.42578125" style="157" customWidth="1"/>
    <col min="6659" max="6659" width="11.42578125" style="157"/>
    <col min="6660" max="6660" width="9.140625" style="157" bestFit="1" customWidth="1"/>
    <col min="6661" max="6662" width="8.5703125" style="157" customWidth="1"/>
    <col min="6663" max="6663" width="8" style="157" customWidth="1"/>
    <col min="6664" max="6664" width="11.140625" style="157" customWidth="1"/>
    <col min="6665" max="6665" width="11.7109375" style="157" customWidth="1"/>
    <col min="6666" max="6667" width="9.28515625" style="157" customWidth="1"/>
    <col min="6668" max="6668" width="7.28515625" style="157" customWidth="1"/>
    <col min="6669" max="6669" width="9.28515625" style="157" customWidth="1"/>
    <col min="6670" max="6670" width="9.85546875" style="157" customWidth="1"/>
    <col min="6671" max="6671" width="8.7109375" style="157" customWidth="1"/>
    <col min="6672" max="6672" width="11.42578125" style="157" customWidth="1"/>
    <col min="6673" max="6912" width="11.42578125" style="157"/>
    <col min="6913" max="6913" width="4.28515625" style="157" customWidth="1"/>
    <col min="6914" max="6914" width="21.42578125" style="157" customWidth="1"/>
    <col min="6915" max="6915" width="11.42578125" style="157"/>
    <col min="6916" max="6916" width="9.140625" style="157" bestFit="1" customWidth="1"/>
    <col min="6917" max="6918" width="8.5703125" style="157" customWidth="1"/>
    <col min="6919" max="6919" width="8" style="157" customWidth="1"/>
    <col min="6920" max="6920" width="11.140625" style="157" customWidth="1"/>
    <col min="6921" max="6921" width="11.7109375" style="157" customWidth="1"/>
    <col min="6922" max="6923" width="9.28515625" style="157" customWidth="1"/>
    <col min="6924" max="6924" width="7.28515625" style="157" customWidth="1"/>
    <col min="6925" max="6925" width="9.28515625" style="157" customWidth="1"/>
    <col min="6926" max="6926" width="9.85546875" style="157" customWidth="1"/>
    <col min="6927" max="6927" width="8.7109375" style="157" customWidth="1"/>
    <col min="6928" max="6928" width="11.42578125" style="157" customWidth="1"/>
    <col min="6929" max="7168" width="11.42578125" style="157"/>
    <col min="7169" max="7169" width="4.28515625" style="157" customWidth="1"/>
    <col min="7170" max="7170" width="21.42578125" style="157" customWidth="1"/>
    <col min="7171" max="7171" width="11.42578125" style="157"/>
    <col min="7172" max="7172" width="9.140625" style="157" bestFit="1" customWidth="1"/>
    <col min="7173" max="7174" width="8.5703125" style="157" customWidth="1"/>
    <col min="7175" max="7175" width="8" style="157" customWidth="1"/>
    <col min="7176" max="7176" width="11.140625" style="157" customWidth="1"/>
    <col min="7177" max="7177" width="11.7109375" style="157" customWidth="1"/>
    <col min="7178" max="7179" width="9.28515625" style="157" customWidth="1"/>
    <col min="7180" max="7180" width="7.28515625" style="157" customWidth="1"/>
    <col min="7181" max="7181" width="9.28515625" style="157" customWidth="1"/>
    <col min="7182" max="7182" width="9.85546875" style="157" customWidth="1"/>
    <col min="7183" max="7183" width="8.7109375" style="157" customWidth="1"/>
    <col min="7184" max="7184" width="11.42578125" style="157" customWidth="1"/>
    <col min="7185" max="7424" width="11.42578125" style="157"/>
    <col min="7425" max="7425" width="4.28515625" style="157" customWidth="1"/>
    <col min="7426" max="7426" width="21.42578125" style="157" customWidth="1"/>
    <col min="7427" max="7427" width="11.42578125" style="157"/>
    <col min="7428" max="7428" width="9.140625" style="157" bestFit="1" customWidth="1"/>
    <col min="7429" max="7430" width="8.5703125" style="157" customWidth="1"/>
    <col min="7431" max="7431" width="8" style="157" customWidth="1"/>
    <col min="7432" max="7432" width="11.140625" style="157" customWidth="1"/>
    <col min="7433" max="7433" width="11.7109375" style="157" customWidth="1"/>
    <col min="7434" max="7435" width="9.28515625" style="157" customWidth="1"/>
    <col min="7436" max="7436" width="7.28515625" style="157" customWidth="1"/>
    <col min="7437" max="7437" width="9.28515625" style="157" customWidth="1"/>
    <col min="7438" max="7438" width="9.85546875" style="157" customWidth="1"/>
    <col min="7439" max="7439" width="8.7109375" style="157" customWidth="1"/>
    <col min="7440" max="7440" width="11.42578125" style="157" customWidth="1"/>
    <col min="7441" max="7680" width="11.42578125" style="157"/>
    <col min="7681" max="7681" width="4.28515625" style="157" customWidth="1"/>
    <col min="7682" max="7682" width="21.42578125" style="157" customWidth="1"/>
    <col min="7683" max="7683" width="11.42578125" style="157"/>
    <col min="7684" max="7684" width="9.140625" style="157" bestFit="1" customWidth="1"/>
    <col min="7685" max="7686" width="8.5703125" style="157" customWidth="1"/>
    <col min="7687" max="7687" width="8" style="157" customWidth="1"/>
    <col min="7688" max="7688" width="11.140625" style="157" customWidth="1"/>
    <col min="7689" max="7689" width="11.7109375" style="157" customWidth="1"/>
    <col min="7690" max="7691" width="9.28515625" style="157" customWidth="1"/>
    <col min="7692" max="7692" width="7.28515625" style="157" customWidth="1"/>
    <col min="7693" max="7693" width="9.28515625" style="157" customWidth="1"/>
    <col min="7694" max="7694" width="9.85546875" style="157" customWidth="1"/>
    <col min="7695" max="7695" width="8.7109375" style="157" customWidth="1"/>
    <col min="7696" max="7696" width="11.42578125" style="157" customWidth="1"/>
    <col min="7697" max="7936" width="11.42578125" style="157"/>
    <col min="7937" max="7937" width="4.28515625" style="157" customWidth="1"/>
    <col min="7938" max="7938" width="21.42578125" style="157" customWidth="1"/>
    <col min="7939" max="7939" width="11.42578125" style="157"/>
    <col min="7940" max="7940" width="9.140625" style="157" bestFit="1" customWidth="1"/>
    <col min="7941" max="7942" width="8.5703125" style="157" customWidth="1"/>
    <col min="7943" max="7943" width="8" style="157" customWidth="1"/>
    <col min="7944" max="7944" width="11.140625" style="157" customWidth="1"/>
    <col min="7945" max="7945" width="11.7109375" style="157" customWidth="1"/>
    <col min="7946" max="7947" width="9.28515625" style="157" customWidth="1"/>
    <col min="7948" max="7948" width="7.28515625" style="157" customWidth="1"/>
    <col min="7949" max="7949" width="9.28515625" style="157" customWidth="1"/>
    <col min="7950" max="7950" width="9.85546875" style="157" customWidth="1"/>
    <col min="7951" max="7951" width="8.7109375" style="157" customWidth="1"/>
    <col min="7952" max="7952" width="11.42578125" style="157" customWidth="1"/>
    <col min="7953" max="8192" width="11.42578125" style="157"/>
    <col min="8193" max="8193" width="4.28515625" style="157" customWidth="1"/>
    <col min="8194" max="8194" width="21.42578125" style="157" customWidth="1"/>
    <col min="8195" max="8195" width="11.42578125" style="157"/>
    <col min="8196" max="8196" width="9.140625" style="157" bestFit="1" customWidth="1"/>
    <col min="8197" max="8198" width="8.5703125" style="157" customWidth="1"/>
    <col min="8199" max="8199" width="8" style="157" customWidth="1"/>
    <col min="8200" max="8200" width="11.140625" style="157" customWidth="1"/>
    <col min="8201" max="8201" width="11.7109375" style="157" customWidth="1"/>
    <col min="8202" max="8203" width="9.28515625" style="157" customWidth="1"/>
    <col min="8204" max="8204" width="7.28515625" style="157" customWidth="1"/>
    <col min="8205" max="8205" width="9.28515625" style="157" customWidth="1"/>
    <col min="8206" max="8206" width="9.85546875" style="157" customWidth="1"/>
    <col min="8207" max="8207" width="8.7109375" style="157" customWidth="1"/>
    <col min="8208" max="8208" width="11.42578125" style="157" customWidth="1"/>
    <col min="8209" max="8448" width="11.42578125" style="157"/>
    <col min="8449" max="8449" width="4.28515625" style="157" customWidth="1"/>
    <col min="8450" max="8450" width="21.42578125" style="157" customWidth="1"/>
    <col min="8451" max="8451" width="11.42578125" style="157"/>
    <col min="8452" max="8452" width="9.140625" style="157" bestFit="1" customWidth="1"/>
    <col min="8453" max="8454" width="8.5703125" style="157" customWidth="1"/>
    <col min="8455" max="8455" width="8" style="157" customWidth="1"/>
    <col min="8456" max="8456" width="11.140625" style="157" customWidth="1"/>
    <col min="8457" max="8457" width="11.7109375" style="157" customWidth="1"/>
    <col min="8458" max="8459" width="9.28515625" style="157" customWidth="1"/>
    <col min="8460" max="8460" width="7.28515625" style="157" customWidth="1"/>
    <col min="8461" max="8461" width="9.28515625" style="157" customWidth="1"/>
    <col min="8462" max="8462" width="9.85546875" style="157" customWidth="1"/>
    <col min="8463" max="8463" width="8.7109375" style="157" customWidth="1"/>
    <col min="8464" max="8464" width="11.42578125" style="157" customWidth="1"/>
    <col min="8465" max="8704" width="11.42578125" style="157"/>
    <col min="8705" max="8705" width="4.28515625" style="157" customWidth="1"/>
    <col min="8706" max="8706" width="21.42578125" style="157" customWidth="1"/>
    <col min="8707" max="8707" width="11.42578125" style="157"/>
    <col min="8708" max="8708" width="9.140625" style="157" bestFit="1" customWidth="1"/>
    <col min="8709" max="8710" width="8.5703125" style="157" customWidth="1"/>
    <col min="8711" max="8711" width="8" style="157" customWidth="1"/>
    <col min="8712" max="8712" width="11.140625" style="157" customWidth="1"/>
    <col min="8713" max="8713" width="11.7109375" style="157" customWidth="1"/>
    <col min="8714" max="8715" width="9.28515625" style="157" customWidth="1"/>
    <col min="8716" max="8716" width="7.28515625" style="157" customWidth="1"/>
    <col min="8717" max="8717" width="9.28515625" style="157" customWidth="1"/>
    <col min="8718" max="8718" width="9.85546875" style="157" customWidth="1"/>
    <col min="8719" max="8719" width="8.7109375" style="157" customWidth="1"/>
    <col min="8720" max="8720" width="11.42578125" style="157" customWidth="1"/>
    <col min="8721" max="8960" width="11.42578125" style="157"/>
    <col min="8961" max="8961" width="4.28515625" style="157" customWidth="1"/>
    <col min="8962" max="8962" width="21.42578125" style="157" customWidth="1"/>
    <col min="8963" max="8963" width="11.42578125" style="157"/>
    <col min="8964" max="8964" width="9.140625" style="157" bestFit="1" customWidth="1"/>
    <col min="8965" max="8966" width="8.5703125" style="157" customWidth="1"/>
    <col min="8967" max="8967" width="8" style="157" customWidth="1"/>
    <col min="8968" max="8968" width="11.140625" style="157" customWidth="1"/>
    <col min="8969" max="8969" width="11.7109375" style="157" customWidth="1"/>
    <col min="8970" max="8971" width="9.28515625" style="157" customWidth="1"/>
    <col min="8972" max="8972" width="7.28515625" style="157" customWidth="1"/>
    <col min="8973" max="8973" width="9.28515625" style="157" customWidth="1"/>
    <col min="8974" max="8974" width="9.85546875" style="157" customWidth="1"/>
    <col min="8975" max="8975" width="8.7109375" style="157" customWidth="1"/>
    <col min="8976" max="8976" width="11.42578125" style="157" customWidth="1"/>
    <col min="8977" max="9216" width="11.42578125" style="157"/>
    <col min="9217" max="9217" width="4.28515625" style="157" customWidth="1"/>
    <col min="9218" max="9218" width="21.42578125" style="157" customWidth="1"/>
    <col min="9219" max="9219" width="11.42578125" style="157"/>
    <col min="9220" max="9220" width="9.140625" style="157" bestFit="1" customWidth="1"/>
    <col min="9221" max="9222" width="8.5703125" style="157" customWidth="1"/>
    <col min="9223" max="9223" width="8" style="157" customWidth="1"/>
    <col min="9224" max="9224" width="11.140625" style="157" customWidth="1"/>
    <col min="9225" max="9225" width="11.7109375" style="157" customWidth="1"/>
    <col min="9226" max="9227" width="9.28515625" style="157" customWidth="1"/>
    <col min="9228" max="9228" width="7.28515625" style="157" customWidth="1"/>
    <col min="9229" max="9229" width="9.28515625" style="157" customWidth="1"/>
    <col min="9230" max="9230" width="9.85546875" style="157" customWidth="1"/>
    <col min="9231" max="9231" width="8.7109375" style="157" customWidth="1"/>
    <col min="9232" max="9232" width="11.42578125" style="157" customWidth="1"/>
    <col min="9233" max="9472" width="11.42578125" style="157"/>
    <col min="9473" max="9473" width="4.28515625" style="157" customWidth="1"/>
    <col min="9474" max="9474" width="21.42578125" style="157" customWidth="1"/>
    <col min="9475" max="9475" width="11.42578125" style="157"/>
    <col min="9476" max="9476" width="9.140625" style="157" bestFit="1" customWidth="1"/>
    <col min="9477" max="9478" width="8.5703125" style="157" customWidth="1"/>
    <col min="9479" max="9479" width="8" style="157" customWidth="1"/>
    <col min="9480" max="9480" width="11.140625" style="157" customWidth="1"/>
    <col min="9481" max="9481" width="11.7109375" style="157" customWidth="1"/>
    <col min="9482" max="9483" width="9.28515625" style="157" customWidth="1"/>
    <col min="9484" max="9484" width="7.28515625" style="157" customWidth="1"/>
    <col min="9485" max="9485" width="9.28515625" style="157" customWidth="1"/>
    <col min="9486" max="9486" width="9.85546875" style="157" customWidth="1"/>
    <col min="9487" max="9487" width="8.7109375" style="157" customWidth="1"/>
    <col min="9488" max="9488" width="11.42578125" style="157" customWidth="1"/>
    <col min="9489" max="9728" width="11.42578125" style="157"/>
    <col min="9729" max="9729" width="4.28515625" style="157" customWidth="1"/>
    <col min="9730" max="9730" width="21.42578125" style="157" customWidth="1"/>
    <col min="9731" max="9731" width="11.42578125" style="157"/>
    <col min="9732" max="9732" width="9.140625" style="157" bestFit="1" customWidth="1"/>
    <col min="9733" max="9734" width="8.5703125" style="157" customWidth="1"/>
    <col min="9735" max="9735" width="8" style="157" customWidth="1"/>
    <col min="9736" max="9736" width="11.140625" style="157" customWidth="1"/>
    <col min="9737" max="9737" width="11.7109375" style="157" customWidth="1"/>
    <col min="9738" max="9739" width="9.28515625" style="157" customWidth="1"/>
    <col min="9740" max="9740" width="7.28515625" style="157" customWidth="1"/>
    <col min="9741" max="9741" width="9.28515625" style="157" customWidth="1"/>
    <col min="9742" max="9742" width="9.85546875" style="157" customWidth="1"/>
    <col min="9743" max="9743" width="8.7109375" style="157" customWidth="1"/>
    <col min="9744" max="9744" width="11.42578125" style="157" customWidth="1"/>
    <col min="9745" max="9984" width="11.42578125" style="157"/>
    <col min="9985" max="9985" width="4.28515625" style="157" customWidth="1"/>
    <col min="9986" max="9986" width="21.42578125" style="157" customWidth="1"/>
    <col min="9987" max="9987" width="11.42578125" style="157"/>
    <col min="9988" max="9988" width="9.140625" style="157" bestFit="1" customWidth="1"/>
    <col min="9989" max="9990" width="8.5703125" style="157" customWidth="1"/>
    <col min="9991" max="9991" width="8" style="157" customWidth="1"/>
    <col min="9992" max="9992" width="11.140625" style="157" customWidth="1"/>
    <col min="9993" max="9993" width="11.7109375" style="157" customWidth="1"/>
    <col min="9994" max="9995" width="9.28515625" style="157" customWidth="1"/>
    <col min="9996" max="9996" width="7.28515625" style="157" customWidth="1"/>
    <col min="9997" max="9997" width="9.28515625" style="157" customWidth="1"/>
    <col min="9998" max="9998" width="9.85546875" style="157" customWidth="1"/>
    <col min="9999" max="9999" width="8.7109375" style="157" customWidth="1"/>
    <col min="10000" max="10000" width="11.42578125" style="157" customWidth="1"/>
    <col min="10001" max="10240" width="11.42578125" style="157"/>
    <col min="10241" max="10241" width="4.28515625" style="157" customWidth="1"/>
    <col min="10242" max="10242" width="21.42578125" style="157" customWidth="1"/>
    <col min="10243" max="10243" width="11.42578125" style="157"/>
    <col min="10244" max="10244" width="9.140625" style="157" bestFit="1" customWidth="1"/>
    <col min="10245" max="10246" width="8.5703125" style="157" customWidth="1"/>
    <col min="10247" max="10247" width="8" style="157" customWidth="1"/>
    <col min="10248" max="10248" width="11.140625" style="157" customWidth="1"/>
    <col min="10249" max="10249" width="11.7109375" style="157" customWidth="1"/>
    <col min="10250" max="10251" width="9.28515625" style="157" customWidth="1"/>
    <col min="10252" max="10252" width="7.28515625" style="157" customWidth="1"/>
    <col min="10253" max="10253" width="9.28515625" style="157" customWidth="1"/>
    <col min="10254" max="10254" width="9.85546875" style="157" customWidth="1"/>
    <col min="10255" max="10255" width="8.7109375" style="157" customWidth="1"/>
    <col min="10256" max="10256" width="11.42578125" style="157" customWidth="1"/>
    <col min="10257" max="10496" width="11.42578125" style="157"/>
    <col min="10497" max="10497" width="4.28515625" style="157" customWidth="1"/>
    <col min="10498" max="10498" width="21.42578125" style="157" customWidth="1"/>
    <col min="10499" max="10499" width="11.42578125" style="157"/>
    <col min="10500" max="10500" width="9.140625" style="157" bestFit="1" customWidth="1"/>
    <col min="10501" max="10502" width="8.5703125" style="157" customWidth="1"/>
    <col min="10503" max="10503" width="8" style="157" customWidth="1"/>
    <col min="10504" max="10504" width="11.140625" style="157" customWidth="1"/>
    <col min="10505" max="10505" width="11.7109375" style="157" customWidth="1"/>
    <col min="10506" max="10507" width="9.28515625" style="157" customWidth="1"/>
    <col min="10508" max="10508" width="7.28515625" style="157" customWidth="1"/>
    <col min="10509" max="10509" width="9.28515625" style="157" customWidth="1"/>
    <col min="10510" max="10510" width="9.85546875" style="157" customWidth="1"/>
    <col min="10511" max="10511" width="8.7109375" style="157" customWidth="1"/>
    <col min="10512" max="10512" width="11.42578125" style="157" customWidth="1"/>
    <col min="10513" max="10752" width="11.42578125" style="157"/>
    <col min="10753" max="10753" width="4.28515625" style="157" customWidth="1"/>
    <col min="10754" max="10754" width="21.42578125" style="157" customWidth="1"/>
    <col min="10755" max="10755" width="11.42578125" style="157"/>
    <col min="10756" max="10756" width="9.140625" style="157" bestFit="1" customWidth="1"/>
    <col min="10757" max="10758" width="8.5703125" style="157" customWidth="1"/>
    <col min="10759" max="10759" width="8" style="157" customWidth="1"/>
    <col min="10760" max="10760" width="11.140625" style="157" customWidth="1"/>
    <col min="10761" max="10761" width="11.7109375" style="157" customWidth="1"/>
    <col min="10762" max="10763" width="9.28515625" style="157" customWidth="1"/>
    <col min="10764" max="10764" width="7.28515625" style="157" customWidth="1"/>
    <col min="10765" max="10765" width="9.28515625" style="157" customWidth="1"/>
    <col min="10766" max="10766" width="9.85546875" style="157" customWidth="1"/>
    <col min="10767" max="10767" width="8.7109375" style="157" customWidth="1"/>
    <col min="10768" max="10768" width="11.42578125" style="157" customWidth="1"/>
    <col min="10769" max="11008" width="11.42578125" style="157"/>
    <col min="11009" max="11009" width="4.28515625" style="157" customWidth="1"/>
    <col min="11010" max="11010" width="21.42578125" style="157" customWidth="1"/>
    <col min="11011" max="11011" width="11.42578125" style="157"/>
    <col min="11012" max="11012" width="9.140625" style="157" bestFit="1" customWidth="1"/>
    <col min="11013" max="11014" width="8.5703125" style="157" customWidth="1"/>
    <col min="11015" max="11015" width="8" style="157" customWidth="1"/>
    <col min="11016" max="11016" width="11.140625" style="157" customWidth="1"/>
    <col min="11017" max="11017" width="11.7109375" style="157" customWidth="1"/>
    <col min="11018" max="11019" width="9.28515625" style="157" customWidth="1"/>
    <col min="11020" max="11020" width="7.28515625" style="157" customWidth="1"/>
    <col min="11021" max="11021" width="9.28515625" style="157" customWidth="1"/>
    <col min="11022" max="11022" width="9.85546875" style="157" customWidth="1"/>
    <col min="11023" max="11023" width="8.7109375" style="157" customWidth="1"/>
    <col min="11024" max="11024" width="11.42578125" style="157" customWidth="1"/>
    <col min="11025" max="11264" width="11.42578125" style="157"/>
    <col min="11265" max="11265" width="4.28515625" style="157" customWidth="1"/>
    <col min="11266" max="11266" width="21.42578125" style="157" customWidth="1"/>
    <col min="11267" max="11267" width="11.42578125" style="157"/>
    <col min="11268" max="11268" width="9.140625" style="157" bestFit="1" customWidth="1"/>
    <col min="11269" max="11270" width="8.5703125" style="157" customWidth="1"/>
    <col min="11271" max="11271" width="8" style="157" customWidth="1"/>
    <col min="11272" max="11272" width="11.140625" style="157" customWidth="1"/>
    <col min="11273" max="11273" width="11.7109375" style="157" customWidth="1"/>
    <col min="11274" max="11275" width="9.28515625" style="157" customWidth="1"/>
    <col min="11276" max="11276" width="7.28515625" style="157" customWidth="1"/>
    <col min="11277" max="11277" width="9.28515625" style="157" customWidth="1"/>
    <col min="11278" max="11278" width="9.85546875" style="157" customWidth="1"/>
    <col min="11279" max="11279" width="8.7109375" style="157" customWidth="1"/>
    <col min="11280" max="11280" width="11.42578125" style="157" customWidth="1"/>
    <col min="11281" max="11520" width="11.42578125" style="157"/>
    <col min="11521" max="11521" width="4.28515625" style="157" customWidth="1"/>
    <col min="11522" max="11522" width="21.42578125" style="157" customWidth="1"/>
    <col min="11523" max="11523" width="11.42578125" style="157"/>
    <col min="11524" max="11524" width="9.140625" style="157" bestFit="1" customWidth="1"/>
    <col min="11525" max="11526" width="8.5703125" style="157" customWidth="1"/>
    <col min="11527" max="11527" width="8" style="157" customWidth="1"/>
    <col min="11528" max="11528" width="11.140625" style="157" customWidth="1"/>
    <col min="11529" max="11529" width="11.7109375" style="157" customWidth="1"/>
    <col min="11530" max="11531" width="9.28515625" style="157" customWidth="1"/>
    <col min="11532" max="11532" width="7.28515625" style="157" customWidth="1"/>
    <col min="11533" max="11533" width="9.28515625" style="157" customWidth="1"/>
    <col min="11534" max="11534" width="9.85546875" style="157" customWidth="1"/>
    <col min="11535" max="11535" width="8.7109375" style="157" customWidth="1"/>
    <col min="11536" max="11536" width="11.42578125" style="157" customWidth="1"/>
    <col min="11537" max="11776" width="11.42578125" style="157"/>
    <col min="11777" max="11777" width="4.28515625" style="157" customWidth="1"/>
    <col min="11778" max="11778" width="21.42578125" style="157" customWidth="1"/>
    <col min="11779" max="11779" width="11.42578125" style="157"/>
    <col min="11780" max="11780" width="9.140625" style="157" bestFit="1" customWidth="1"/>
    <col min="11781" max="11782" width="8.5703125" style="157" customWidth="1"/>
    <col min="11783" max="11783" width="8" style="157" customWidth="1"/>
    <col min="11784" max="11784" width="11.140625" style="157" customWidth="1"/>
    <col min="11785" max="11785" width="11.7109375" style="157" customWidth="1"/>
    <col min="11786" max="11787" width="9.28515625" style="157" customWidth="1"/>
    <col min="11788" max="11788" width="7.28515625" style="157" customWidth="1"/>
    <col min="11789" max="11789" width="9.28515625" style="157" customWidth="1"/>
    <col min="11790" max="11790" width="9.85546875" style="157" customWidth="1"/>
    <col min="11791" max="11791" width="8.7109375" style="157" customWidth="1"/>
    <col min="11792" max="11792" width="11.42578125" style="157" customWidth="1"/>
    <col min="11793" max="12032" width="11.42578125" style="157"/>
    <col min="12033" max="12033" width="4.28515625" style="157" customWidth="1"/>
    <col min="12034" max="12034" width="21.42578125" style="157" customWidth="1"/>
    <col min="12035" max="12035" width="11.42578125" style="157"/>
    <col min="12036" max="12036" width="9.140625" style="157" bestFit="1" customWidth="1"/>
    <col min="12037" max="12038" width="8.5703125" style="157" customWidth="1"/>
    <col min="12039" max="12039" width="8" style="157" customWidth="1"/>
    <col min="12040" max="12040" width="11.140625" style="157" customWidth="1"/>
    <col min="12041" max="12041" width="11.7109375" style="157" customWidth="1"/>
    <col min="12042" max="12043" width="9.28515625" style="157" customWidth="1"/>
    <col min="12044" max="12044" width="7.28515625" style="157" customWidth="1"/>
    <col min="12045" max="12045" width="9.28515625" style="157" customWidth="1"/>
    <col min="12046" max="12046" width="9.85546875" style="157" customWidth="1"/>
    <col min="12047" max="12047" width="8.7109375" style="157" customWidth="1"/>
    <col min="12048" max="12048" width="11.42578125" style="157" customWidth="1"/>
    <col min="12049" max="12288" width="11.42578125" style="157"/>
    <col min="12289" max="12289" width="4.28515625" style="157" customWidth="1"/>
    <col min="12290" max="12290" width="21.42578125" style="157" customWidth="1"/>
    <col min="12291" max="12291" width="11.42578125" style="157"/>
    <col min="12292" max="12292" width="9.140625" style="157" bestFit="1" customWidth="1"/>
    <col min="12293" max="12294" width="8.5703125" style="157" customWidth="1"/>
    <col min="12295" max="12295" width="8" style="157" customWidth="1"/>
    <col min="12296" max="12296" width="11.140625" style="157" customWidth="1"/>
    <col min="12297" max="12297" width="11.7109375" style="157" customWidth="1"/>
    <col min="12298" max="12299" width="9.28515625" style="157" customWidth="1"/>
    <col min="12300" max="12300" width="7.28515625" style="157" customWidth="1"/>
    <col min="12301" max="12301" width="9.28515625" style="157" customWidth="1"/>
    <col min="12302" max="12302" width="9.85546875" style="157" customWidth="1"/>
    <col min="12303" max="12303" width="8.7109375" style="157" customWidth="1"/>
    <col min="12304" max="12304" width="11.42578125" style="157" customWidth="1"/>
    <col min="12305" max="12544" width="11.42578125" style="157"/>
    <col min="12545" max="12545" width="4.28515625" style="157" customWidth="1"/>
    <col min="12546" max="12546" width="21.42578125" style="157" customWidth="1"/>
    <col min="12547" max="12547" width="11.42578125" style="157"/>
    <col min="12548" max="12548" width="9.140625" style="157" bestFit="1" customWidth="1"/>
    <col min="12549" max="12550" width="8.5703125" style="157" customWidth="1"/>
    <col min="12551" max="12551" width="8" style="157" customWidth="1"/>
    <col min="12552" max="12552" width="11.140625" style="157" customWidth="1"/>
    <col min="12553" max="12553" width="11.7109375" style="157" customWidth="1"/>
    <col min="12554" max="12555" width="9.28515625" style="157" customWidth="1"/>
    <col min="12556" max="12556" width="7.28515625" style="157" customWidth="1"/>
    <col min="12557" max="12557" width="9.28515625" style="157" customWidth="1"/>
    <col min="12558" max="12558" width="9.85546875" style="157" customWidth="1"/>
    <col min="12559" max="12559" width="8.7109375" style="157" customWidth="1"/>
    <col min="12560" max="12560" width="11.42578125" style="157" customWidth="1"/>
    <col min="12561" max="12800" width="11.42578125" style="157"/>
    <col min="12801" max="12801" width="4.28515625" style="157" customWidth="1"/>
    <col min="12802" max="12802" width="21.42578125" style="157" customWidth="1"/>
    <col min="12803" max="12803" width="11.42578125" style="157"/>
    <col min="12804" max="12804" width="9.140625" style="157" bestFit="1" customWidth="1"/>
    <col min="12805" max="12806" width="8.5703125" style="157" customWidth="1"/>
    <col min="12807" max="12807" width="8" style="157" customWidth="1"/>
    <col min="12808" max="12808" width="11.140625" style="157" customWidth="1"/>
    <col min="12809" max="12809" width="11.7109375" style="157" customWidth="1"/>
    <col min="12810" max="12811" width="9.28515625" style="157" customWidth="1"/>
    <col min="12812" max="12812" width="7.28515625" style="157" customWidth="1"/>
    <col min="12813" max="12813" width="9.28515625" style="157" customWidth="1"/>
    <col min="12814" max="12814" width="9.85546875" style="157" customWidth="1"/>
    <col min="12815" max="12815" width="8.7109375" style="157" customWidth="1"/>
    <col min="12816" max="12816" width="11.42578125" style="157" customWidth="1"/>
    <col min="12817" max="13056" width="11.42578125" style="157"/>
    <col min="13057" max="13057" width="4.28515625" style="157" customWidth="1"/>
    <col min="13058" max="13058" width="21.42578125" style="157" customWidth="1"/>
    <col min="13059" max="13059" width="11.42578125" style="157"/>
    <col min="13060" max="13060" width="9.140625" style="157" bestFit="1" customWidth="1"/>
    <col min="13061" max="13062" width="8.5703125" style="157" customWidth="1"/>
    <col min="13063" max="13063" width="8" style="157" customWidth="1"/>
    <col min="13064" max="13064" width="11.140625" style="157" customWidth="1"/>
    <col min="13065" max="13065" width="11.7109375" style="157" customWidth="1"/>
    <col min="13066" max="13067" width="9.28515625" style="157" customWidth="1"/>
    <col min="13068" max="13068" width="7.28515625" style="157" customWidth="1"/>
    <col min="13069" max="13069" width="9.28515625" style="157" customWidth="1"/>
    <col min="13070" max="13070" width="9.85546875" style="157" customWidth="1"/>
    <col min="13071" max="13071" width="8.7109375" style="157" customWidth="1"/>
    <col min="13072" max="13072" width="11.42578125" style="157" customWidth="1"/>
    <col min="13073" max="13312" width="11.42578125" style="157"/>
    <col min="13313" max="13313" width="4.28515625" style="157" customWidth="1"/>
    <col min="13314" max="13314" width="21.42578125" style="157" customWidth="1"/>
    <col min="13315" max="13315" width="11.42578125" style="157"/>
    <col min="13316" max="13316" width="9.140625" style="157" bestFit="1" customWidth="1"/>
    <col min="13317" max="13318" width="8.5703125" style="157" customWidth="1"/>
    <col min="13319" max="13319" width="8" style="157" customWidth="1"/>
    <col min="13320" max="13320" width="11.140625" style="157" customWidth="1"/>
    <col min="13321" max="13321" width="11.7109375" style="157" customWidth="1"/>
    <col min="13322" max="13323" width="9.28515625" style="157" customWidth="1"/>
    <col min="13324" max="13324" width="7.28515625" style="157" customWidth="1"/>
    <col min="13325" max="13325" width="9.28515625" style="157" customWidth="1"/>
    <col min="13326" max="13326" width="9.85546875" style="157" customWidth="1"/>
    <col min="13327" max="13327" width="8.7109375" style="157" customWidth="1"/>
    <col min="13328" max="13328" width="11.42578125" style="157" customWidth="1"/>
    <col min="13329" max="13568" width="11.42578125" style="157"/>
    <col min="13569" max="13569" width="4.28515625" style="157" customWidth="1"/>
    <col min="13570" max="13570" width="21.42578125" style="157" customWidth="1"/>
    <col min="13571" max="13571" width="11.42578125" style="157"/>
    <col min="13572" max="13572" width="9.140625" style="157" bestFit="1" customWidth="1"/>
    <col min="13573" max="13574" width="8.5703125" style="157" customWidth="1"/>
    <col min="13575" max="13575" width="8" style="157" customWidth="1"/>
    <col min="13576" max="13576" width="11.140625" style="157" customWidth="1"/>
    <col min="13577" max="13577" width="11.7109375" style="157" customWidth="1"/>
    <col min="13578" max="13579" width="9.28515625" style="157" customWidth="1"/>
    <col min="13580" max="13580" width="7.28515625" style="157" customWidth="1"/>
    <col min="13581" max="13581" width="9.28515625" style="157" customWidth="1"/>
    <col min="13582" max="13582" width="9.85546875" style="157" customWidth="1"/>
    <col min="13583" max="13583" width="8.7109375" style="157" customWidth="1"/>
    <col min="13584" max="13584" width="11.42578125" style="157" customWidth="1"/>
    <col min="13585" max="13824" width="11.42578125" style="157"/>
    <col min="13825" max="13825" width="4.28515625" style="157" customWidth="1"/>
    <col min="13826" max="13826" width="21.42578125" style="157" customWidth="1"/>
    <col min="13827" max="13827" width="11.42578125" style="157"/>
    <col min="13828" max="13828" width="9.140625" style="157" bestFit="1" customWidth="1"/>
    <col min="13829" max="13830" width="8.5703125" style="157" customWidth="1"/>
    <col min="13831" max="13831" width="8" style="157" customWidth="1"/>
    <col min="13832" max="13832" width="11.140625" style="157" customWidth="1"/>
    <col min="13833" max="13833" width="11.7109375" style="157" customWidth="1"/>
    <col min="13834" max="13835" width="9.28515625" style="157" customWidth="1"/>
    <col min="13836" max="13836" width="7.28515625" style="157" customWidth="1"/>
    <col min="13837" max="13837" width="9.28515625" style="157" customWidth="1"/>
    <col min="13838" max="13838" width="9.85546875" style="157" customWidth="1"/>
    <col min="13839" max="13839" width="8.7109375" style="157" customWidth="1"/>
    <col min="13840" max="13840" width="11.42578125" style="157" customWidth="1"/>
    <col min="13841" max="14080" width="11.42578125" style="157"/>
    <col min="14081" max="14081" width="4.28515625" style="157" customWidth="1"/>
    <col min="14082" max="14082" width="21.42578125" style="157" customWidth="1"/>
    <col min="14083" max="14083" width="11.42578125" style="157"/>
    <col min="14084" max="14084" width="9.140625" style="157" bestFit="1" customWidth="1"/>
    <col min="14085" max="14086" width="8.5703125" style="157" customWidth="1"/>
    <col min="14087" max="14087" width="8" style="157" customWidth="1"/>
    <col min="14088" max="14088" width="11.140625" style="157" customWidth="1"/>
    <col min="14089" max="14089" width="11.7109375" style="157" customWidth="1"/>
    <col min="14090" max="14091" width="9.28515625" style="157" customWidth="1"/>
    <col min="14092" max="14092" width="7.28515625" style="157" customWidth="1"/>
    <col min="14093" max="14093" width="9.28515625" style="157" customWidth="1"/>
    <col min="14094" max="14094" width="9.85546875" style="157" customWidth="1"/>
    <col min="14095" max="14095" width="8.7109375" style="157" customWidth="1"/>
    <col min="14096" max="14096" width="11.42578125" style="157" customWidth="1"/>
    <col min="14097" max="14336" width="11.42578125" style="157"/>
    <col min="14337" max="14337" width="4.28515625" style="157" customWidth="1"/>
    <col min="14338" max="14338" width="21.42578125" style="157" customWidth="1"/>
    <col min="14339" max="14339" width="11.42578125" style="157"/>
    <col min="14340" max="14340" width="9.140625" style="157" bestFit="1" customWidth="1"/>
    <col min="14341" max="14342" width="8.5703125" style="157" customWidth="1"/>
    <col min="14343" max="14343" width="8" style="157" customWidth="1"/>
    <col min="14344" max="14344" width="11.140625" style="157" customWidth="1"/>
    <col min="14345" max="14345" width="11.7109375" style="157" customWidth="1"/>
    <col min="14346" max="14347" width="9.28515625" style="157" customWidth="1"/>
    <col min="14348" max="14348" width="7.28515625" style="157" customWidth="1"/>
    <col min="14349" max="14349" width="9.28515625" style="157" customWidth="1"/>
    <col min="14350" max="14350" width="9.85546875" style="157" customWidth="1"/>
    <col min="14351" max="14351" width="8.7109375" style="157" customWidth="1"/>
    <col min="14352" max="14352" width="11.42578125" style="157" customWidth="1"/>
    <col min="14353" max="14592" width="11.42578125" style="157"/>
    <col min="14593" max="14593" width="4.28515625" style="157" customWidth="1"/>
    <col min="14594" max="14594" width="21.42578125" style="157" customWidth="1"/>
    <col min="14595" max="14595" width="11.42578125" style="157"/>
    <col min="14596" max="14596" width="9.140625" style="157" bestFit="1" customWidth="1"/>
    <col min="14597" max="14598" width="8.5703125" style="157" customWidth="1"/>
    <col min="14599" max="14599" width="8" style="157" customWidth="1"/>
    <col min="14600" max="14600" width="11.140625" style="157" customWidth="1"/>
    <col min="14601" max="14601" width="11.7109375" style="157" customWidth="1"/>
    <col min="14602" max="14603" width="9.28515625" style="157" customWidth="1"/>
    <col min="14604" max="14604" width="7.28515625" style="157" customWidth="1"/>
    <col min="14605" max="14605" width="9.28515625" style="157" customWidth="1"/>
    <col min="14606" max="14606" width="9.85546875" style="157" customWidth="1"/>
    <col min="14607" max="14607" width="8.7109375" style="157" customWidth="1"/>
    <col min="14608" max="14608" width="11.42578125" style="157" customWidth="1"/>
    <col min="14609" max="14848" width="11.42578125" style="157"/>
    <col min="14849" max="14849" width="4.28515625" style="157" customWidth="1"/>
    <col min="14850" max="14850" width="21.42578125" style="157" customWidth="1"/>
    <col min="14851" max="14851" width="11.42578125" style="157"/>
    <col min="14852" max="14852" width="9.140625" style="157" bestFit="1" customWidth="1"/>
    <col min="14853" max="14854" width="8.5703125" style="157" customWidth="1"/>
    <col min="14855" max="14855" width="8" style="157" customWidth="1"/>
    <col min="14856" max="14856" width="11.140625" style="157" customWidth="1"/>
    <col min="14857" max="14857" width="11.7109375" style="157" customWidth="1"/>
    <col min="14858" max="14859" width="9.28515625" style="157" customWidth="1"/>
    <col min="14860" max="14860" width="7.28515625" style="157" customWidth="1"/>
    <col min="14861" max="14861" width="9.28515625" style="157" customWidth="1"/>
    <col min="14862" max="14862" width="9.85546875" style="157" customWidth="1"/>
    <col min="14863" max="14863" width="8.7109375" style="157" customWidth="1"/>
    <col min="14864" max="14864" width="11.42578125" style="157" customWidth="1"/>
    <col min="14865" max="15104" width="11.42578125" style="157"/>
    <col min="15105" max="15105" width="4.28515625" style="157" customWidth="1"/>
    <col min="15106" max="15106" width="21.42578125" style="157" customWidth="1"/>
    <col min="15107" max="15107" width="11.42578125" style="157"/>
    <col min="15108" max="15108" width="9.140625" style="157" bestFit="1" customWidth="1"/>
    <col min="15109" max="15110" width="8.5703125" style="157" customWidth="1"/>
    <col min="15111" max="15111" width="8" style="157" customWidth="1"/>
    <col min="15112" max="15112" width="11.140625" style="157" customWidth="1"/>
    <col min="15113" max="15113" width="11.7109375" style="157" customWidth="1"/>
    <col min="15114" max="15115" width="9.28515625" style="157" customWidth="1"/>
    <col min="15116" max="15116" width="7.28515625" style="157" customWidth="1"/>
    <col min="15117" max="15117" width="9.28515625" style="157" customWidth="1"/>
    <col min="15118" max="15118" width="9.85546875" style="157" customWidth="1"/>
    <col min="15119" max="15119" width="8.7109375" style="157" customWidth="1"/>
    <col min="15120" max="15120" width="11.42578125" style="157" customWidth="1"/>
    <col min="15121" max="15360" width="11.42578125" style="157"/>
    <col min="15361" max="15361" width="4.28515625" style="157" customWidth="1"/>
    <col min="15362" max="15362" width="21.42578125" style="157" customWidth="1"/>
    <col min="15363" max="15363" width="11.42578125" style="157"/>
    <col min="15364" max="15364" width="9.140625" style="157" bestFit="1" customWidth="1"/>
    <col min="15365" max="15366" width="8.5703125" style="157" customWidth="1"/>
    <col min="15367" max="15367" width="8" style="157" customWidth="1"/>
    <col min="15368" max="15368" width="11.140625" style="157" customWidth="1"/>
    <col min="15369" max="15369" width="11.7109375" style="157" customWidth="1"/>
    <col min="15370" max="15371" width="9.28515625" style="157" customWidth="1"/>
    <col min="15372" max="15372" width="7.28515625" style="157" customWidth="1"/>
    <col min="15373" max="15373" width="9.28515625" style="157" customWidth="1"/>
    <col min="15374" max="15374" width="9.85546875" style="157" customWidth="1"/>
    <col min="15375" max="15375" width="8.7109375" style="157" customWidth="1"/>
    <col min="15376" max="15376" width="11.42578125" style="157" customWidth="1"/>
    <col min="15377" max="15616" width="11.42578125" style="157"/>
    <col min="15617" max="15617" width="4.28515625" style="157" customWidth="1"/>
    <col min="15618" max="15618" width="21.42578125" style="157" customWidth="1"/>
    <col min="15619" max="15619" width="11.42578125" style="157"/>
    <col min="15620" max="15620" width="9.140625" style="157" bestFit="1" customWidth="1"/>
    <col min="15621" max="15622" width="8.5703125" style="157" customWidth="1"/>
    <col min="15623" max="15623" width="8" style="157" customWidth="1"/>
    <col min="15624" max="15624" width="11.140625" style="157" customWidth="1"/>
    <col min="15625" max="15625" width="11.7109375" style="157" customWidth="1"/>
    <col min="15626" max="15627" width="9.28515625" style="157" customWidth="1"/>
    <col min="15628" max="15628" width="7.28515625" style="157" customWidth="1"/>
    <col min="15629" max="15629" width="9.28515625" style="157" customWidth="1"/>
    <col min="15630" max="15630" width="9.85546875" style="157" customWidth="1"/>
    <col min="15631" max="15631" width="8.7109375" style="157" customWidth="1"/>
    <col min="15632" max="15632" width="11.42578125" style="157" customWidth="1"/>
    <col min="15633" max="15872" width="11.42578125" style="157"/>
    <col min="15873" max="15873" width="4.28515625" style="157" customWidth="1"/>
    <col min="15874" max="15874" width="21.42578125" style="157" customWidth="1"/>
    <col min="15875" max="15875" width="11.42578125" style="157"/>
    <col min="15876" max="15876" width="9.140625" style="157" bestFit="1" customWidth="1"/>
    <col min="15877" max="15878" width="8.5703125" style="157" customWidth="1"/>
    <col min="15879" max="15879" width="8" style="157" customWidth="1"/>
    <col min="15880" max="15880" width="11.140625" style="157" customWidth="1"/>
    <col min="15881" max="15881" width="11.7109375" style="157" customWidth="1"/>
    <col min="15882" max="15883" width="9.28515625" style="157" customWidth="1"/>
    <col min="15884" max="15884" width="7.28515625" style="157" customWidth="1"/>
    <col min="15885" max="15885" width="9.28515625" style="157" customWidth="1"/>
    <col min="15886" max="15886" width="9.85546875" style="157" customWidth="1"/>
    <col min="15887" max="15887" width="8.7109375" style="157" customWidth="1"/>
    <col min="15888" max="15888" width="11.42578125" style="157" customWidth="1"/>
    <col min="15889" max="16128" width="11.42578125" style="157"/>
    <col min="16129" max="16129" width="4.28515625" style="157" customWidth="1"/>
    <col min="16130" max="16130" width="21.42578125" style="157" customWidth="1"/>
    <col min="16131" max="16131" width="11.42578125" style="157"/>
    <col min="16132" max="16132" width="9.140625" style="157" bestFit="1" customWidth="1"/>
    <col min="16133" max="16134" width="8.5703125" style="157" customWidth="1"/>
    <col min="16135" max="16135" width="8" style="157" customWidth="1"/>
    <col min="16136" max="16136" width="11.140625" style="157" customWidth="1"/>
    <col min="16137" max="16137" width="11.7109375" style="157" customWidth="1"/>
    <col min="16138" max="16139" width="9.28515625" style="157" customWidth="1"/>
    <col min="16140" max="16140" width="7.28515625" style="157" customWidth="1"/>
    <col min="16141" max="16141" width="9.28515625" style="157" customWidth="1"/>
    <col min="16142" max="16142" width="9.85546875" style="157" customWidth="1"/>
    <col min="16143" max="16143" width="8.7109375" style="157" customWidth="1"/>
    <col min="16144" max="16144" width="11.42578125" style="157" customWidth="1"/>
    <col min="16145" max="16384" width="11.42578125" style="157"/>
  </cols>
  <sheetData>
    <row r="2" spans="1:22" ht="18" x14ac:dyDescent="0.25">
      <c r="A2" s="159" t="s">
        <v>178</v>
      </c>
    </row>
    <row r="4" spans="1:22" ht="15" x14ac:dyDescent="0.25">
      <c r="B4" s="160"/>
      <c r="C4" s="160"/>
      <c r="D4" s="160"/>
      <c r="E4" s="160"/>
      <c r="F4" s="160"/>
      <c r="G4" s="160"/>
      <c r="H4" s="160"/>
      <c r="I4" s="160"/>
      <c r="J4" s="265"/>
      <c r="K4" s="265"/>
      <c r="L4" s="161"/>
      <c r="M4" s="161"/>
      <c r="N4" s="161"/>
      <c r="O4" s="161"/>
    </row>
    <row r="5" spans="1:22" ht="18" x14ac:dyDescent="0.25">
      <c r="B5" s="159" t="s">
        <v>179</v>
      </c>
      <c r="C5" s="266"/>
      <c r="D5" s="266"/>
      <c r="E5" s="266"/>
      <c r="F5" s="266"/>
      <c r="G5" s="266"/>
      <c r="H5" s="266"/>
    </row>
    <row r="6" spans="1:22" ht="13.5" thickBot="1" x14ac:dyDescent="0.25"/>
    <row r="7" spans="1:22" ht="15.75" customHeight="1" x14ac:dyDescent="0.2">
      <c r="B7" s="267"/>
      <c r="C7" s="268"/>
      <c r="D7" s="269" t="s">
        <v>162</v>
      </c>
      <c r="E7" s="270"/>
      <c r="F7" s="270"/>
      <c r="G7" s="270"/>
      <c r="H7" s="269" t="s">
        <v>180</v>
      </c>
      <c r="I7" s="270"/>
      <c r="J7" s="271"/>
      <c r="K7" s="271"/>
      <c r="L7" s="271"/>
      <c r="M7" s="269" t="s">
        <v>181</v>
      </c>
      <c r="N7" s="272"/>
      <c r="O7" s="273"/>
      <c r="R7" s="157" t="s">
        <v>151</v>
      </c>
      <c r="S7" s="157" t="s">
        <v>182</v>
      </c>
      <c r="T7" s="157" t="s">
        <v>183</v>
      </c>
      <c r="U7" s="190" t="s">
        <v>184</v>
      </c>
      <c r="V7" s="190" t="s">
        <v>185</v>
      </c>
    </row>
    <row r="8" spans="1:22" ht="13.5" thickBot="1" x14ac:dyDescent="0.25">
      <c r="B8" s="274" t="s">
        <v>132</v>
      </c>
      <c r="C8" s="275" t="s">
        <v>151</v>
      </c>
      <c r="D8" s="276" t="s">
        <v>186</v>
      </c>
      <c r="E8" s="277" t="s">
        <v>187</v>
      </c>
      <c r="F8" s="277" t="s">
        <v>184</v>
      </c>
      <c r="G8" s="277" t="s">
        <v>185</v>
      </c>
      <c r="H8" s="278" t="s">
        <v>151</v>
      </c>
      <c r="I8" s="277" t="s">
        <v>186</v>
      </c>
      <c r="J8" s="277" t="s">
        <v>187</v>
      </c>
      <c r="K8" s="277" t="s">
        <v>184</v>
      </c>
      <c r="L8" s="277" t="s">
        <v>185</v>
      </c>
      <c r="M8" s="278" t="s">
        <v>151</v>
      </c>
      <c r="N8" s="279" t="s">
        <v>186</v>
      </c>
      <c r="O8" s="280" t="s">
        <v>187</v>
      </c>
      <c r="Q8" s="157">
        <v>1995</v>
      </c>
      <c r="R8" s="203">
        <f t="shared" ref="R8:T24" si="0">C10</f>
        <v>4461.7</v>
      </c>
      <c r="S8" s="203">
        <f t="shared" si="0"/>
        <v>2479.4</v>
      </c>
      <c r="T8" s="203">
        <f t="shared" si="0"/>
        <v>1982.3</v>
      </c>
      <c r="V8" s="203"/>
    </row>
    <row r="9" spans="1:22" x14ac:dyDescent="0.2">
      <c r="B9" s="281"/>
      <c r="C9" s="282"/>
      <c r="D9" s="283"/>
      <c r="E9" s="284"/>
      <c r="F9" s="284"/>
      <c r="G9" s="285"/>
      <c r="H9" s="286"/>
      <c r="I9" s="284"/>
      <c r="J9" s="284"/>
      <c r="K9" s="284"/>
      <c r="L9" s="285"/>
      <c r="M9" s="283"/>
      <c r="N9" s="287"/>
      <c r="O9" s="288"/>
      <c r="Q9" s="157">
        <v>1996</v>
      </c>
      <c r="R9" s="203">
        <f t="shared" si="0"/>
        <v>4662.6049999999996</v>
      </c>
      <c r="S9" s="203">
        <f t="shared" si="0"/>
        <v>2492.7239999999997</v>
      </c>
      <c r="T9" s="203">
        <f t="shared" si="0"/>
        <v>2169.6310000000003</v>
      </c>
      <c r="V9" s="203"/>
    </row>
    <row r="10" spans="1:22" x14ac:dyDescent="0.2">
      <c r="B10" s="1510">
        <v>1995</v>
      </c>
      <c r="C10" s="1511">
        <f t="shared" ref="C10:C28" si="1">SUM(D10:G10)</f>
        <v>4461.7</v>
      </c>
      <c r="D10" s="1512">
        <f>SUM(I10,N10)</f>
        <v>2479.4</v>
      </c>
      <c r="E10" s="1513">
        <f t="shared" ref="E10:E28" si="2">SUM(J10,O10)</f>
        <v>1982.3</v>
      </c>
      <c r="F10" s="1513"/>
      <c r="G10" s="1514"/>
      <c r="H10" s="1512">
        <f t="shared" ref="H10:H28" si="3">SUM(I10:L10)</f>
        <v>3185.7</v>
      </c>
      <c r="I10" s="1512">
        <f>+[2]Desagregado!E8+[2]Desagregado!J8+[2]Desagregado!M8</f>
        <v>2190</v>
      </c>
      <c r="J10" s="1512">
        <f>+[2]Desagregado!F8+[2]Desagregado!K8+[2]Desagregado!N8</f>
        <v>995.7</v>
      </c>
      <c r="K10" s="1512"/>
      <c r="L10" s="1514"/>
      <c r="M10" s="1512">
        <f t="shared" ref="M10:M19" si="4">SUM(N10:O10)</f>
        <v>1276</v>
      </c>
      <c r="N10" s="1515">
        <f>+[2]Desagregado!E53+[2]Desagregado!H53+[2]Desagregado!K53</f>
        <v>289.39999999999998</v>
      </c>
      <c r="O10" s="1516">
        <f>+[2]Desagregado!F53+[2]Desagregado!I53+[2]Desagregado!L53</f>
        <v>986.59999999999991</v>
      </c>
      <c r="Q10" s="157">
        <v>1997</v>
      </c>
      <c r="R10" s="203">
        <f t="shared" si="0"/>
        <v>5192.4979999999996</v>
      </c>
      <c r="S10" s="203">
        <f t="shared" si="0"/>
        <v>2512.9939999999997</v>
      </c>
      <c r="T10" s="203">
        <f t="shared" si="0"/>
        <v>2679.2539999999999</v>
      </c>
      <c r="V10" s="203"/>
    </row>
    <row r="11" spans="1:22" x14ac:dyDescent="0.2">
      <c r="B11" s="289">
        <v>1996</v>
      </c>
      <c r="C11" s="282">
        <f t="shared" si="1"/>
        <v>4662.6049999999996</v>
      </c>
      <c r="D11" s="283">
        <f t="shared" ref="D11:D28" si="5">SUM(I11,N11)</f>
        <v>2492.7239999999997</v>
      </c>
      <c r="E11" s="290">
        <f t="shared" si="2"/>
        <v>2169.6310000000003</v>
      </c>
      <c r="F11" s="290"/>
      <c r="G11" s="291">
        <v>0.25</v>
      </c>
      <c r="H11" s="283">
        <f t="shared" si="3"/>
        <v>3352.8809999999999</v>
      </c>
      <c r="I11" s="283">
        <f>+[2]Desagregado!E9+[2]Desagregado!J9+[2]Desagregado!M9</f>
        <v>2200.1839999999997</v>
      </c>
      <c r="J11" s="283">
        <f>+[2]Desagregado!F9+[2]Desagregado!K9+[2]Desagregado!N9</f>
        <v>1152.4470000000001</v>
      </c>
      <c r="K11" s="283"/>
      <c r="L11" s="292">
        <f>+[2]Desagregado!H9+[2]Desagregado!O9</f>
        <v>0.25</v>
      </c>
      <c r="M11" s="283">
        <f t="shared" si="4"/>
        <v>1309.7239999999999</v>
      </c>
      <c r="N11" s="287">
        <f>+[2]Desagregado!E54+[2]Desagregado!H54+[2]Desagregado!K54</f>
        <v>292.54000000000002</v>
      </c>
      <c r="O11" s="288">
        <f>+[2]Desagregado!F54+[2]Desagregado!I54+[2]Desagregado!L54</f>
        <v>1017.184</v>
      </c>
      <c r="Q11" s="157">
        <v>1998</v>
      </c>
      <c r="R11" s="203">
        <f t="shared" si="0"/>
        <v>5515.29</v>
      </c>
      <c r="S11" s="203">
        <f t="shared" si="0"/>
        <v>2572.0610000000001</v>
      </c>
      <c r="T11" s="203">
        <f t="shared" si="0"/>
        <v>2942.9789999999998</v>
      </c>
      <c r="V11" s="203"/>
    </row>
    <row r="12" spans="1:22" x14ac:dyDescent="0.2">
      <c r="B12" s="1510">
        <v>1997</v>
      </c>
      <c r="C12" s="1511">
        <f t="shared" si="1"/>
        <v>5192.4979999999996</v>
      </c>
      <c r="D12" s="1512">
        <f t="shared" si="5"/>
        <v>2512.9939999999997</v>
      </c>
      <c r="E12" s="1517">
        <f t="shared" si="2"/>
        <v>2679.2539999999999</v>
      </c>
      <c r="F12" s="1517"/>
      <c r="G12" s="1518">
        <v>0.25</v>
      </c>
      <c r="H12" s="1512">
        <f t="shared" si="3"/>
        <v>4325.0209999999997</v>
      </c>
      <c r="I12" s="1512">
        <f>+[2]Desagregado!E10+[2]Desagregado!J10+[2]Desagregado!M10</f>
        <v>2411.5189999999998</v>
      </c>
      <c r="J12" s="1512">
        <f>+[2]Desagregado!F10+[2]Desagregado!K10+[2]Desagregado!N10</f>
        <v>1913.252</v>
      </c>
      <c r="K12" s="1512"/>
      <c r="L12" s="1519">
        <f>+[2]Desagregado!H10+[2]Desagregado!O10</f>
        <v>0.25</v>
      </c>
      <c r="M12" s="1512">
        <f t="shared" si="4"/>
        <v>867.47699999999998</v>
      </c>
      <c r="N12" s="1515">
        <f>+[2]Desagregado!E55+[2]Desagregado!H55+[2]Desagregado!K55</f>
        <v>101.47499999999999</v>
      </c>
      <c r="O12" s="1516">
        <f>+[2]Desagregado!F55+[2]Desagregado!I55+[2]Desagregado!L55</f>
        <v>766.00199999999995</v>
      </c>
      <c r="Q12" s="157">
        <v>1999</v>
      </c>
      <c r="R12" s="203">
        <f t="shared" si="0"/>
        <v>5742.4279999999999</v>
      </c>
      <c r="S12" s="203">
        <f t="shared" si="0"/>
        <v>2673.2799999999997</v>
      </c>
      <c r="T12" s="203">
        <f t="shared" si="0"/>
        <v>3068.4480000000003</v>
      </c>
      <c r="V12" s="203"/>
    </row>
    <row r="13" spans="1:22" x14ac:dyDescent="0.2">
      <c r="B13" s="289">
        <v>1998</v>
      </c>
      <c r="C13" s="282">
        <f t="shared" si="1"/>
        <v>5515.29</v>
      </c>
      <c r="D13" s="283">
        <f t="shared" si="5"/>
        <v>2572.0610000000001</v>
      </c>
      <c r="E13" s="290">
        <f t="shared" si="2"/>
        <v>2942.9789999999998</v>
      </c>
      <c r="F13" s="290"/>
      <c r="G13" s="291">
        <v>0.25</v>
      </c>
      <c r="H13" s="283">
        <f t="shared" si="3"/>
        <v>4632.2780000000002</v>
      </c>
      <c r="I13" s="283">
        <f>+[2]Desagregado!E11+[2]Desagregado!J11+[2]Desagregado!M11</f>
        <v>2467.4160000000002</v>
      </c>
      <c r="J13" s="283">
        <f>+[2]Desagregado!F11+[2]Desagregado!K11+[2]Desagregado!N11</f>
        <v>2164.6119999999996</v>
      </c>
      <c r="K13" s="283"/>
      <c r="L13" s="292">
        <f>+[2]Desagregado!H11+[2]Desagregado!O11</f>
        <v>0.25</v>
      </c>
      <c r="M13" s="283">
        <f t="shared" si="4"/>
        <v>883.01200000000006</v>
      </c>
      <c r="N13" s="287">
        <f>+[2]Desagregado!E56+[2]Desagregado!H56+[2]Desagregado!K56</f>
        <v>104.645</v>
      </c>
      <c r="O13" s="288">
        <f>+[2]Desagregado!F56+[2]Desagregado!I56+[2]Desagregado!L56</f>
        <v>778.36700000000008</v>
      </c>
      <c r="Q13" s="157">
        <v>2000</v>
      </c>
      <c r="R13" s="203">
        <f t="shared" si="0"/>
        <v>6066.1890000000003</v>
      </c>
      <c r="S13" s="203">
        <f t="shared" si="0"/>
        <v>2856.8250000000003</v>
      </c>
      <c r="T13" s="203">
        <f t="shared" si="0"/>
        <v>3208.6640000000002</v>
      </c>
      <c r="V13" s="203"/>
    </row>
    <row r="14" spans="1:22" x14ac:dyDescent="0.2">
      <c r="B14" s="1510">
        <v>1999</v>
      </c>
      <c r="C14" s="1511">
        <f t="shared" si="1"/>
        <v>5742.4279999999999</v>
      </c>
      <c r="D14" s="1512">
        <f t="shared" si="5"/>
        <v>2673.2799999999997</v>
      </c>
      <c r="E14" s="1517">
        <f t="shared" si="2"/>
        <v>3068.4480000000003</v>
      </c>
      <c r="F14" s="1517"/>
      <c r="G14" s="1518">
        <v>0.7</v>
      </c>
      <c r="H14" s="1512">
        <f t="shared" si="3"/>
        <v>4828.2429999999995</v>
      </c>
      <c r="I14" s="1512">
        <f>+[2]Desagregado!E12+[2]Desagregado!J12+[2]Desagregado!M12</f>
        <v>2587.1289999999999</v>
      </c>
      <c r="J14" s="1512">
        <f>+[2]Desagregado!F12+[2]Desagregado!K12+[2]Desagregado!N12</f>
        <v>2240.4140000000002</v>
      </c>
      <c r="K14" s="1512"/>
      <c r="L14" s="1519">
        <f>+[2]Desagregado!H12+[2]Desagregado!O12</f>
        <v>0.7</v>
      </c>
      <c r="M14" s="1512">
        <f t="shared" si="4"/>
        <v>914.18499999999995</v>
      </c>
      <c r="N14" s="1515">
        <f>+[2]Desagregado!E57+[2]Desagregado!H57+[2]Desagregado!K57</f>
        <v>86.150999999999982</v>
      </c>
      <c r="O14" s="1516">
        <f>+[2]Desagregado!F57+[2]Desagregado!I57+[2]Desagregado!L57</f>
        <v>828.03399999999999</v>
      </c>
      <c r="Q14" s="157">
        <v>2001</v>
      </c>
      <c r="R14" s="203">
        <f t="shared" si="0"/>
        <v>5906.6930000000002</v>
      </c>
      <c r="S14" s="203">
        <f t="shared" si="0"/>
        <v>2966.328</v>
      </c>
      <c r="T14" s="203">
        <f t="shared" si="0"/>
        <v>2939.665</v>
      </c>
      <c r="V14" s="203"/>
    </row>
    <row r="15" spans="1:22" x14ac:dyDescent="0.2">
      <c r="B15" s="289">
        <v>2000</v>
      </c>
      <c r="C15" s="282">
        <f t="shared" si="1"/>
        <v>6066.1890000000003</v>
      </c>
      <c r="D15" s="283">
        <f t="shared" si="5"/>
        <v>2856.8250000000003</v>
      </c>
      <c r="E15" s="290">
        <f t="shared" si="2"/>
        <v>3208.6640000000002</v>
      </c>
      <c r="F15" s="290"/>
      <c r="G15" s="291">
        <f>L15</f>
        <v>0.7</v>
      </c>
      <c r="H15" s="283">
        <f t="shared" si="3"/>
        <v>5148.8509999999997</v>
      </c>
      <c r="I15" s="283">
        <f>+[2]Desagregado!E13+[2]Desagregado!J13+[2]Desagregado!M13</f>
        <v>2779.26</v>
      </c>
      <c r="J15" s="283">
        <f>+[2]Desagregado!F13+[2]Desagregado!K13+[2]Desagregado!N13</f>
        <v>2368.8910000000001</v>
      </c>
      <c r="K15" s="283"/>
      <c r="L15" s="292">
        <f>+[2]Desagregado!H13+[2]Desagregado!O13</f>
        <v>0.7</v>
      </c>
      <c r="M15" s="283">
        <f t="shared" si="4"/>
        <v>917.33800000000019</v>
      </c>
      <c r="N15" s="287">
        <f>+[2]Desagregado!E58+[2]Desagregado!H58+[2]Desagregado!K58</f>
        <v>77.564999999999998</v>
      </c>
      <c r="O15" s="288">
        <f>+[2]Desagregado!F58+[2]Desagregado!I58+[2]Desagregado!L58</f>
        <v>839.77300000000014</v>
      </c>
      <c r="Q15" s="216">
        <v>2002</v>
      </c>
      <c r="R15" s="203">
        <f t="shared" si="0"/>
        <v>5935.5330000000004</v>
      </c>
      <c r="S15" s="203">
        <f t="shared" si="0"/>
        <v>2996.4710000000014</v>
      </c>
      <c r="T15" s="203">
        <f t="shared" si="0"/>
        <v>2938.3619999999996</v>
      </c>
      <c r="V15" s="203"/>
    </row>
    <row r="16" spans="1:22" x14ac:dyDescent="0.2">
      <c r="B16" s="1510">
        <v>2001</v>
      </c>
      <c r="C16" s="1511">
        <f t="shared" si="1"/>
        <v>5906.6930000000002</v>
      </c>
      <c r="D16" s="1512">
        <f t="shared" si="5"/>
        <v>2966.328</v>
      </c>
      <c r="E16" s="1517">
        <f t="shared" si="2"/>
        <v>2939.665</v>
      </c>
      <c r="F16" s="1517"/>
      <c r="G16" s="1519">
        <v>0.7</v>
      </c>
      <c r="H16" s="1512">
        <f t="shared" si="3"/>
        <v>5050.8139999999994</v>
      </c>
      <c r="I16" s="1517">
        <f>+[2]Desagregado!E16+[2]Desagregado!M16</f>
        <v>2889.433</v>
      </c>
      <c r="J16" s="1517">
        <f>+[2]Desagregado!F16+[2]Desagregado!N16</f>
        <v>2160.681</v>
      </c>
      <c r="K16" s="1517"/>
      <c r="L16" s="1519">
        <f>+[2]Desagregado!H16+[2]Desagregado!O16</f>
        <v>0.7</v>
      </c>
      <c r="M16" s="1512">
        <f t="shared" si="4"/>
        <v>855.87900000000002</v>
      </c>
      <c r="N16" s="1515">
        <f>+[2]Desagregado!E61+[2]Desagregado!K61</f>
        <v>76.894999999999996</v>
      </c>
      <c r="O16" s="1516">
        <f>+[2]Desagregado!F61+[2]Desagregado!L61</f>
        <v>778.98400000000004</v>
      </c>
      <c r="Q16" s="157">
        <v>2003</v>
      </c>
      <c r="R16" s="203">
        <f t="shared" si="0"/>
        <v>5970.0630000000001</v>
      </c>
      <c r="S16" s="203">
        <f t="shared" si="0"/>
        <v>3032.3070000000002</v>
      </c>
      <c r="T16" s="203">
        <f t="shared" si="0"/>
        <v>2937.056</v>
      </c>
      <c r="V16" s="203"/>
    </row>
    <row r="17" spans="1:22" x14ac:dyDescent="0.2">
      <c r="B17" s="289">
        <v>2002</v>
      </c>
      <c r="C17" s="282">
        <f t="shared" si="1"/>
        <v>5935.5330000000004</v>
      </c>
      <c r="D17" s="283">
        <f t="shared" si="5"/>
        <v>2996.4710000000014</v>
      </c>
      <c r="E17" s="290">
        <f t="shared" si="2"/>
        <v>2938.3619999999996</v>
      </c>
      <c r="F17" s="290"/>
      <c r="G17" s="292">
        <f t="shared" ref="G17:G28" si="6">SUM(L17)</f>
        <v>0.7</v>
      </c>
      <c r="H17" s="283">
        <f t="shared" si="3"/>
        <v>5068.0510000000004</v>
      </c>
      <c r="I17" s="290">
        <f>+[2]Desagregado!E17+[2]Desagregado!M17</f>
        <v>2917.6020000000012</v>
      </c>
      <c r="J17" s="290">
        <f>+[2]Desagregado!F17+[2]Desagregado!N17</f>
        <v>2149.7489999999998</v>
      </c>
      <c r="K17" s="290"/>
      <c r="L17" s="292">
        <f>+[2]Desagregado!H17+[2]Desagregado!O17</f>
        <v>0.7</v>
      </c>
      <c r="M17" s="283">
        <f t="shared" si="4"/>
        <v>867.48199999999974</v>
      </c>
      <c r="N17" s="287">
        <f>+[2]Desagregado!E62+[2]Desagregado!K62</f>
        <v>78.868999999999971</v>
      </c>
      <c r="O17" s="288">
        <f>+[2]Desagregado!F62+[2]Desagregado!L62</f>
        <v>788.61299999999983</v>
      </c>
      <c r="Q17" s="157">
        <v>2004</v>
      </c>
      <c r="R17" s="203">
        <f t="shared" si="0"/>
        <v>6016.3186000000023</v>
      </c>
      <c r="S17" s="203">
        <f t="shared" si="0"/>
        <v>3055.8676000000023</v>
      </c>
      <c r="T17" s="203">
        <f t="shared" si="0"/>
        <v>2959.7510000000002</v>
      </c>
      <c r="V17" s="203"/>
    </row>
    <row r="18" spans="1:22" x14ac:dyDescent="0.2">
      <c r="A18" s="162"/>
      <c r="B18" s="1510">
        <v>2003</v>
      </c>
      <c r="C18" s="1511">
        <f>SUM(D18:G18)</f>
        <v>5970.0630000000001</v>
      </c>
      <c r="D18" s="1512">
        <f t="shared" si="5"/>
        <v>3032.3070000000002</v>
      </c>
      <c r="E18" s="1517">
        <f t="shared" si="2"/>
        <v>2937.056</v>
      </c>
      <c r="F18" s="1517"/>
      <c r="G18" s="1519">
        <f t="shared" si="6"/>
        <v>0.7</v>
      </c>
      <c r="H18" s="1512">
        <f>SUM(I18:L18)</f>
        <v>5095.1030000000001</v>
      </c>
      <c r="I18" s="1517">
        <f>+[2]Desagregado!E18+[2]Desagregado!M18</f>
        <v>2946.8210000000004</v>
      </c>
      <c r="J18" s="1517">
        <f>+[2]Desagregado!F18+[2]Desagregado!N18</f>
        <v>2147.5819999999999</v>
      </c>
      <c r="K18" s="1517"/>
      <c r="L18" s="1519">
        <f>+[2]Desagregado!H18+[2]Desagregado!O18</f>
        <v>0.7</v>
      </c>
      <c r="M18" s="1512">
        <f>SUM(N18:O18)</f>
        <v>874.96</v>
      </c>
      <c r="N18" s="1519">
        <f>+[2]Desagregado!E63+[2]Desagregado!K63</f>
        <v>85.48599999999999</v>
      </c>
      <c r="O18" s="1516">
        <f>+[2]Desagregado!F63+[2]Desagregado!L63</f>
        <v>789.47400000000005</v>
      </c>
      <c r="Q18" s="157">
        <v>2005</v>
      </c>
      <c r="R18" s="203">
        <f t="shared" si="0"/>
        <v>6200.5255999999999</v>
      </c>
      <c r="S18" s="203">
        <f t="shared" si="0"/>
        <v>3207.0616000000005</v>
      </c>
      <c r="T18" s="203">
        <f t="shared" si="0"/>
        <v>2992.7639999999992</v>
      </c>
      <c r="V18" s="203"/>
    </row>
    <row r="19" spans="1:22" x14ac:dyDescent="0.2">
      <c r="A19" s="162"/>
      <c r="B19" s="289">
        <v>2004</v>
      </c>
      <c r="C19" s="282">
        <f t="shared" si="1"/>
        <v>6016.3186000000023</v>
      </c>
      <c r="D19" s="283">
        <f t="shared" si="5"/>
        <v>3055.8676000000023</v>
      </c>
      <c r="E19" s="290">
        <f t="shared" si="2"/>
        <v>2959.7510000000002</v>
      </c>
      <c r="F19" s="290"/>
      <c r="G19" s="292">
        <f t="shared" si="6"/>
        <v>0.7</v>
      </c>
      <c r="H19" s="283">
        <f t="shared" si="3"/>
        <v>5096.0216000000028</v>
      </c>
      <c r="I19" s="290">
        <f>+[2]Desagregado!E19+[2]Desagregado!M19</f>
        <v>2969.0596000000023</v>
      </c>
      <c r="J19" s="290">
        <f>+[2]Desagregado!F19+[2]Desagregado!N19</f>
        <v>2126.2620000000002</v>
      </c>
      <c r="K19" s="290"/>
      <c r="L19" s="292">
        <f>+[2]Desagregado!H19+[2]Desagregado!O19</f>
        <v>0.7</v>
      </c>
      <c r="M19" s="283">
        <f t="shared" si="4"/>
        <v>920.29700000000003</v>
      </c>
      <c r="N19" s="292">
        <f>+[2]Desagregado!E64+[2]Desagregado!K64</f>
        <v>86.807999999999964</v>
      </c>
      <c r="O19" s="288">
        <f>+[2]Desagregado!F64+[2]Desagregado!L64</f>
        <v>833.48900000000003</v>
      </c>
      <c r="Q19" s="157">
        <v>2006</v>
      </c>
      <c r="R19" s="203">
        <f t="shared" si="0"/>
        <v>6658.1435999999994</v>
      </c>
      <c r="S19" s="203">
        <f t="shared" si="0"/>
        <v>3216.0025999999998</v>
      </c>
      <c r="T19" s="203">
        <f t="shared" si="0"/>
        <v>3441.4409999999998</v>
      </c>
      <c r="V19" s="203"/>
    </row>
    <row r="20" spans="1:22" x14ac:dyDescent="0.2">
      <c r="A20" s="162"/>
      <c r="B20" s="1510">
        <v>2005</v>
      </c>
      <c r="C20" s="1511">
        <f t="shared" si="1"/>
        <v>6200.5255999999999</v>
      </c>
      <c r="D20" s="1512">
        <f t="shared" si="5"/>
        <v>3207.0616000000005</v>
      </c>
      <c r="E20" s="1517">
        <f t="shared" si="2"/>
        <v>2992.7639999999992</v>
      </c>
      <c r="F20" s="1517"/>
      <c r="G20" s="1519">
        <f t="shared" si="6"/>
        <v>0.7</v>
      </c>
      <c r="H20" s="1512">
        <f t="shared" si="3"/>
        <v>5220.6336000000001</v>
      </c>
      <c r="I20" s="1517">
        <f>+[2]Desagregado!E20+[2]Desagregado!M20</f>
        <v>3119.1996000000004</v>
      </c>
      <c r="J20" s="1517">
        <f>+[2]Desagregado!F20+[2]Desagregado!N20</f>
        <v>2100.7339999999995</v>
      </c>
      <c r="K20" s="1517"/>
      <c r="L20" s="1519">
        <f>+[2]Desagregado!H20+[2]Desagregado!O20</f>
        <v>0.7</v>
      </c>
      <c r="M20" s="1512">
        <f t="shared" ref="M20:M26" si="7">+N20+O20</f>
        <v>979.89199999999994</v>
      </c>
      <c r="N20" s="1519">
        <f>+[2]Desagregado!E65+[2]Desagregado!K65</f>
        <v>87.861999999999981</v>
      </c>
      <c r="O20" s="1516">
        <f>+[2]Desagregado!F65+[2]Desagregado!L65</f>
        <v>892.03</v>
      </c>
      <c r="Q20" s="216">
        <v>2007</v>
      </c>
      <c r="R20" s="203">
        <f t="shared" si="0"/>
        <v>7027.5172000000002</v>
      </c>
      <c r="S20" s="203">
        <f t="shared" si="0"/>
        <v>3233.5982000000004</v>
      </c>
      <c r="T20" s="203">
        <f t="shared" si="0"/>
        <v>3793.2190000000001</v>
      </c>
      <c r="V20" s="203"/>
    </row>
    <row r="21" spans="1:22" x14ac:dyDescent="0.2">
      <c r="A21" s="162"/>
      <c r="B21" s="289">
        <v>2006</v>
      </c>
      <c r="C21" s="282">
        <f>SUM(D21:G21)</f>
        <v>6658.1435999999994</v>
      </c>
      <c r="D21" s="283">
        <f t="shared" si="5"/>
        <v>3216.0025999999998</v>
      </c>
      <c r="E21" s="290">
        <f t="shared" si="2"/>
        <v>3441.4409999999998</v>
      </c>
      <c r="F21" s="290"/>
      <c r="G21" s="292">
        <f t="shared" si="6"/>
        <v>0.7</v>
      </c>
      <c r="H21" s="283">
        <f>SUM(I21:L21)</f>
        <v>5625.1415999999999</v>
      </c>
      <c r="I21" s="290">
        <f>+[2]Desagregado!E21+[2]Desagregado!M21</f>
        <v>3127.8006</v>
      </c>
      <c r="J21" s="290">
        <f>+[2]Desagregado!F21+[2]Desagregado!N21</f>
        <v>2496.6410000000001</v>
      </c>
      <c r="K21" s="290"/>
      <c r="L21" s="292">
        <f>+[2]Desagregado!H21+[2]Desagregado!O21</f>
        <v>0.7</v>
      </c>
      <c r="M21" s="283">
        <f t="shared" si="7"/>
        <v>1033.0019999999997</v>
      </c>
      <c r="N21" s="292">
        <f>+[2]Desagregado!E66+[2]Desagregado!K66</f>
        <v>88.201999999999998</v>
      </c>
      <c r="O21" s="288">
        <f>+[2]Desagregado!F66+[2]Desagregado!L66</f>
        <v>944.79999999999973</v>
      </c>
      <c r="Q21" s="157">
        <v>2008</v>
      </c>
      <c r="R21" s="203">
        <f t="shared" si="0"/>
        <v>7157.9350000000031</v>
      </c>
      <c r="S21" s="203">
        <f t="shared" si="0"/>
        <v>3242.0260000000017</v>
      </c>
      <c r="T21" s="203">
        <f t="shared" si="0"/>
        <v>3915.2090000000017</v>
      </c>
      <c r="V21" s="203"/>
    </row>
    <row r="22" spans="1:22" x14ac:dyDescent="0.2">
      <c r="B22" s="1510">
        <v>2007</v>
      </c>
      <c r="C22" s="1511">
        <f t="shared" si="1"/>
        <v>7027.5172000000002</v>
      </c>
      <c r="D22" s="1512">
        <f t="shared" si="5"/>
        <v>3233.5982000000004</v>
      </c>
      <c r="E22" s="1517">
        <f t="shared" si="2"/>
        <v>3793.2190000000001</v>
      </c>
      <c r="F22" s="1517"/>
      <c r="G22" s="1519">
        <f t="shared" si="6"/>
        <v>0.7</v>
      </c>
      <c r="H22" s="1512">
        <f t="shared" si="3"/>
        <v>5989.7251999999999</v>
      </c>
      <c r="I22" s="1517">
        <f>+[2]Desagregado!E22+[2]Desagregado!M22</f>
        <v>3145.1412000000005</v>
      </c>
      <c r="J22" s="1517">
        <f>+[2]Desagregado!F22+[2]Desagregado!N22</f>
        <v>2843.884</v>
      </c>
      <c r="K22" s="1517"/>
      <c r="L22" s="1519">
        <f>+[2]Desagregado!H22+[2]Desagregado!O22</f>
        <v>0.7</v>
      </c>
      <c r="M22" s="1512">
        <f t="shared" si="7"/>
        <v>1037.7919999999999</v>
      </c>
      <c r="N22" s="1519">
        <f>+[2]Desagregado!E67+[2]Desagregado!K67</f>
        <v>88.456999999999994</v>
      </c>
      <c r="O22" s="1516">
        <f>+[2]Desagregado!F67+[2]Desagregado!L67</f>
        <v>949.33499999999992</v>
      </c>
      <c r="Q22" s="157">
        <v>2009</v>
      </c>
      <c r="R22" s="203">
        <f t="shared" si="0"/>
        <v>7986.4960000000019</v>
      </c>
      <c r="S22" s="203">
        <f t="shared" si="0"/>
        <v>3277.4640000000018</v>
      </c>
      <c r="T22" s="203">
        <f t="shared" si="0"/>
        <v>4708.3320000000003</v>
      </c>
      <c r="V22" s="203"/>
    </row>
    <row r="23" spans="1:22" x14ac:dyDescent="0.2">
      <c r="B23" s="289">
        <v>2008</v>
      </c>
      <c r="C23" s="282">
        <f t="shared" si="1"/>
        <v>7157.9350000000031</v>
      </c>
      <c r="D23" s="283">
        <f t="shared" si="5"/>
        <v>3242.0260000000017</v>
      </c>
      <c r="E23" s="284">
        <f t="shared" si="2"/>
        <v>3915.2090000000017</v>
      </c>
      <c r="F23" s="284"/>
      <c r="G23" s="292">
        <f t="shared" si="6"/>
        <v>0.7</v>
      </c>
      <c r="H23" s="283">
        <f t="shared" si="3"/>
        <v>5996.9830000000029</v>
      </c>
      <c r="I23" s="290">
        <f>+[2]Desagregado!E23+[2]Desagregado!M23</f>
        <v>3152.0380000000018</v>
      </c>
      <c r="J23" s="290">
        <f>+[2]Desagregado!F23+[2]Desagregado!N23</f>
        <v>2844.2450000000008</v>
      </c>
      <c r="K23" s="290"/>
      <c r="L23" s="292">
        <f>+[2]Desagregado!H23+[2]Desagregado!O23</f>
        <v>0.7</v>
      </c>
      <c r="M23" s="283">
        <f t="shared" si="7"/>
        <v>1160.9520000000007</v>
      </c>
      <c r="N23" s="292">
        <f>+[2]Desagregado!E68+[2]Desagregado!K68</f>
        <v>89.987999999999971</v>
      </c>
      <c r="O23" s="288">
        <f>+[2]Desagregado!F68+[2]Desagregado!L68</f>
        <v>1070.9640000000006</v>
      </c>
      <c r="Q23" s="157">
        <v>2010</v>
      </c>
      <c r="R23" s="203">
        <f t="shared" si="0"/>
        <v>8612.5569999999989</v>
      </c>
      <c r="S23" s="203">
        <f t="shared" si="0"/>
        <v>3437.6019999999999</v>
      </c>
      <c r="T23" s="203">
        <f t="shared" si="0"/>
        <v>5174.2549999999983</v>
      </c>
      <c r="V23" s="203"/>
    </row>
    <row r="24" spans="1:22" x14ac:dyDescent="0.2">
      <c r="B24" s="1510">
        <v>2009</v>
      </c>
      <c r="C24" s="1511">
        <f t="shared" si="1"/>
        <v>7986.4960000000019</v>
      </c>
      <c r="D24" s="1512">
        <f t="shared" si="5"/>
        <v>3277.4640000000018</v>
      </c>
      <c r="E24" s="1513">
        <f t="shared" si="2"/>
        <v>4708.3320000000003</v>
      </c>
      <c r="F24" s="1513"/>
      <c r="G24" s="1519">
        <f t="shared" si="6"/>
        <v>0.7</v>
      </c>
      <c r="H24" s="1512">
        <f t="shared" si="3"/>
        <v>6723.5160000000024</v>
      </c>
      <c r="I24" s="1517">
        <f>+[2]Desagregado!E24+[2]Desagregado!M24</f>
        <v>3183.1260000000016</v>
      </c>
      <c r="J24" s="1517">
        <f>+[2]Desagregado!F24+[2]Desagregado!N24</f>
        <v>3539.6900000000005</v>
      </c>
      <c r="K24" s="1517"/>
      <c r="L24" s="1519">
        <f>+[2]Desagregado!H24+[2]Desagregado!O24</f>
        <v>0.7</v>
      </c>
      <c r="M24" s="1512">
        <f t="shared" si="7"/>
        <v>1262.9800000000002</v>
      </c>
      <c r="N24" s="1519">
        <f>+[2]Desagregado!E69+[2]Desagregado!K69</f>
        <v>94.337999999999994</v>
      </c>
      <c r="O24" s="1516">
        <f>+[2]Desagregado!F69+[2]Desagregado!L69</f>
        <v>1168.6420000000003</v>
      </c>
      <c r="Q24" s="157">
        <v>2011</v>
      </c>
      <c r="R24" s="203">
        <f t="shared" si="0"/>
        <v>8691.3240000000005</v>
      </c>
      <c r="S24" s="203">
        <f t="shared" si="0"/>
        <v>3450.953</v>
      </c>
      <c r="T24" s="203">
        <f t="shared" si="0"/>
        <v>5239.6710000000003</v>
      </c>
      <c r="V24" s="203"/>
    </row>
    <row r="25" spans="1:22" x14ac:dyDescent="0.2">
      <c r="B25" s="289">
        <v>2010</v>
      </c>
      <c r="C25" s="282">
        <f t="shared" si="1"/>
        <v>8612.5569999999989</v>
      </c>
      <c r="D25" s="283">
        <f t="shared" si="5"/>
        <v>3437.6019999999999</v>
      </c>
      <c r="E25" s="284">
        <f t="shared" si="2"/>
        <v>5174.2549999999983</v>
      </c>
      <c r="F25" s="284"/>
      <c r="G25" s="292">
        <f t="shared" si="6"/>
        <v>0.7</v>
      </c>
      <c r="H25" s="283">
        <f t="shared" si="3"/>
        <v>7309.1659999999983</v>
      </c>
      <c r="I25" s="290">
        <f>+[2]Desagregado!E25+[2]Desagregado!M25</f>
        <v>3344.7950000000001</v>
      </c>
      <c r="J25" s="290">
        <f>+[2]Desagregado!F25+[2]Desagregado!N25</f>
        <v>3963.6709999999989</v>
      </c>
      <c r="K25" s="290"/>
      <c r="L25" s="292">
        <f>+[2]Desagregado!H25+[2]Desagregado!O25</f>
        <v>0.7</v>
      </c>
      <c r="M25" s="283">
        <f>+N25+O25</f>
        <v>1303.3909999999996</v>
      </c>
      <c r="N25" s="292">
        <f>+[2]Desagregado!E70+[2]Desagregado!K70</f>
        <v>92.807000000000016</v>
      </c>
      <c r="O25" s="288">
        <f>+[2]Desagregado!F70+[2]Desagregado!L70</f>
        <v>1210.5839999999996</v>
      </c>
      <c r="Q25" s="157">
        <v>2012</v>
      </c>
      <c r="R25" s="203">
        <f t="shared" ref="R25:V28" si="8">C27</f>
        <v>9699.0969999999979</v>
      </c>
      <c r="S25" s="203">
        <f t="shared" si="8"/>
        <v>3483.9739999999988</v>
      </c>
      <c r="T25" s="203">
        <f t="shared" si="8"/>
        <v>6134.4229999999989</v>
      </c>
      <c r="U25" s="203">
        <f t="shared" si="8"/>
        <v>80</v>
      </c>
      <c r="V25" s="203"/>
    </row>
    <row r="26" spans="1:22" x14ac:dyDescent="0.2">
      <c r="B26" s="1510">
        <v>2011</v>
      </c>
      <c r="C26" s="1511">
        <f t="shared" si="1"/>
        <v>8691.3240000000005</v>
      </c>
      <c r="D26" s="1512">
        <f t="shared" si="5"/>
        <v>3450.953</v>
      </c>
      <c r="E26" s="1513">
        <f t="shared" si="2"/>
        <v>5239.6710000000003</v>
      </c>
      <c r="F26" s="1513"/>
      <c r="G26" s="1519">
        <f t="shared" si="6"/>
        <v>0.7</v>
      </c>
      <c r="H26" s="1512">
        <f t="shared" si="3"/>
        <v>7314.2370000000001</v>
      </c>
      <c r="I26" s="1512">
        <f>+[2]Desagregado!E26+[2]Desagregado!M26</f>
        <v>3357.06</v>
      </c>
      <c r="J26" s="1512">
        <f>+[2]Desagregado!F26+[2]Desagregado!N26</f>
        <v>3956.4770000000003</v>
      </c>
      <c r="K26" s="1517"/>
      <c r="L26" s="1519">
        <f>+[2]Desagregado!H26+[2]Desagregado!O26</f>
        <v>0.7</v>
      </c>
      <c r="M26" s="1512">
        <f t="shared" si="7"/>
        <v>1377.087</v>
      </c>
      <c r="N26" s="1512">
        <f>+[2]Desagregado!E71+[2]Desagregado!K71</f>
        <v>93.893000000000001</v>
      </c>
      <c r="O26" s="1512">
        <f>+[2]Desagregado!F71+[2]Desagregado!L71</f>
        <v>1283.194</v>
      </c>
      <c r="Q26" s="157">
        <v>2013</v>
      </c>
      <c r="R26" s="203">
        <f t="shared" si="8"/>
        <v>11050.719000000001</v>
      </c>
      <c r="S26" s="203">
        <f t="shared" si="8"/>
        <v>3556.1819999999998</v>
      </c>
      <c r="T26" s="203">
        <f t="shared" si="8"/>
        <v>7413.8369999999995</v>
      </c>
      <c r="U26" s="203">
        <f t="shared" si="8"/>
        <v>80</v>
      </c>
      <c r="V26" s="203"/>
    </row>
    <row r="27" spans="1:22" x14ac:dyDescent="0.2">
      <c r="B27" s="293">
        <v>2012</v>
      </c>
      <c r="C27" s="294">
        <f t="shared" si="1"/>
        <v>9699.0969999999979</v>
      </c>
      <c r="D27" s="295">
        <f>SUM(I27,N27)</f>
        <v>3483.9739999999988</v>
      </c>
      <c r="E27" s="296">
        <f>SUM(J27,O27)</f>
        <v>6134.4229999999989</v>
      </c>
      <c r="F27" s="297">
        <f>SUM(K27)</f>
        <v>80</v>
      </c>
      <c r="G27" s="297">
        <f t="shared" si="6"/>
        <v>0.7</v>
      </c>
      <c r="H27" s="295">
        <f t="shared" si="3"/>
        <v>8267.1709999999985</v>
      </c>
      <c r="I27" s="290">
        <f>+[2]Desagregado!E27+[2]Desagregado!M27</f>
        <v>3380.829999999999</v>
      </c>
      <c r="J27" s="290">
        <f>+[2]Desagregado!F27+[2]Desagregado!N27</f>
        <v>4805.6409999999987</v>
      </c>
      <c r="K27" s="298">
        <f>+[2]Desagregado!G27</f>
        <v>80</v>
      </c>
      <c r="L27" s="297">
        <f>+[2]Desagregado!H27+[2]Desagregado!O27</f>
        <v>0.7</v>
      </c>
      <c r="M27" s="295">
        <f>+N27+O27</f>
        <v>1431.9260000000006</v>
      </c>
      <c r="N27" s="292">
        <f>+[2]Desagregado!E72+[2]Desagregado!K72</f>
        <v>103.14399999999998</v>
      </c>
      <c r="O27" s="288">
        <f>+[2]Desagregado!F72+[2]Desagregado!L72</f>
        <v>1328.7820000000006</v>
      </c>
      <c r="Q27" s="157">
        <v>2014</v>
      </c>
      <c r="R27" s="203">
        <f t="shared" si="8"/>
        <v>11202.619000000001</v>
      </c>
      <c r="S27" s="203">
        <f t="shared" si="8"/>
        <v>3661.8649999999993</v>
      </c>
      <c r="T27" s="203">
        <f t="shared" si="8"/>
        <v>7302.054000000001</v>
      </c>
      <c r="U27" s="203">
        <f t="shared" si="8"/>
        <v>96</v>
      </c>
      <c r="V27" s="203">
        <f t="shared" si="8"/>
        <v>142.69999999999999</v>
      </c>
    </row>
    <row r="28" spans="1:22" x14ac:dyDescent="0.2">
      <c r="B28" s="1510">
        <v>2013</v>
      </c>
      <c r="C28" s="1511">
        <f t="shared" si="1"/>
        <v>11050.719000000001</v>
      </c>
      <c r="D28" s="1512">
        <f t="shared" si="5"/>
        <v>3556.1819999999998</v>
      </c>
      <c r="E28" s="1513">
        <f t="shared" si="2"/>
        <v>7413.8369999999995</v>
      </c>
      <c r="F28" s="1513">
        <f>SUM(K28)</f>
        <v>80</v>
      </c>
      <c r="G28" s="1519">
        <f t="shared" si="6"/>
        <v>0.7</v>
      </c>
      <c r="H28" s="1512">
        <f t="shared" si="3"/>
        <v>9634.6310000000012</v>
      </c>
      <c r="I28" s="1512">
        <f>+[2]Desagregado!E28+[2]Desagregado!M28</f>
        <v>3450.5469999999996</v>
      </c>
      <c r="J28" s="1512">
        <f>+[2]Desagregado!F28+[2]Desagregado!N28</f>
        <v>6103.384</v>
      </c>
      <c r="K28" s="1517">
        <f>+[2]Desagregado!G28</f>
        <v>80</v>
      </c>
      <c r="L28" s="1519">
        <f>+[2]Desagregado!H28+[2]Desagregado!O28</f>
        <v>0.7</v>
      </c>
      <c r="M28" s="1512">
        <f>+N28+O28</f>
        <v>1416.088</v>
      </c>
      <c r="N28" s="1512">
        <f>+[2]Desagregado!E73+[2]Desagregado!K73</f>
        <v>105.63500000000002</v>
      </c>
      <c r="O28" s="1512">
        <f>+[2]Desagregado!F73+[2]Desagregado!L73</f>
        <v>1310.453</v>
      </c>
      <c r="Q28" s="259" t="s">
        <v>136</v>
      </c>
      <c r="R28" s="203">
        <f t="shared" si="8"/>
        <v>12251.621000000003</v>
      </c>
      <c r="S28" s="203">
        <f t="shared" si="8"/>
        <v>4166.0349999999999</v>
      </c>
      <c r="T28" s="203">
        <f t="shared" si="8"/>
        <v>7749.8860000000022</v>
      </c>
      <c r="U28" s="203">
        <f t="shared" si="8"/>
        <v>96</v>
      </c>
      <c r="V28" s="203">
        <f t="shared" si="8"/>
        <v>239.7</v>
      </c>
    </row>
    <row r="29" spans="1:22" x14ac:dyDescent="0.2">
      <c r="B29" s="304">
        <v>2014</v>
      </c>
      <c r="C29" s="282">
        <f>SUM(D29:G29)</f>
        <v>11202.619000000001</v>
      </c>
      <c r="D29" s="283">
        <f>SUM(I29,N29)</f>
        <v>3661.8649999999993</v>
      </c>
      <c r="E29" s="284">
        <f>SUM(J29,O29)</f>
        <v>7302.054000000001</v>
      </c>
      <c r="F29" s="284">
        <f>SUM(K29)</f>
        <v>96</v>
      </c>
      <c r="G29" s="292">
        <f>SUM(L29)</f>
        <v>142.69999999999999</v>
      </c>
      <c r="H29" s="283">
        <f>SUM(I29:L29)</f>
        <v>9739.2480000000014</v>
      </c>
      <c r="I29" s="290">
        <f>+[2]Desagregado!E29+[2]Desagregado!M29</f>
        <v>3558.2689999999993</v>
      </c>
      <c r="J29" s="290">
        <f>+[2]Desagregado!F29+[2]Desagregado!N29</f>
        <v>5942.2790000000014</v>
      </c>
      <c r="K29" s="290">
        <f>+[2]Desagregado!G29</f>
        <v>96</v>
      </c>
      <c r="L29" s="292">
        <f>+[2]Desagregado!H29+[2]Desagregado!O29</f>
        <v>142.69999999999999</v>
      </c>
      <c r="M29" s="283">
        <f>+N29+O29</f>
        <v>1463.3709999999996</v>
      </c>
      <c r="N29" s="292">
        <f>+[2]Desagregado!E74+[2]Desagregado!K74</f>
        <v>103.596</v>
      </c>
      <c r="O29" s="288">
        <f>+[2]Desagregado!F74+[2]Desagregado!L74</f>
        <v>1359.7749999999996</v>
      </c>
      <c r="R29" s="203"/>
      <c r="S29" s="203"/>
      <c r="T29" s="203"/>
    </row>
    <row r="30" spans="1:22" x14ac:dyDescent="0.2">
      <c r="B30" s="1510" t="s">
        <v>136</v>
      </c>
      <c r="C30" s="1511">
        <f>SUM(D30:G30)</f>
        <v>12251.621000000003</v>
      </c>
      <c r="D30" s="1512">
        <f>SUM(I30,N30)</f>
        <v>4166.0349999999999</v>
      </c>
      <c r="E30" s="1513">
        <f>SUM(J30,O30)</f>
        <v>7749.8860000000022</v>
      </c>
      <c r="F30" s="1513">
        <f>SUM(K30)</f>
        <v>96</v>
      </c>
      <c r="G30" s="1519">
        <f>SUM(L30)</f>
        <v>239.7</v>
      </c>
      <c r="H30" s="1512">
        <f>SUM(I30:L30)</f>
        <v>10765.318000000003</v>
      </c>
      <c r="I30" s="1512">
        <f>+[2]Desagregado!E30+[2]Desagregado!M30</f>
        <v>4062.4390000000003</v>
      </c>
      <c r="J30" s="1512">
        <f>+[2]Desagregado!F30+[2]Desagregado!N30</f>
        <v>6367.1790000000028</v>
      </c>
      <c r="K30" s="1517">
        <f>+[2]Desagregado!G30</f>
        <v>96</v>
      </c>
      <c r="L30" s="1519">
        <f>+[2]Desagregado!H30+[2]Desagregado!O30</f>
        <v>239.7</v>
      </c>
      <c r="M30" s="1512">
        <f>+N30+O30</f>
        <v>1486.3029999999994</v>
      </c>
      <c r="N30" s="1512">
        <f>+[2]Desagregado!E75+[2]Desagregado!K75</f>
        <v>103.596</v>
      </c>
      <c r="O30" s="1512">
        <f>+[2]Desagregado!F75+[2]Desagregado!L75</f>
        <v>1382.7069999999994</v>
      </c>
      <c r="R30" s="203"/>
      <c r="S30" s="203"/>
      <c r="T30" s="203"/>
    </row>
    <row r="31" spans="1:22" ht="13.5" thickBot="1" x14ac:dyDescent="0.25">
      <c r="B31" s="293"/>
      <c r="C31" s="294"/>
      <c r="D31" s="295"/>
      <c r="E31" s="296"/>
      <c r="F31" s="305"/>
      <c r="G31" s="297"/>
      <c r="H31" s="295"/>
      <c r="I31" s="298"/>
      <c r="J31" s="298"/>
      <c r="K31" s="298"/>
      <c r="L31" s="297"/>
      <c r="M31" s="295"/>
      <c r="N31" s="297"/>
      <c r="O31" s="306"/>
      <c r="R31" s="203"/>
      <c r="S31" s="203"/>
      <c r="T31" s="203"/>
    </row>
    <row r="32" spans="1:22" x14ac:dyDescent="0.2">
      <c r="B32" s="1520" t="s">
        <v>137</v>
      </c>
      <c r="C32" s="1521">
        <f>(C30/C29)-1</f>
        <v>9.3638996381114392E-2</v>
      </c>
      <c r="D32" s="1522">
        <f t="shared" ref="D32:E32" si="9">(D30/D29)-1</f>
        <v>0.13768120889219038</v>
      </c>
      <c r="E32" s="1522">
        <f t="shared" si="9"/>
        <v>6.1329593015883033E-2</v>
      </c>
      <c r="F32" s="307"/>
      <c r="G32" s="308"/>
      <c r="H32" s="1522">
        <f t="shared" ref="H32:J32" si="10">(H30/H29)-1</f>
        <v>0.10535413001085936</v>
      </c>
      <c r="I32" s="1522">
        <f t="shared" si="10"/>
        <v>0.14168968113428226</v>
      </c>
      <c r="J32" s="1522">
        <f t="shared" si="10"/>
        <v>7.1504552377968267E-2</v>
      </c>
      <c r="K32" s="309"/>
      <c r="L32" s="308"/>
      <c r="M32" s="1522">
        <f t="shared" ref="M32:O32" si="11">(M30/M29)-1</f>
        <v>1.5670667247061676E-2</v>
      </c>
      <c r="N32" s="1522">
        <f t="shared" si="11"/>
        <v>0</v>
      </c>
      <c r="O32" s="1522">
        <f t="shared" si="11"/>
        <v>1.6864554797668685E-2</v>
      </c>
      <c r="R32" s="203"/>
      <c r="S32" s="203"/>
      <c r="T32" s="203"/>
    </row>
    <row r="33" spans="2:22" s="162" customFormat="1" ht="12.75" customHeight="1" x14ac:dyDescent="0.2">
      <c r="B33" s="310" t="s">
        <v>138</v>
      </c>
      <c r="C33" s="311">
        <f>((C30/C25)^(1/5))-1</f>
        <v>7.3031049189021369E-2</v>
      </c>
      <c r="D33" s="312">
        <f t="shared" ref="D33:E33" si="12">((D30/D25)^(1/5))-1</f>
        <v>3.918642335568201E-2</v>
      </c>
      <c r="E33" s="312">
        <f t="shared" si="12"/>
        <v>8.4150307248989309E-2</v>
      </c>
      <c r="F33" s="307"/>
      <c r="G33" s="313"/>
      <c r="H33" s="312">
        <f t="shared" ref="H33:J33" si="13">((H30/H25)^(1/5))-1</f>
        <v>8.0517506136339012E-2</v>
      </c>
      <c r="I33" s="312">
        <f t="shared" si="13"/>
        <v>3.9641170437105799E-2</v>
      </c>
      <c r="J33" s="312">
        <f t="shared" si="13"/>
        <v>9.9435844559632391E-2</v>
      </c>
      <c r="K33" s="307"/>
      <c r="L33" s="314"/>
      <c r="M33" s="312">
        <f t="shared" ref="M33:O33" si="14">((M30/M25)^(1/5))-1</f>
        <v>2.6612451298471118E-2</v>
      </c>
      <c r="N33" s="312">
        <f t="shared" si="14"/>
        <v>2.2239010819729454E-2</v>
      </c>
      <c r="O33" s="312">
        <f t="shared" si="14"/>
        <v>2.6944672774257494E-2</v>
      </c>
      <c r="R33" s="315"/>
      <c r="S33" s="315"/>
      <c r="T33" s="315"/>
    </row>
    <row r="34" spans="2:22" x14ac:dyDescent="0.2">
      <c r="B34" s="1523" t="s">
        <v>144</v>
      </c>
      <c r="C34" s="1524">
        <f>(C30/C20)-1</f>
        <v>0.97590039786304605</v>
      </c>
      <c r="D34" s="1525">
        <f t="shared" ref="D34:E34" si="15">(D30/D20)-1</f>
        <v>0.29901932660102304</v>
      </c>
      <c r="E34" s="1525">
        <f t="shared" si="15"/>
        <v>1.589541306965736</v>
      </c>
      <c r="F34" s="307"/>
      <c r="G34" s="313"/>
      <c r="H34" s="1525">
        <f t="shared" ref="H34:J34" si="16">(H30/H20)-1</f>
        <v>1.0620711631630311</v>
      </c>
      <c r="I34" s="1525">
        <f t="shared" si="16"/>
        <v>0.30239789720414167</v>
      </c>
      <c r="J34" s="1525">
        <f t="shared" si="16"/>
        <v>2.0309306175841417</v>
      </c>
      <c r="K34" s="307"/>
      <c r="L34" s="314"/>
      <c r="M34" s="1525">
        <f t="shared" ref="M34:O34" si="17">(M30/M20)-1</f>
        <v>0.51680287215325715</v>
      </c>
      <c r="N34" s="1525">
        <f t="shared" si="17"/>
        <v>0.17907627870979526</v>
      </c>
      <c r="O34" s="1525">
        <f t="shared" si="17"/>
        <v>0.55006782283107003</v>
      </c>
      <c r="R34" s="203"/>
      <c r="S34" s="203"/>
      <c r="T34" s="203"/>
    </row>
    <row r="35" spans="2:22" s="162" customFormat="1" ht="12.75" customHeight="1" thickBot="1" x14ac:dyDescent="0.25">
      <c r="B35" s="316" t="s">
        <v>140</v>
      </c>
      <c r="C35" s="317">
        <f>((C30/C20)^(1/10))-1</f>
        <v>7.0474940063833591E-2</v>
      </c>
      <c r="D35" s="318">
        <f t="shared" ref="D35:E35" si="18">((D30/D20)^(1/10))-1</f>
        <v>2.6506163213818601E-2</v>
      </c>
      <c r="E35" s="318">
        <f t="shared" si="18"/>
        <v>9.9821700098835953E-2</v>
      </c>
      <c r="F35" s="307"/>
      <c r="G35" s="314"/>
      <c r="H35" s="318">
        <f t="shared" ref="H35:J35" si="19">((H30/H20)^(1/10))-1</f>
        <v>7.5054211565914963E-2</v>
      </c>
      <c r="I35" s="318">
        <f t="shared" si="19"/>
        <v>2.6772831391804974E-2</v>
      </c>
      <c r="J35" s="318">
        <f t="shared" si="19"/>
        <v>0.11726861561449509</v>
      </c>
      <c r="K35" s="307"/>
      <c r="L35" s="314"/>
      <c r="M35" s="318">
        <f t="shared" ref="M35:O35" si="20">((M30/M20)^(1/10))-1</f>
        <v>4.2540449698146965E-2</v>
      </c>
      <c r="N35" s="318">
        <f t="shared" si="20"/>
        <v>1.6609561875401635E-2</v>
      </c>
      <c r="O35" s="318">
        <f t="shared" si="20"/>
        <v>4.4804585766690552E-2</v>
      </c>
    </row>
    <row r="36" spans="2:22" ht="9" customHeight="1" x14ac:dyDescent="0.2">
      <c r="B36" s="319"/>
      <c r="K36" s="162"/>
      <c r="L36" s="162"/>
      <c r="R36" s="157" t="s">
        <v>188</v>
      </c>
    </row>
    <row r="37" spans="2:22" ht="15.75" customHeight="1" x14ac:dyDescent="0.2">
      <c r="B37" s="320" t="s">
        <v>320</v>
      </c>
    </row>
    <row r="38" spans="2:22" x14ac:dyDescent="0.2">
      <c r="R38" s="157" t="s">
        <v>151</v>
      </c>
      <c r="S38" s="157" t="s">
        <v>186</v>
      </c>
      <c r="T38" s="157" t="s">
        <v>187</v>
      </c>
      <c r="U38" s="190" t="s">
        <v>184</v>
      </c>
      <c r="V38" s="190" t="s">
        <v>185</v>
      </c>
    </row>
    <row r="39" spans="2:22" x14ac:dyDescent="0.2">
      <c r="Q39" s="157">
        <v>1995</v>
      </c>
      <c r="R39" s="203">
        <f t="shared" ref="R39:T55" si="21">H10</f>
        <v>3185.7</v>
      </c>
      <c r="S39" s="203">
        <f t="shared" si="21"/>
        <v>2190</v>
      </c>
      <c r="T39" s="203">
        <f t="shared" si="21"/>
        <v>995.7</v>
      </c>
      <c r="V39" s="203"/>
    </row>
    <row r="40" spans="2:22" x14ac:dyDescent="0.2">
      <c r="Q40" s="157">
        <v>1996</v>
      </c>
      <c r="R40" s="203">
        <f t="shared" si="21"/>
        <v>3352.8809999999999</v>
      </c>
      <c r="S40" s="203">
        <f t="shared" si="21"/>
        <v>2200.1839999999997</v>
      </c>
      <c r="T40" s="203">
        <f t="shared" si="21"/>
        <v>1152.4470000000001</v>
      </c>
      <c r="V40" s="203"/>
    </row>
    <row r="41" spans="2:22" x14ac:dyDescent="0.2">
      <c r="Q41" s="157">
        <v>1997</v>
      </c>
      <c r="R41" s="203">
        <f t="shared" si="21"/>
        <v>4325.0209999999997</v>
      </c>
      <c r="S41" s="203">
        <f t="shared" si="21"/>
        <v>2411.5189999999998</v>
      </c>
      <c r="T41" s="203">
        <f t="shared" si="21"/>
        <v>1913.252</v>
      </c>
      <c r="V41" s="203"/>
    </row>
    <row r="42" spans="2:22" x14ac:dyDescent="0.2">
      <c r="Q42" s="157">
        <v>1998</v>
      </c>
      <c r="R42" s="203">
        <f t="shared" si="21"/>
        <v>4632.2780000000002</v>
      </c>
      <c r="S42" s="203">
        <f t="shared" si="21"/>
        <v>2467.4160000000002</v>
      </c>
      <c r="T42" s="203">
        <f t="shared" si="21"/>
        <v>2164.6119999999996</v>
      </c>
      <c r="V42" s="203"/>
    </row>
    <row r="43" spans="2:22" x14ac:dyDescent="0.2">
      <c r="Q43" s="157">
        <v>1999</v>
      </c>
      <c r="R43" s="203">
        <f t="shared" si="21"/>
        <v>4828.2429999999995</v>
      </c>
      <c r="S43" s="203">
        <f t="shared" si="21"/>
        <v>2587.1289999999999</v>
      </c>
      <c r="T43" s="203">
        <f t="shared" si="21"/>
        <v>2240.4140000000002</v>
      </c>
      <c r="V43" s="203"/>
    </row>
    <row r="44" spans="2:22" x14ac:dyDescent="0.2">
      <c r="Q44" s="157">
        <v>2000</v>
      </c>
      <c r="R44" s="203">
        <f t="shared" si="21"/>
        <v>5148.8509999999997</v>
      </c>
      <c r="S44" s="203">
        <f t="shared" si="21"/>
        <v>2779.26</v>
      </c>
      <c r="T44" s="203">
        <f t="shared" si="21"/>
        <v>2368.8910000000001</v>
      </c>
      <c r="V44" s="203"/>
    </row>
    <row r="45" spans="2:22" x14ac:dyDescent="0.2">
      <c r="Q45" s="157">
        <v>2001</v>
      </c>
      <c r="R45" s="203">
        <f t="shared" si="21"/>
        <v>5050.8139999999994</v>
      </c>
      <c r="S45" s="203">
        <f t="shared" si="21"/>
        <v>2889.433</v>
      </c>
      <c r="T45" s="203">
        <f t="shared" si="21"/>
        <v>2160.681</v>
      </c>
      <c r="V45" s="203"/>
    </row>
    <row r="46" spans="2:22" x14ac:dyDescent="0.2">
      <c r="Q46" s="216">
        <v>2002</v>
      </c>
      <c r="R46" s="203">
        <f t="shared" si="21"/>
        <v>5068.0510000000004</v>
      </c>
      <c r="S46" s="203">
        <f t="shared" si="21"/>
        <v>2917.6020000000012</v>
      </c>
      <c r="T46" s="203">
        <f t="shared" si="21"/>
        <v>2149.7489999999998</v>
      </c>
      <c r="V46" s="203"/>
    </row>
    <row r="47" spans="2:22" x14ac:dyDescent="0.2">
      <c r="Q47" s="157">
        <v>2003</v>
      </c>
      <c r="R47" s="203">
        <f t="shared" si="21"/>
        <v>5095.1030000000001</v>
      </c>
      <c r="S47" s="203">
        <f t="shared" si="21"/>
        <v>2946.8210000000004</v>
      </c>
      <c r="T47" s="203">
        <f t="shared" si="21"/>
        <v>2147.5819999999999</v>
      </c>
      <c r="V47" s="203"/>
    </row>
    <row r="48" spans="2:22" x14ac:dyDescent="0.2">
      <c r="Q48" s="157">
        <v>2004</v>
      </c>
      <c r="R48" s="203">
        <f t="shared" si="21"/>
        <v>5096.0216000000028</v>
      </c>
      <c r="S48" s="203">
        <f t="shared" si="21"/>
        <v>2969.0596000000023</v>
      </c>
      <c r="T48" s="203">
        <f t="shared" si="21"/>
        <v>2126.2620000000002</v>
      </c>
      <c r="V48" s="203"/>
    </row>
    <row r="49" spans="2:22" x14ac:dyDescent="0.2">
      <c r="Q49" s="157">
        <v>2005</v>
      </c>
      <c r="R49" s="203">
        <f t="shared" si="21"/>
        <v>5220.6336000000001</v>
      </c>
      <c r="S49" s="203">
        <f t="shared" si="21"/>
        <v>3119.1996000000004</v>
      </c>
      <c r="T49" s="203">
        <f t="shared" si="21"/>
        <v>2100.7339999999995</v>
      </c>
      <c r="V49" s="203"/>
    </row>
    <row r="50" spans="2:22" x14ac:dyDescent="0.2">
      <c r="Q50" s="157">
        <v>2006</v>
      </c>
      <c r="R50" s="203">
        <f t="shared" si="21"/>
        <v>5625.1415999999999</v>
      </c>
      <c r="S50" s="203">
        <f t="shared" si="21"/>
        <v>3127.8006</v>
      </c>
      <c r="T50" s="203">
        <f t="shared" si="21"/>
        <v>2496.6410000000001</v>
      </c>
      <c r="V50" s="203"/>
    </row>
    <row r="51" spans="2:22" x14ac:dyDescent="0.2">
      <c r="Q51" s="216">
        <v>2007</v>
      </c>
      <c r="R51" s="203">
        <f t="shared" si="21"/>
        <v>5989.7251999999999</v>
      </c>
      <c r="S51" s="203">
        <f t="shared" si="21"/>
        <v>3145.1412000000005</v>
      </c>
      <c r="T51" s="203">
        <f t="shared" si="21"/>
        <v>2843.884</v>
      </c>
      <c r="V51" s="203"/>
    </row>
    <row r="52" spans="2:22" x14ac:dyDescent="0.2">
      <c r="Q52" s="157">
        <v>2008</v>
      </c>
      <c r="R52" s="203">
        <f t="shared" si="21"/>
        <v>5996.9830000000029</v>
      </c>
      <c r="S52" s="203">
        <f t="shared" si="21"/>
        <v>3152.0380000000018</v>
      </c>
      <c r="T52" s="203">
        <f t="shared" si="21"/>
        <v>2844.2450000000008</v>
      </c>
      <c r="V52" s="203"/>
    </row>
    <row r="53" spans="2:22" x14ac:dyDescent="0.2">
      <c r="Q53" s="157">
        <v>2009</v>
      </c>
      <c r="R53" s="203">
        <f t="shared" si="21"/>
        <v>6723.5160000000024</v>
      </c>
      <c r="S53" s="203">
        <f t="shared" si="21"/>
        <v>3183.1260000000016</v>
      </c>
      <c r="T53" s="203">
        <f t="shared" si="21"/>
        <v>3539.6900000000005</v>
      </c>
      <c r="V53" s="203"/>
    </row>
    <row r="54" spans="2:22" x14ac:dyDescent="0.2">
      <c r="Q54" s="157">
        <v>2010</v>
      </c>
      <c r="R54" s="203">
        <f t="shared" si="21"/>
        <v>7309.1659999999983</v>
      </c>
      <c r="S54" s="203">
        <f t="shared" si="21"/>
        <v>3344.7950000000001</v>
      </c>
      <c r="T54" s="203">
        <f t="shared" si="21"/>
        <v>3963.6709999999989</v>
      </c>
      <c r="V54" s="203"/>
    </row>
    <row r="55" spans="2:22" x14ac:dyDescent="0.2">
      <c r="Q55" s="157">
        <v>2011</v>
      </c>
      <c r="R55" s="203">
        <f t="shared" si="21"/>
        <v>7314.2370000000001</v>
      </c>
      <c r="S55" s="203">
        <f t="shared" si="21"/>
        <v>3357.06</v>
      </c>
      <c r="T55" s="203">
        <f t="shared" si="21"/>
        <v>3956.4770000000003</v>
      </c>
      <c r="V55" s="203"/>
    </row>
    <row r="56" spans="2:22" x14ac:dyDescent="0.2">
      <c r="Q56" s="157">
        <v>2012</v>
      </c>
      <c r="R56" s="203">
        <f t="shared" ref="R56:V59" si="22">H27</f>
        <v>8267.1709999999985</v>
      </c>
      <c r="S56" s="203">
        <f t="shared" si="22"/>
        <v>3380.829999999999</v>
      </c>
      <c r="T56" s="203">
        <f t="shared" si="22"/>
        <v>4805.6409999999987</v>
      </c>
      <c r="U56" s="203">
        <f t="shared" si="22"/>
        <v>80</v>
      </c>
      <c r="V56" s="203"/>
    </row>
    <row r="57" spans="2:22" x14ac:dyDescent="0.2">
      <c r="Q57" s="157">
        <v>2013</v>
      </c>
      <c r="R57" s="203">
        <f t="shared" si="22"/>
        <v>9634.6310000000012</v>
      </c>
      <c r="S57" s="203">
        <f t="shared" si="22"/>
        <v>3450.5469999999996</v>
      </c>
      <c r="T57" s="203">
        <f t="shared" si="22"/>
        <v>6103.384</v>
      </c>
      <c r="U57" s="203">
        <f t="shared" si="22"/>
        <v>80</v>
      </c>
      <c r="V57" s="203"/>
    </row>
    <row r="58" spans="2:22" x14ac:dyDescent="0.2">
      <c r="Q58" s="157">
        <v>2014</v>
      </c>
      <c r="R58" s="203">
        <f t="shared" si="22"/>
        <v>9739.2480000000014</v>
      </c>
      <c r="S58" s="203">
        <f t="shared" si="22"/>
        <v>3558.2689999999993</v>
      </c>
      <c r="T58" s="203">
        <f t="shared" si="22"/>
        <v>5942.2790000000014</v>
      </c>
      <c r="U58" s="203">
        <f t="shared" si="22"/>
        <v>96</v>
      </c>
      <c r="V58" s="203">
        <f t="shared" si="22"/>
        <v>142.69999999999999</v>
      </c>
    </row>
    <row r="59" spans="2:22" ht="226.5" x14ac:dyDescent="0.3">
      <c r="B59" s="1424" t="s">
        <v>316</v>
      </c>
      <c r="Q59" s="259" t="s">
        <v>136</v>
      </c>
      <c r="R59" s="203">
        <f t="shared" si="22"/>
        <v>10765.318000000003</v>
      </c>
      <c r="S59" s="203">
        <f t="shared" si="22"/>
        <v>4062.4390000000003</v>
      </c>
      <c r="T59" s="203">
        <f t="shared" si="22"/>
        <v>6367.1790000000028</v>
      </c>
      <c r="U59" s="203">
        <f t="shared" si="22"/>
        <v>96</v>
      </c>
      <c r="V59" s="203">
        <f t="shared" si="22"/>
        <v>239.7</v>
      </c>
    </row>
    <row r="66" spans="17:20" x14ac:dyDescent="0.2">
      <c r="R66" s="157" t="s">
        <v>190</v>
      </c>
    </row>
    <row r="67" spans="17:20" x14ac:dyDescent="0.2">
      <c r="R67" s="157" t="s">
        <v>151</v>
      </c>
      <c r="S67" s="157" t="s">
        <v>186</v>
      </c>
      <c r="T67" s="157" t="s">
        <v>187</v>
      </c>
    </row>
    <row r="68" spans="17:20" x14ac:dyDescent="0.2">
      <c r="Q68" s="157">
        <v>1995</v>
      </c>
      <c r="R68" s="203">
        <f t="shared" ref="R68:T88" si="23">M10</f>
        <v>1276</v>
      </c>
      <c r="S68" s="203">
        <f t="shared" si="23"/>
        <v>289.39999999999998</v>
      </c>
      <c r="T68" s="203">
        <f t="shared" si="23"/>
        <v>986.59999999999991</v>
      </c>
    </row>
    <row r="69" spans="17:20" x14ac:dyDescent="0.2">
      <c r="Q69" s="157">
        <v>1996</v>
      </c>
      <c r="R69" s="203">
        <f t="shared" si="23"/>
        <v>1309.7239999999999</v>
      </c>
      <c r="S69" s="203">
        <f t="shared" si="23"/>
        <v>292.54000000000002</v>
      </c>
      <c r="T69" s="203">
        <f t="shared" si="23"/>
        <v>1017.184</v>
      </c>
    </row>
    <row r="70" spans="17:20" x14ac:dyDescent="0.2">
      <c r="Q70" s="157">
        <v>1997</v>
      </c>
      <c r="R70" s="203">
        <f t="shared" si="23"/>
        <v>867.47699999999998</v>
      </c>
      <c r="S70" s="203">
        <f t="shared" si="23"/>
        <v>101.47499999999999</v>
      </c>
      <c r="T70" s="203">
        <f t="shared" si="23"/>
        <v>766.00199999999995</v>
      </c>
    </row>
    <row r="71" spans="17:20" x14ac:dyDescent="0.2">
      <c r="Q71" s="157">
        <v>1998</v>
      </c>
      <c r="R71" s="203">
        <f t="shared" si="23"/>
        <v>883.01200000000006</v>
      </c>
      <c r="S71" s="203">
        <f t="shared" si="23"/>
        <v>104.645</v>
      </c>
      <c r="T71" s="203">
        <f t="shared" si="23"/>
        <v>778.36700000000008</v>
      </c>
    </row>
    <row r="72" spans="17:20" x14ac:dyDescent="0.2">
      <c r="Q72" s="157">
        <v>1999</v>
      </c>
      <c r="R72" s="203">
        <f t="shared" si="23"/>
        <v>914.18499999999995</v>
      </c>
      <c r="S72" s="203">
        <f t="shared" si="23"/>
        <v>86.150999999999982</v>
      </c>
      <c r="T72" s="203">
        <f t="shared" si="23"/>
        <v>828.03399999999999</v>
      </c>
    </row>
    <row r="73" spans="17:20" x14ac:dyDescent="0.2">
      <c r="Q73" s="157">
        <v>2000</v>
      </c>
      <c r="R73" s="203">
        <f t="shared" si="23"/>
        <v>917.33800000000019</v>
      </c>
      <c r="S73" s="203">
        <f t="shared" si="23"/>
        <v>77.564999999999998</v>
      </c>
      <c r="T73" s="203">
        <f t="shared" si="23"/>
        <v>839.77300000000014</v>
      </c>
    </row>
    <row r="74" spans="17:20" x14ac:dyDescent="0.2">
      <c r="Q74" s="157">
        <v>2001</v>
      </c>
      <c r="R74" s="203">
        <f t="shared" si="23"/>
        <v>855.87900000000002</v>
      </c>
      <c r="S74" s="203">
        <f t="shared" si="23"/>
        <v>76.894999999999996</v>
      </c>
      <c r="T74" s="203">
        <f t="shared" si="23"/>
        <v>778.98400000000004</v>
      </c>
    </row>
    <row r="75" spans="17:20" x14ac:dyDescent="0.2">
      <c r="Q75" s="157">
        <v>2002</v>
      </c>
      <c r="R75" s="203">
        <f t="shared" si="23"/>
        <v>867.48199999999974</v>
      </c>
      <c r="S75" s="203">
        <f t="shared" si="23"/>
        <v>78.868999999999971</v>
      </c>
      <c r="T75" s="203">
        <f t="shared" si="23"/>
        <v>788.61299999999983</v>
      </c>
    </row>
    <row r="76" spans="17:20" x14ac:dyDescent="0.2">
      <c r="Q76" s="157">
        <v>2003</v>
      </c>
      <c r="R76" s="203">
        <f t="shared" si="23"/>
        <v>874.96</v>
      </c>
      <c r="S76" s="203">
        <f t="shared" si="23"/>
        <v>85.48599999999999</v>
      </c>
      <c r="T76" s="203">
        <f t="shared" si="23"/>
        <v>789.47400000000005</v>
      </c>
    </row>
    <row r="77" spans="17:20" x14ac:dyDescent="0.2">
      <c r="Q77" s="157">
        <v>2004</v>
      </c>
      <c r="R77" s="203">
        <f t="shared" si="23"/>
        <v>920.29700000000003</v>
      </c>
      <c r="S77" s="203">
        <f t="shared" si="23"/>
        <v>86.807999999999964</v>
      </c>
      <c r="T77" s="203">
        <f t="shared" si="23"/>
        <v>833.48900000000003</v>
      </c>
    </row>
    <row r="78" spans="17:20" x14ac:dyDescent="0.2">
      <c r="Q78" s="157">
        <v>2005</v>
      </c>
      <c r="R78" s="203">
        <f t="shared" si="23"/>
        <v>979.89199999999994</v>
      </c>
      <c r="S78" s="203">
        <f t="shared" si="23"/>
        <v>87.861999999999981</v>
      </c>
      <c r="T78" s="203">
        <f t="shared" si="23"/>
        <v>892.03</v>
      </c>
    </row>
    <row r="79" spans="17:20" x14ac:dyDescent="0.2">
      <c r="Q79" s="157">
        <v>2006</v>
      </c>
      <c r="R79" s="203">
        <f t="shared" si="23"/>
        <v>1033.0019999999997</v>
      </c>
      <c r="S79" s="203">
        <f t="shared" si="23"/>
        <v>88.201999999999998</v>
      </c>
      <c r="T79" s="203">
        <f t="shared" si="23"/>
        <v>944.79999999999973</v>
      </c>
    </row>
    <row r="80" spans="17:20" x14ac:dyDescent="0.2">
      <c r="Q80" s="216">
        <v>2007</v>
      </c>
      <c r="R80" s="203">
        <f t="shared" si="23"/>
        <v>1037.7919999999999</v>
      </c>
      <c r="S80" s="203">
        <f t="shared" si="23"/>
        <v>88.456999999999994</v>
      </c>
      <c r="T80" s="203">
        <f t="shared" si="23"/>
        <v>949.33499999999992</v>
      </c>
    </row>
    <row r="81" spans="17:20" x14ac:dyDescent="0.2">
      <c r="Q81" s="157">
        <v>2008</v>
      </c>
      <c r="R81" s="203">
        <f t="shared" si="23"/>
        <v>1160.9520000000007</v>
      </c>
      <c r="S81" s="203">
        <f t="shared" si="23"/>
        <v>89.987999999999971</v>
      </c>
      <c r="T81" s="203">
        <f t="shared" si="23"/>
        <v>1070.9640000000006</v>
      </c>
    </row>
    <row r="82" spans="17:20" x14ac:dyDescent="0.2">
      <c r="Q82" s="157">
        <v>2009</v>
      </c>
      <c r="R82" s="203">
        <f t="shared" si="23"/>
        <v>1262.9800000000002</v>
      </c>
      <c r="S82" s="203">
        <f t="shared" si="23"/>
        <v>94.337999999999994</v>
      </c>
      <c r="T82" s="203">
        <f t="shared" si="23"/>
        <v>1168.6420000000003</v>
      </c>
    </row>
    <row r="83" spans="17:20" x14ac:dyDescent="0.2">
      <c r="Q83" s="157">
        <v>2010</v>
      </c>
      <c r="R83" s="203">
        <f t="shared" si="23"/>
        <v>1303.3909999999996</v>
      </c>
      <c r="S83" s="203">
        <f t="shared" si="23"/>
        <v>92.807000000000016</v>
      </c>
      <c r="T83" s="203">
        <f t="shared" si="23"/>
        <v>1210.5839999999996</v>
      </c>
    </row>
    <row r="84" spans="17:20" x14ac:dyDescent="0.2">
      <c r="Q84" s="157">
        <v>2011</v>
      </c>
      <c r="R84" s="203">
        <f t="shared" si="23"/>
        <v>1377.087</v>
      </c>
      <c r="S84" s="203">
        <f t="shared" si="23"/>
        <v>93.893000000000001</v>
      </c>
      <c r="T84" s="203">
        <f t="shared" si="23"/>
        <v>1283.194</v>
      </c>
    </row>
    <row r="85" spans="17:20" x14ac:dyDescent="0.2">
      <c r="Q85" s="157">
        <v>2012</v>
      </c>
      <c r="R85" s="203">
        <f t="shared" si="23"/>
        <v>1431.9260000000006</v>
      </c>
      <c r="S85" s="203">
        <f t="shared" si="23"/>
        <v>103.14399999999998</v>
      </c>
      <c r="T85" s="203">
        <f t="shared" si="23"/>
        <v>1328.7820000000006</v>
      </c>
    </row>
    <row r="86" spans="17:20" x14ac:dyDescent="0.2">
      <c r="Q86" s="157">
        <v>2013</v>
      </c>
      <c r="R86" s="203">
        <f t="shared" si="23"/>
        <v>1416.088</v>
      </c>
      <c r="S86" s="203">
        <f t="shared" si="23"/>
        <v>105.63500000000002</v>
      </c>
      <c r="T86" s="203">
        <f t="shared" si="23"/>
        <v>1310.453</v>
      </c>
    </row>
    <row r="87" spans="17:20" x14ac:dyDescent="0.2">
      <c r="Q87" s="157">
        <v>2014</v>
      </c>
      <c r="R87" s="203">
        <f t="shared" si="23"/>
        <v>1463.3709999999996</v>
      </c>
      <c r="S87" s="203">
        <f t="shared" si="23"/>
        <v>103.596</v>
      </c>
      <c r="T87" s="203">
        <f t="shared" si="23"/>
        <v>1359.7749999999996</v>
      </c>
    </row>
    <row r="88" spans="17:20" x14ac:dyDescent="0.2">
      <c r="Q88" s="259" t="s">
        <v>136</v>
      </c>
      <c r="R88" s="203">
        <f t="shared" si="23"/>
        <v>1486.3029999999994</v>
      </c>
      <c r="S88" s="203">
        <f t="shared" si="23"/>
        <v>103.596</v>
      </c>
      <c r="T88" s="203">
        <f t="shared" si="23"/>
        <v>1382.7069999999994</v>
      </c>
    </row>
  </sheetData>
  <autoFilter ref="B2:B88"/>
  <printOptions horizontalCentered="1" verticalCentered="1"/>
  <pageMargins left="0.51181102362204722" right="0.39370078740157483" top="0.78740157480314965" bottom="0.70866141732283472" header="0" footer="0"/>
  <pageSetup paperSize="9" scale="5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96"/>
  <sheetViews>
    <sheetView view="pageBreakPreview" topLeftCell="A88" zoomScale="130" zoomScaleNormal="100" zoomScaleSheetLayoutView="130" workbookViewId="0">
      <selection activeCell="C35" sqref="C35"/>
    </sheetView>
  </sheetViews>
  <sheetFormatPr baseColWidth="10" defaultRowHeight="12.75" x14ac:dyDescent="0.2"/>
  <cols>
    <col min="1" max="1" width="4.28515625" style="157" customWidth="1"/>
    <col min="2" max="2" width="21.42578125" style="157" customWidth="1"/>
    <col min="3" max="3" width="11.42578125" style="157"/>
    <col min="4" max="17" width="8.7109375" style="157" customWidth="1"/>
    <col min="18" max="256" width="11.42578125" style="157"/>
    <col min="257" max="257" width="4.28515625" style="157" customWidth="1"/>
    <col min="258" max="258" width="21.42578125" style="157" customWidth="1"/>
    <col min="259" max="259" width="11.42578125" style="157"/>
    <col min="260" max="273" width="8.7109375" style="157" customWidth="1"/>
    <col min="274" max="512" width="11.42578125" style="157"/>
    <col min="513" max="513" width="4.28515625" style="157" customWidth="1"/>
    <col min="514" max="514" width="21.42578125" style="157" customWidth="1"/>
    <col min="515" max="515" width="11.42578125" style="157"/>
    <col min="516" max="529" width="8.7109375" style="157" customWidth="1"/>
    <col min="530" max="768" width="11.42578125" style="157"/>
    <col min="769" max="769" width="4.28515625" style="157" customWidth="1"/>
    <col min="770" max="770" width="21.42578125" style="157" customWidth="1"/>
    <col min="771" max="771" width="11.42578125" style="157"/>
    <col min="772" max="785" width="8.7109375" style="157" customWidth="1"/>
    <col min="786" max="1024" width="11.42578125" style="157"/>
    <col min="1025" max="1025" width="4.28515625" style="157" customWidth="1"/>
    <col min="1026" max="1026" width="21.42578125" style="157" customWidth="1"/>
    <col min="1027" max="1027" width="11.42578125" style="157"/>
    <col min="1028" max="1041" width="8.7109375" style="157" customWidth="1"/>
    <col min="1042" max="1280" width="11.42578125" style="157"/>
    <col min="1281" max="1281" width="4.28515625" style="157" customWidth="1"/>
    <col min="1282" max="1282" width="21.42578125" style="157" customWidth="1"/>
    <col min="1283" max="1283" width="11.42578125" style="157"/>
    <col min="1284" max="1297" width="8.7109375" style="157" customWidth="1"/>
    <col min="1298" max="1536" width="11.42578125" style="157"/>
    <col min="1537" max="1537" width="4.28515625" style="157" customWidth="1"/>
    <col min="1538" max="1538" width="21.42578125" style="157" customWidth="1"/>
    <col min="1539" max="1539" width="11.42578125" style="157"/>
    <col min="1540" max="1553" width="8.7109375" style="157" customWidth="1"/>
    <col min="1554" max="1792" width="11.42578125" style="157"/>
    <col min="1793" max="1793" width="4.28515625" style="157" customWidth="1"/>
    <col min="1794" max="1794" width="21.42578125" style="157" customWidth="1"/>
    <col min="1795" max="1795" width="11.42578125" style="157"/>
    <col min="1796" max="1809" width="8.7109375" style="157" customWidth="1"/>
    <col min="1810" max="2048" width="11.42578125" style="157"/>
    <col min="2049" max="2049" width="4.28515625" style="157" customWidth="1"/>
    <col min="2050" max="2050" width="21.42578125" style="157" customWidth="1"/>
    <col min="2051" max="2051" width="11.42578125" style="157"/>
    <col min="2052" max="2065" width="8.7109375" style="157" customWidth="1"/>
    <col min="2066" max="2304" width="11.42578125" style="157"/>
    <col min="2305" max="2305" width="4.28515625" style="157" customWidth="1"/>
    <col min="2306" max="2306" width="21.42578125" style="157" customWidth="1"/>
    <col min="2307" max="2307" width="11.42578125" style="157"/>
    <col min="2308" max="2321" width="8.7109375" style="157" customWidth="1"/>
    <col min="2322" max="2560" width="11.42578125" style="157"/>
    <col min="2561" max="2561" width="4.28515625" style="157" customWidth="1"/>
    <col min="2562" max="2562" width="21.42578125" style="157" customWidth="1"/>
    <col min="2563" max="2563" width="11.42578125" style="157"/>
    <col min="2564" max="2577" width="8.7109375" style="157" customWidth="1"/>
    <col min="2578" max="2816" width="11.42578125" style="157"/>
    <col min="2817" max="2817" width="4.28515625" style="157" customWidth="1"/>
    <col min="2818" max="2818" width="21.42578125" style="157" customWidth="1"/>
    <col min="2819" max="2819" width="11.42578125" style="157"/>
    <col min="2820" max="2833" width="8.7109375" style="157" customWidth="1"/>
    <col min="2834" max="3072" width="11.42578125" style="157"/>
    <col min="3073" max="3073" width="4.28515625" style="157" customWidth="1"/>
    <col min="3074" max="3074" width="21.42578125" style="157" customWidth="1"/>
    <col min="3075" max="3075" width="11.42578125" style="157"/>
    <col min="3076" max="3089" width="8.7109375" style="157" customWidth="1"/>
    <col min="3090" max="3328" width="11.42578125" style="157"/>
    <col min="3329" max="3329" width="4.28515625" style="157" customWidth="1"/>
    <col min="3330" max="3330" width="21.42578125" style="157" customWidth="1"/>
    <col min="3331" max="3331" width="11.42578125" style="157"/>
    <col min="3332" max="3345" width="8.7109375" style="157" customWidth="1"/>
    <col min="3346" max="3584" width="11.42578125" style="157"/>
    <col min="3585" max="3585" width="4.28515625" style="157" customWidth="1"/>
    <col min="3586" max="3586" width="21.42578125" style="157" customWidth="1"/>
    <col min="3587" max="3587" width="11.42578125" style="157"/>
    <col min="3588" max="3601" width="8.7109375" style="157" customWidth="1"/>
    <col min="3602" max="3840" width="11.42578125" style="157"/>
    <col min="3841" max="3841" width="4.28515625" style="157" customWidth="1"/>
    <col min="3842" max="3842" width="21.42578125" style="157" customWidth="1"/>
    <col min="3843" max="3843" width="11.42578125" style="157"/>
    <col min="3844" max="3857" width="8.7109375" style="157" customWidth="1"/>
    <col min="3858" max="4096" width="11.42578125" style="157"/>
    <col min="4097" max="4097" width="4.28515625" style="157" customWidth="1"/>
    <col min="4098" max="4098" width="21.42578125" style="157" customWidth="1"/>
    <col min="4099" max="4099" width="11.42578125" style="157"/>
    <col min="4100" max="4113" width="8.7109375" style="157" customWidth="1"/>
    <col min="4114" max="4352" width="11.42578125" style="157"/>
    <col min="4353" max="4353" width="4.28515625" style="157" customWidth="1"/>
    <col min="4354" max="4354" width="21.42578125" style="157" customWidth="1"/>
    <col min="4355" max="4355" width="11.42578125" style="157"/>
    <col min="4356" max="4369" width="8.7109375" style="157" customWidth="1"/>
    <col min="4370" max="4608" width="11.42578125" style="157"/>
    <col min="4609" max="4609" width="4.28515625" style="157" customWidth="1"/>
    <col min="4610" max="4610" width="21.42578125" style="157" customWidth="1"/>
    <col min="4611" max="4611" width="11.42578125" style="157"/>
    <col min="4612" max="4625" width="8.7109375" style="157" customWidth="1"/>
    <col min="4626" max="4864" width="11.42578125" style="157"/>
    <col min="4865" max="4865" width="4.28515625" style="157" customWidth="1"/>
    <col min="4866" max="4866" width="21.42578125" style="157" customWidth="1"/>
    <col min="4867" max="4867" width="11.42578125" style="157"/>
    <col min="4868" max="4881" width="8.7109375" style="157" customWidth="1"/>
    <col min="4882" max="5120" width="11.42578125" style="157"/>
    <col min="5121" max="5121" width="4.28515625" style="157" customWidth="1"/>
    <col min="5122" max="5122" width="21.42578125" style="157" customWidth="1"/>
    <col min="5123" max="5123" width="11.42578125" style="157"/>
    <col min="5124" max="5137" width="8.7109375" style="157" customWidth="1"/>
    <col min="5138" max="5376" width="11.42578125" style="157"/>
    <col min="5377" max="5377" width="4.28515625" style="157" customWidth="1"/>
    <col min="5378" max="5378" width="21.42578125" style="157" customWidth="1"/>
    <col min="5379" max="5379" width="11.42578125" style="157"/>
    <col min="5380" max="5393" width="8.7109375" style="157" customWidth="1"/>
    <col min="5394" max="5632" width="11.42578125" style="157"/>
    <col min="5633" max="5633" width="4.28515625" style="157" customWidth="1"/>
    <col min="5634" max="5634" width="21.42578125" style="157" customWidth="1"/>
    <col min="5635" max="5635" width="11.42578125" style="157"/>
    <col min="5636" max="5649" width="8.7109375" style="157" customWidth="1"/>
    <col min="5650" max="5888" width="11.42578125" style="157"/>
    <col min="5889" max="5889" width="4.28515625" style="157" customWidth="1"/>
    <col min="5890" max="5890" width="21.42578125" style="157" customWidth="1"/>
    <col min="5891" max="5891" width="11.42578125" style="157"/>
    <col min="5892" max="5905" width="8.7109375" style="157" customWidth="1"/>
    <col min="5906" max="6144" width="11.42578125" style="157"/>
    <col min="6145" max="6145" width="4.28515625" style="157" customWidth="1"/>
    <col min="6146" max="6146" width="21.42578125" style="157" customWidth="1"/>
    <col min="6147" max="6147" width="11.42578125" style="157"/>
    <col min="6148" max="6161" width="8.7109375" style="157" customWidth="1"/>
    <col min="6162" max="6400" width="11.42578125" style="157"/>
    <col min="6401" max="6401" width="4.28515625" style="157" customWidth="1"/>
    <col min="6402" max="6402" width="21.42578125" style="157" customWidth="1"/>
    <col min="6403" max="6403" width="11.42578125" style="157"/>
    <col min="6404" max="6417" width="8.7109375" style="157" customWidth="1"/>
    <col min="6418" max="6656" width="11.42578125" style="157"/>
    <col min="6657" max="6657" width="4.28515625" style="157" customWidth="1"/>
    <col min="6658" max="6658" width="21.42578125" style="157" customWidth="1"/>
    <col min="6659" max="6659" width="11.42578125" style="157"/>
    <col min="6660" max="6673" width="8.7109375" style="157" customWidth="1"/>
    <col min="6674" max="6912" width="11.42578125" style="157"/>
    <col min="6913" max="6913" width="4.28515625" style="157" customWidth="1"/>
    <col min="6914" max="6914" width="21.42578125" style="157" customWidth="1"/>
    <col min="6915" max="6915" width="11.42578125" style="157"/>
    <col min="6916" max="6929" width="8.7109375" style="157" customWidth="1"/>
    <col min="6930" max="7168" width="11.42578125" style="157"/>
    <col min="7169" max="7169" width="4.28515625" style="157" customWidth="1"/>
    <col min="7170" max="7170" width="21.42578125" style="157" customWidth="1"/>
    <col min="7171" max="7171" width="11.42578125" style="157"/>
    <col min="7172" max="7185" width="8.7109375" style="157" customWidth="1"/>
    <col min="7186" max="7424" width="11.42578125" style="157"/>
    <col min="7425" max="7425" width="4.28515625" style="157" customWidth="1"/>
    <col min="7426" max="7426" width="21.42578125" style="157" customWidth="1"/>
    <col min="7427" max="7427" width="11.42578125" style="157"/>
    <col min="7428" max="7441" width="8.7109375" style="157" customWidth="1"/>
    <col min="7442" max="7680" width="11.42578125" style="157"/>
    <col min="7681" max="7681" width="4.28515625" style="157" customWidth="1"/>
    <col min="7682" max="7682" width="21.42578125" style="157" customWidth="1"/>
    <col min="7683" max="7683" width="11.42578125" style="157"/>
    <col min="7684" max="7697" width="8.7109375" style="157" customWidth="1"/>
    <col min="7698" max="7936" width="11.42578125" style="157"/>
    <col min="7937" max="7937" width="4.28515625" style="157" customWidth="1"/>
    <col min="7938" max="7938" width="21.42578125" style="157" customWidth="1"/>
    <col min="7939" max="7939" width="11.42578125" style="157"/>
    <col min="7940" max="7953" width="8.7109375" style="157" customWidth="1"/>
    <col min="7954" max="8192" width="11.42578125" style="157"/>
    <col min="8193" max="8193" width="4.28515625" style="157" customWidth="1"/>
    <col min="8194" max="8194" width="21.42578125" style="157" customWidth="1"/>
    <col min="8195" max="8195" width="11.42578125" style="157"/>
    <col min="8196" max="8209" width="8.7109375" style="157" customWidth="1"/>
    <col min="8210" max="8448" width="11.42578125" style="157"/>
    <col min="8449" max="8449" width="4.28515625" style="157" customWidth="1"/>
    <col min="8450" max="8450" width="21.42578125" style="157" customWidth="1"/>
    <col min="8451" max="8451" width="11.42578125" style="157"/>
    <col min="8452" max="8465" width="8.7109375" style="157" customWidth="1"/>
    <col min="8466" max="8704" width="11.42578125" style="157"/>
    <col min="8705" max="8705" width="4.28515625" style="157" customWidth="1"/>
    <col min="8706" max="8706" width="21.42578125" style="157" customWidth="1"/>
    <col min="8707" max="8707" width="11.42578125" style="157"/>
    <col min="8708" max="8721" width="8.7109375" style="157" customWidth="1"/>
    <col min="8722" max="8960" width="11.42578125" style="157"/>
    <col min="8961" max="8961" width="4.28515625" style="157" customWidth="1"/>
    <col min="8962" max="8962" width="21.42578125" style="157" customWidth="1"/>
    <col min="8963" max="8963" width="11.42578125" style="157"/>
    <col min="8964" max="8977" width="8.7109375" style="157" customWidth="1"/>
    <col min="8978" max="9216" width="11.42578125" style="157"/>
    <col min="9217" max="9217" width="4.28515625" style="157" customWidth="1"/>
    <col min="9218" max="9218" width="21.42578125" style="157" customWidth="1"/>
    <col min="9219" max="9219" width="11.42578125" style="157"/>
    <col min="9220" max="9233" width="8.7109375" style="157" customWidth="1"/>
    <col min="9234" max="9472" width="11.42578125" style="157"/>
    <col min="9473" max="9473" width="4.28515625" style="157" customWidth="1"/>
    <col min="9474" max="9474" width="21.42578125" style="157" customWidth="1"/>
    <col min="9475" max="9475" width="11.42578125" style="157"/>
    <col min="9476" max="9489" width="8.7109375" style="157" customWidth="1"/>
    <col min="9490" max="9728" width="11.42578125" style="157"/>
    <col min="9729" max="9729" width="4.28515625" style="157" customWidth="1"/>
    <col min="9730" max="9730" width="21.42578125" style="157" customWidth="1"/>
    <col min="9731" max="9731" width="11.42578125" style="157"/>
    <col min="9732" max="9745" width="8.7109375" style="157" customWidth="1"/>
    <col min="9746" max="9984" width="11.42578125" style="157"/>
    <col min="9985" max="9985" width="4.28515625" style="157" customWidth="1"/>
    <col min="9986" max="9986" width="21.42578125" style="157" customWidth="1"/>
    <col min="9987" max="9987" width="11.42578125" style="157"/>
    <col min="9988" max="10001" width="8.7109375" style="157" customWidth="1"/>
    <col min="10002" max="10240" width="11.42578125" style="157"/>
    <col min="10241" max="10241" width="4.28515625" style="157" customWidth="1"/>
    <col min="10242" max="10242" width="21.42578125" style="157" customWidth="1"/>
    <col min="10243" max="10243" width="11.42578125" style="157"/>
    <col min="10244" max="10257" width="8.7109375" style="157" customWidth="1"/>
    <col min="10258" max="10496" width="11.42578125" style="157"/>
    <col min="10497" max="10497" width="4.28515625" style="157" customWidth="1"/>
    <col min="10498" max="10498" width="21.42578125" style="157" customWidth="1"/>
    <col min="10499" max="10499" width="11.42578125" style="157"/>
    <col min="10500" max="10513" width="8.7109375" style="157" customWidth="1"/>
    <col min="10514" max="10752" width="11.42578125" style="157"/>
    <col min="10753" max="10753" width="4.28515625" style="157" customWidth="1"/>
    <col min="10754" max="10754" width="21.42578125" style="157" customWidth="1"/>
    <col min="10755" max="10755" width="11.42578125" style="157"/>
    <col min="10756" max="10769" width="8.7109375" style="157" customWidth="1"/>
    <col min="10770" max="11008" width="11.42578125" style="157"/>
    <col min="11009" max="11009" width="4.28515625" style="157" customWidth="1"/>
    <col min="11010" max="11010" width="21.42578125" style="157" customWidth="1"/>
    <col min="11011" max="11011" width="11.42578125" style="157"/>
    <col min="11012" max="11025" width="8.7109375" style="157" customWidth="1"/>
    <col min="11026" max="11264" width="11.42578125" style="157"/>
    <col min="11265" max="11265" width="4.28515625" style="157" customWidth="1"/>
    <col min="11266" max="11266" width="21.42578125" style="157" customWidth="1"/>
    <col min="11267" max="11267" width="11.42578125" style="157"/>
    <col min="11268" max="11281" width="8.7109375" style="157" customWidth="1"/>
    <col min="11282" max="11520" width="11.42578125" style="157"/>
    <col min="11521" max="11521" width="4.28515625" style="157" customWidth="1"/>
    <col min="11522" max="11522" width="21.42578125" style="157" customWidth="1"/>
    <col min="11523" max="11523" width="11.42578125" style="157"/>
    <col min="11524" max="11537" width="8.7109375" style="157" customWidth="1"/>
    <col min="11538" max="11776" width="11.42578125" style="157"/>
    <col min="11777" max="11777" width="4.28515625" style="157" customWidth="1"/>
    <col min="11778" max="11778" width="21.42578125" style="157" customWidth="1"/>
    <col min="11779" max="11779" width="11.42578125" style="157"/>
    <col min="11780" max="11793" width="8.7109375" style="157" customWidth="1"/>
    <col min="11794" max="12032" width="11.42578125" style="157"/>
    <col min="12033" max="12033" width="4.28515625" style="157" customWidth="1"/>
    <col min="12034" max="12034" width="21.42578125" style="157" customWidth="1"/>
    <col min="12035" max="12035" width="11.42578125" style="157"/>
    <col min="12036" max="12049" width="8.7109375" style="157" customWidth="1"/>
    <col min="12050" max="12288" width="11.42578125" style="157"/>
    <col min="12289" max="12289" width="4.28515625" style="157" customWidth="1"/>
    <col min="12290" max="12290" width="21.42578125" style="157" customWidth="1"/>
    <col min="12291" max="12291" width="11.42578125" style="157"/>
    <col min="12292" max="12305" width="8.7109375" style="157" customWidth="1"/>
    <col min="12306" max="12544" width="11.42578125" style="157"/>
    <col min="12545" max="12545" width="4.28515625" style="157" customWidth="1"/>
    <col min="12546" max="12546" width="21.42578125" style="157" customWidth="1"/>
    <col min="12547" max="12547" width="11.42578125" style="157"/>
    <col min="12548" max="12561" width="8.7109375" style="157" customWidth="1"/>
    <col min="12562" max="12800" width="11.42578125" style="157"/>
    <col min="12801" max="12801" width="4.28515625" style="157" customWidth="1"/>
    <col min="12802" max="12802" width="21.42578125" style="157" customWidth="1"/>
    <col min="12803" max="12803" width="11.42578125" style="157"/>
    <col min="12804" max="12817" width="8.7109375" style="157" customWidth="1"/>
    <col min="12818" max="13056" width="11.42578125" style="157"/>
    <col min="13057" max="13057" width="4.28515625" style="157" customWidth="1"/>
    <col min="13058" max="13058" width="21.42578125" style="157" customWidth="1"/>
    <col min="13059" max="13059" width="11.42578125" style="157"/>
    <col min="13060" max="13073" width="8.7109375" style="157" customWidth="1"/>
    <col min="13074" max="13312" width="11.42578125" style="157"/>
    <col min="13313" max="13313" width="4.28515625" style="157" customWidth="1"/>
    <col min="13314" max="13314" width="21.42578125" style="157" customWidth="1"/>
    <col min="13315" max="13315" width="11.42578125" style="157"/>
    <col min="13316" max="13329" width="8.7109375" style="157" customWidth="1"/>
    <col min="13330" max="13568" width="11.42578125" style="157"/>
    <col min="13569" max="13569" width="4.28515625" style="157" customWidth="1"/>
    <col min="13570" max="13570" width="21.42578125" style="157" customWidth="1"/>
    <col min="13571" max="13571" width="11.42578125" style="157"/>
    <col min="13572" max="13585" width="8.7109375" style="157" customWidth="1"/>
    <col min="13586" max="13824" width="11.42578125" style="157"/>
    <col min="13825" max="13825" width="4.28515625" style="157" customWidth="1"/>
    <col min="13826" max="13826" width="21.42578125" style="157" customWidth="1"/>
    <col min="13827" max="13827" width="11.42578125" style="157"/>
    <col min="13828" max="13841" width="8.7109375" style="157" customWidth="1"/>
    <col min="13842" max="14080" width="11.42578125" style="157"/>
    <col min="14081" max="14081" width="4.28515625" style="157" customWidth="1"/>
    <col min="14082" max="14082" width="21.42578125" style="157" customWidth="1"/>
    <col min="14083" max="14083" width="11.42578125" style="157"/>
    <col min="14084" max="14097" width="8.7109375" style="157" customWidth="1"/>
    <col min="14098" max="14336" width="11.42578125" style="157"/>
    <col min="14337" max="14337" width="4.28515625" style="157" customWidth="1"/>
    <col min="14338" max="14338" width="21.42578125" style="157" customWidth="1"/>
    <col min="14339" max="14339" width="11.42578125" style="157"/>
    <col min="14340" max="14353" width="8.7109375" style="157" customWidth="1"/>
    <col min="14354" max="14592" width="11.42578125" style="157"/>
    <col min="14593" max="14593" width="4.28515625" style="157" customWidth="1"/>
    <col min="14594" max="14594" width="21.42578125" style="157" customWidth="1"/>
    <col min="14595" max="14595" width="11.42578125" style="157"/>
    <col min="14596" max="14609" width="8.7109375" style="157" customWidth="1"/>
    <col min="14610" max="14848" width="11.42578125" style="157"/>
    <col min="14849" max="14849" width="4.28515625" style="157" customWidth="1"/>
    <col min="14850" max="14850" width="21.42578125" style="157" customWidth="1"/>
    <col min="14851" max="14851" width="11.42578125" style="157"/>
    <col min="14852" max="14865" width="8.7109375" style="157" customWidth="1"/>
    <col min="14866" max="15104" width="11.42578125" style="157"/>
    <col min="15105" max="15105" width="4.28515625" style="157" customWidth="1"/>
    <col min="15106" max="15106" width="21.42578125" style="157" customWidth="1"/>
    <col min="15107" max="15107" width="11.42578125" style="157"/>
    <col min="15108" max="15121" width="8.7109375" style="157" customWidth="1"/>
    <col min="15122" max="15360" width="11.42578125" style="157"/>
    <col min="15361" max="15361" width="4.28515625" style="157" customWidth="1"/>
    <col min="15362" max="15362" width="21.42578125" style="157" customWidth="1"/>
    <col min="15363" max="15363" width="11.42578125" style="157"/>
    <col min="15364" max="15377" width="8.7109375" style="157" customWidth="1"/>
    <col min="15378" max="15616" width="11.42578125" style="157"/>
    <col min="15617" max="15617" width="4.28515625" style="157" customWidth="1"/>
    <col min="15618" max="15618" width="21.42578125" style="157" customWidth="1"/>
    <col min="15619" max="15619" width="11.42578125" style="157"/>
    <col min="15620" max="15633" width="8.7109375" style="157" customWidth="1"/>
    <col min="15634" max="15872" width="11.42578125" style="157"/>
    <col min="15873" max="15873" width="4.28515625" style="157" customWidth="1"/>
    <col min="15874" max="15874" width="21.42578125" style="157" customWidth="1"/>
    <col min="15875" max="15875" width="11.42578125" style="157"/>
    <col min="15876" max="15889" width="8.7109375" style="157" customWidth="1"/>
    <col min="15890" max="16128" width="11.42578125" style="157"/>
    <col min="16129" max="16129" width="4.28515625" style="157" customWidth="1"/>
    <col min="16130" max="16130" width="21.42578125" style="157" customWidth="1"/>
    <col min="16131" max="16131" width="11.42578125" style="157"/>
    <col min="16132" max="16145" width="8.7109375" style="157" customWidth="1"/>
    <col min="16146" max="16384" width="11.42578125" style="157"/>
  </cols>
  <sheetData>
    <row r="2" spans="1:28" ht="18" x14ac:dyDescent="0.25">
      <c r="A2" s="159"/>
    </row>
    <row r="4" spans="1:28" ht="15" x14ac:dyDescent="0.25"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265"/>
      <c r="M4" s="161"/>
      <c r="N4" s="161"/>
      <c r="O4" s="161"/>
      <c r="P4" s="161"/>
      <c r="Q4" s="161"/>
    </row>
    <row r="5" spans="1:28" ht="18" x14ac:dyDescent="0.25">
      <c r="B5" s="159" t="s">
        <v>191</v>
      </c>
      <c r="C5" s="266"/>
      <c r="D5" s="266"/>
      <c r="E5" s="266"/>
      <c r="F5" s="266"/>
      <c r="G5" s="266"/>
      <c r="H5" s="266"/>
      <c r="T5" s="217" t="s">
        <v>192</v>
      </c>
      <c r="X5"/>
      <c r="Y5"/>
      <c r="Z5"/>
      <c r="AA5"/>
      <c r="AB5"/>
    </row>
    <row r="6" spans="1:28" ht="15.75" thickBot="1" x14ac:dyDescent="0.3">
      <c r="X6"/>
      <c r="Y6"/>
      <c r="Z6"/>
      <c r="AA6"/>
      <c r="AB6"/>
    </row>
    <row r="7" spans="1:28" ht="15.75" customHeight="1" x14ac:dyDescent="0.25">
      <c r="B7" s="267"/>
      <c r="C7" s="268"/>
      <c r="D7" s="269" t="s">
        <v>162</v>
      </c>
      <c r="E7" s="269"/>
      <c r="F7" s="269"/>
      <c r="G7" s="270"/>
      <c r="H7" s="269" t="s">
        <v>180</v>
      </c>
      <c r="I7" s="270"/>
      <c r="J7" s="270"/>
      <c r="K7" s="270"/>
      <c r="L7" s="271"/>
      <c r="M7" s="269" t="s">
        <v>181</v>
      </c>
      <c r="N7" s="272"/>
      <c r="O7" s="272"/>
      <c r="P7" s="272"/>
      <c r="Q7" s="273"/>
      <c r="X7"/>
      <c r="Y7"/>
      <c r="Z7"/>
      <c r="AA7"/>
      <c r="AB7"/>
    </row>
    <row r="8" spans="1:28" ht="15.75" thickBot="1" x14ac:dyDescent="0.3">
      <c r="B8" s="274" t="s">
        <v>132</v>
      </c>
      <c r="C8" s="275" t="s">
        <v>151</v>
      </c>
      <c r="D8" s="321" t="s">
        <v>193</v>
      </c>
      <c r="E8" s="321" t="s">
        <v>194</v>
      </c>
      <c r="F8" s="321" t="s">
        <v>195</v>
      </c>
      <c r="G8" s="277" t="s">
        <v>196</v>
      </c>
      <c r="H8" s="278" t="s">
        <v>151</v>
      </c>
      <c r="I8" s="277" t="s">
        <v>193</v>
      </c>
      <c r="J8" s="277" t="s">
        <v>194</v>
      </c>
      <c r="K8" s="277" t="s">
        <v>195</v>
      </c>
      <c r="L8" s="277" t="s">
        <v>196</v>
      </c>
      <c r="M8" s="278" t="s">
        <v>151</v>
      </c>
      <c r="N8" s="279" t="s">
        <v>193</v>
      </c>
      <c r="O8" s="279" t="s">
        <v>194</v>
      </c>
      <c r="P8" s="279" t="s">
        <v>195</v>
      </c>
      <c r="Q8" s="280" t="s">
        <v>196</v>
      </c>
      <c r="X8"/>
      <c r="Y8"/>
      <c r="Z8"/>
      <c r="AA8"/>
      <c r="AB8"/>
    </row>
    <row r="9" spans="1:28" ht="15" x14ac:dyDescent="0.25">
      <c r="B9" s="281"/>
      <c r="C9" s="282"/>
      <c r="D9" s="283"/>
      <c r="E9" s="283"/>
      <c r="F9" s="283"/>
      <c r="G9" s="322"/>
      <c r="H9" s="286"/>
      <c r="I9" s="284"/>
      <c r="J9" s="284"/>
      <c r="K9" s="284"/>
      <c r="L9" s="322"/>
      <c r="M9" s="283"/>
      <c r="N9" s="287"/>
      <c r="O9" s="287"/>
      <c r="P9" s="287"/>
      <c r="Q9" s="288"/>
      <c r="T9" s="190" t="s">
        <v>151</v>
      </c>
      <c r="U9" s="190" t="s">
        <v>193</v>
      </c>
      <c r="V9" s="190" t="s">
        <v>196</v>
      </c>
      <c r="X9"/>
      <c r="Y9"/>
      <c r="Z9"/>
      <c r="AA9"/>
      <c r="AB9"/>
    </row>
    <row r="10" spans="1:28" ht="15" x14ac:dyDescent="0.25">
      <c r="B10" s="1526">
        <v>1995</v>
      </c>
      <c r="C10" s="1511">
        <f t="shared" ref="C10:C15" si="0">SUM(D10:G10)</f>
        <v>4461.7000000000007</v>
      </c>
      <c r="D10" s="1527"/>
      <c r="E10" s="1527">
        <f t="shared" ref="E10:G15" si="1">SUM(J10,O10)</f>
        <v>2802.3650000000002</v>
      </c>
      <c r="F10" s="1527">
        <f t="shared" si="1"/>
        <v>646.36</v>
      </c>
      <c r="G10" s="1528">
        <f t="shared" si="1"/>
        <v>1012.975</v>
      </c>
      <c r="H10" s="1527">
        <f t="shared" ref="H10:H15" si="2">SUM(I10:L10)</f>
        <v>3185.7000000000003</v>
      </c>
      <c r="I10" s="1527"/>
      <c r="J10" s="1527">
        <f>+[2]Desagregado!D8</f>
        <v>2422.2950000000001</v>
      </c>
      <c r="K10" s="1527">
        <f>+[2]Desagregado!I8</f>
        <v>416.34</v>
      </c>
      <c r="L10" s="1528">
        <f>+[2]Desagregado!L8</f>
        <v>347.06500000000005</v>
      </c>
      <c r="M10" s="1527">
        <f t="shared" ref="M10:M15" si="3">SUM(N10:Q10)</f>
        <v>1276</v>
      </c>
      <c r="N10" s="1529"/>
      <c r="O10" s="1529">
        <f>+[2]Desagregado!D53</f>
        <v>380.07</v>
      </c>
      <c r="P10" s="1529">
        <f>+[2]Desagregado!G53</f>
        <v>230.02</v>
      </c>
      <c r="Q10" s="1516">
        <f>+[2]Desagregado!J53</f>
        <v>665.91</v>
      </c>
      <c r="S10" s="157">
        <v>1995</v>
      </c>
      <c r="T10" s="203">
        <f t="shared" ref="T10:U28" si="4">C10</f>
        <v>4461.7000000000007</v>
      </c>
      <c r="U10" s="203">
        <f t="shared" ref="U10:U15" si="5">E10+F10</f>
        <v>3448.7250000000004</v>
      </c>
      <c r="V10" s="203">
        <f t="shared" ref="V10:V28" si="6">G10</f>
        <v>1012.975</v>
      </c>
      <c r="X10"/>
      <c r="Y10"/>
      <c r="Z10"/>
      <c r="AA10"/>
      <c r="AB10"/>
    </row>
    <row r="11" spans="1:28" ht="15" x14ac:dyDescent="0.25">
      <c r="B11" s="304">
        <v>1996</v>
      </c>
      <c r="C11" s="282">
        <f t="shared" si="0"/>
        <v>4662.6049999999996</v>
      </c>
      <c r="D11" s="323"/>
      <c r="E11" s="323">
        <f t="shared" si="1"/>
        <v>2935.9249999999997</v>
      </c>
      <c r="F11" s="323">
        <f t="shared" si="1"/>
        <v>650.68000000000006</v>
      </c>
      <c r="G11" s="324">
        <f t="shared" si="1"/>
        <v>1076</v>
      </c>
      <c r="H11" s="323">
        <f t="shared" si="2"/>
        <v>3352.8809999999999</v>
      </c>
      <c r="I11" s="323"/>
      <c r="J11" s="323">
        <f>+[2]Desagregado!D9</f>
        <v>2552.0549999999998</v>
      </c>
      <c r="K11" s="323">
        <f>+[2]Desagregado!I9</f>
        <v>420.66</v>
      </c>
      <c r="L11" s="323">
        <f>+[2]Desagregado!L9</f>
        <v>380.166</v>
      </c>
      <c r="M11" s="323">
        <f t="shared" si="3"/>
        <v>1309.7239999999999</v>
      </c>
      <c r="N11" s="325"/>
      <c r="O11" s="325">
        <f>+[2]Desagregado!D54</f>
        <v>383.87</v>
      </c>
      <c r="P11" s="325">
        <f>+[2]Desagregado!G54</f>
        <v>230.02</v>
      </c>
      <c r="Q11" s="288">
        <f>+[2]Desagregado!J54</f>
        <v>695.83399999999995</v>
      </c>
      <c r="S11" s="157">
        <v>1996</v>
      </c>
      <c r="T11" s="203">
        <f t="shared" si="4"/>
        <v>4662.6049999999996</v>
      </c>
      <c r="U11" s="203">
        <f t="shared" si="5"/>
        <v>3586.6049999999996</v>
      </c>
      <c r="V11" s="203">
        <f t="shared" si="6"/>
        <v>1076</v>
      </c>
      <c r="X11"/>
      <c r="Y11"/>
      <c r="Z11"/>
      <c r="AA11"/>
      <c r="AB11"/>
    </row>
    <row r="12" spans="1:28" ht="15" x14ac:dyDescent="0.25">
      <c r="B12" s="1526">
        <v>1997</v>
      </c>
      <c r="C12" s="1511">
        <f t="shared" si="0"/>
        <v>5192.4980000000005</v>
      </c>
      <c r="D12" s="1527"/>
      <c r="E12" s="1527">
        <f t="shared" si="1"/>
        <v>3417.2060000000001</v>
      </c>
      <c r="F12" s="1527">
        <f t="shared" si="1"/>
        <v>779.92500000000007</v>
      </c>
      <c r="G12" s="1528">
        <f t="shared" si="1"/>
        <v>995.36699999999985</v>
      </c>
      <c r="H12" s="1527">
        <f t="shared" si="2"/>
        <v>4325.0209999999997</v>
      </c>
      <c r="I12" s="1527"/>
      <c r="J12" s="1527">
        <f>+[2]Desagregado!D10</f>
        <v>3243.17</v>
      </c>
      <c r="K12" s="1527">
        <f>+[2]Desagregado!I10</f>
        <v>710.54500000000007</v>
      </c>
      <c r="L12" s="1527">
        <f>+[2]Desagregado!L10</f>
        <v>371.30599999999993</v>
      </c>
      <c r="M12" s="1527">
        <f t="shared" si="3"/>
        <v>867.47699999999986</v>
      </c>
      <c r="N12" s="1529"/>
      <c r="O12" s="1529">
        <f>+[2]Desagregado!D55</f>
        <v>174.036</v>
      </c>
      <c r="P12" s="1529">
        <f>+[2]Desagregado!G55</f>
        <v>69.38</v>
      </c>
      <c r="Q12" s="1516">
        <f>+[2]Desagregado!J55</f>
        <v>624.06099999999992</v>
      </c>
      <c r="S12" s="157">
        <v>1997</v>
      </c>
      <c r="T12" s="203">
        <f t="shared" si="4"/>
        <v>5192.4980000000005</v>
      </c>
      <c r="U12" s="203">
        <f t="shared" si="5"/>
        <v>4197.1310000000003</v>
      </c>
      <c r="V12" s="203">
        <f t="shared" si="6"/>
        <v>995.36699999999985</v>
      </c>
      <c r="X12"/>
      <c r="Y12"/>
      <c r="Z12"/>
      <c r="AA12"/>
      <c r="AB12"/>
    </row>
    <row r="13" spans="1:28" ht="15" x14ac:dyDescent="0.25">
      <c r="B13" s="304">
        <v>1998</v>
      </c>
      <c r="C13" s="282">
        <f t="shared" si="0"/>
        <v>5515.2899999999991</v>
      </c>
      <c r="D13" s="323"/>
      <c r="E13" s="323">
        <f t="shared" si="1"/>
        <v>3628.8919999999994</v>
      </c>
      <c r="F13" s="323">
        <f t="shared" si="1"/>
        <v>777.80799999999999</v>
      </c>
      <c r="G13" s="324">
        <f t="shared" si="1"/>
        <v>1108.5900000000001</v>
      </c>
      <c r="H13" s="323">
        <f t="shared" si="2"/>
        <v>4632.2779999999993</v>
      </c>
      <c r="I13" s="323"/>
      <c r="J13" s="323">
        <f>+[2]Desagregado!D11</f>
        <v>3498.7559999999994</v>
      </c>
      <c r="K13" s="323">
        <f>+[2]Desagregado!I11</f>
        <v>727.44799999999998</v>
      </c>
      <c r="L13" s="323">
        <f>+[2]Desagregado!L11</f>
        <v>406.07400000000001</v>
      </c>
      <c r="M13" s="323">
        <f t="shared" si="3"/>
        <v>883.01200000000006</v>
      </c>
      <c r="N13" s="325"/>
      <c r="O13" s="325">
        <f>+[2]Desagregado!D56</f>
        <v>130.136</v>
      </c>
      <c r="P13" s="325">
        <f>+[2]Desagregado!G56</f>
        <v>50.36</v>
      </c>
      <c r="Q13" s="288">
        <f>+[2]Desagregado!J56</f>
        <v>702.51600000000008</v>
      </c>
      <c r="S13" s="157">
        <v>1998</v>
      </c>
      <c r="T13" s="203">
        <f t="shared" si="4"/>
        <v>5515.2899999999991</v>
      </c>
      <c r="U13" s="203">
        <f t="shared" si="5"/>
        <v>4406.6999999999989</v>
      </c>
      <c r="V13" s="203">
        <f t="shared" si="6"/>
        <v>1108.5900000000001</v>
      </c>
      <c r="X13"/>
      <c r="Y13"/>
      <c r="Z13"/>
      <c r="AA13"/>
      <c r="AB13"/>
    </row>
    <row r="14" spans="1:28" ht="15" x14ac:dyDescent="0.25">
      <c r="B14" s="1526">
        <v>1999</v>
      </c>
      <c r="C14" s="1511">
        <f t="shared" si="0"/>
        <v>5742.4279999999999</v>
      </c>
      <c r="D14" s="1527"/>
      <c r="E14" s="1527">
        <f t="shared" si="1"/>
        <v>3758.7669999999998</v>
      </c>
      <c r="F14" s="1527">
        <f t="shared" si="1"/>
        <v>841.19800000000009</v>
      </c>
      <c r="G14" s="1528">
        <f t="shared" si="1"/>
        <v>1142.463</v>
      </c>
      <c r="H14" s="1527">
        <f t="shared" si="2"/>
        <v>4828.2430000000004</v>
      </c>
      <c r="I14" s="1527"/>
      <c r="J14" s="1527">
        <f>+[2]Desagregado!D12</f>
        <v>3672.607</v>
      </c>
      <c r="K14" s="1527">
        <f>+[2]Desagregado!I12</f>
        <v>793.44800000000009</v>
      </c>
      <c r="L14" s="1527">
        <f>+[2]Desagregado!L12</f>
        <v>362.18799999999993</v>
      </c>
      <c r="M14" s="1527">
        <f t="shared" si="3"/>
        <v>914.18499999999995</v>
      </c>
      <c r="N14" s="1529"/>
      <c r="O14" s="1529">
        <f>+[2]Desagregado!D57</f>
        <v>86.16</v>
      </c>
      <c r="P14" s="1529">
        <f>+[2]Desagregado!G57</f>
        <v>47.75</v>
      </c>
      <c r="Q14" s="1516">
        <f>+[2]Desagregado!J57</f>
        <v>780.27499999999998</v>
      </c>
      <c r="S14" s="157">
        <v>1999</v>
      </c>
      <c r="T14" s="203">
        <f t="shared" si="4"/>
        <v>5742.4279999999999</v>
      </c>
      <c r="U14" s="203">
        <f t="shared" si="5"/>
        <v>4599.9650000000001</v>
      </c>
      <c r="V14" s="203">
        <f t="shared" si="6"/>
        <v>1142.463</v>
      </c>
      <c r="X14"/>
      <c r="Y14"/>
      <c r="Z14"/>
      <c r="AA14"/>
      <c r="AB14"/>
    </row>
    <row r="15" spans="1:28" ht="15" x14ac:dyDescent="0.25">
      <c r="B15" s="304">
        <v>2000</v>
      </c>
      <c r="C15" s="282">
        <f t="shared" si="0"/>
        <v>6066.1890000000003</v>
      </c>
      <c r="D15" s="323"/>
      <c r="E15" s="323">
        <f t="shared" si="1"/>
        <v>3940.7869999999998</v>
      </c>
      <c r="F15" s="323">
        <f t="shared" si="1"/>
        <v>992.82900000000006</v>
      </c>
      <c r="G15" s="324">
        <f t="shared" si="1"/>
        <v>1132.5730000000001</v>
      </c>
      <c r="H15" s="323">
        <f t="shared" si="2"/>
        <v>5148.8510000000006</v>
      </c>
      <c r="I15" s="323"/>
      <c r="J15" s="323">
        <f>+[2]Desagregado!D13</f>
        <v>3858.317</v>
      </c>
      <c r="K15" s="323">
        <f>+[2]Desagregado!I13</f>
        <v>931.67900000000009</v>
      </c>
      <c r="L15" s="323">
        <f>+[2]Desagregado!L13</f>
        <v>358.85500000000002</v>
      </c>
      <c r="M15" s="323">
        <f t="shared" si="3"/>
        <v>917.33800000000008</v>
      </c>
      <c r="N15" s="325"/>
      <c r="O15" s="325">
        <f>+[2]Desagregado!D58</f>
        <v>82.47</v>
      </c>
      <c r="P15" s="325">
        <f>+[2]Desagregado!G58</f>
        <v>61.15</v>
      </c>
      <c r="Q15" s="288">
        <f>+[2]Desagregado!J58</f>
        <v>773.71800000000007</v>
      </c>
      <c r="S15" s="157">
        <v>2000</v>
      </c>
      <c r="T15" s="203">
        <f t="shared" si="4"/>
        <v>6066.1890000000003</v>
      </c>
      <c r="U15" s="203">
        <f t="shared" si="5"/>
        <v>4933.616</v>
      </c>
      <c r="V15" s="203">
        <f t="shared" si="6"/>
        <v>1132.5730000000001</v>
      </c>
      <c r="X15"/>
      <c r="Y15"/>
      <c r="Z15"/>
      <c r="AA15"/>
      <c r="AB15"/>
    </row>
    <row r="16" spans="1:28" ht="15" x14ac:dyDescent="0.25">
      <c r="B16" s="1530" t="s">
        <v>157</v>
      </c>
      <c r="C16" s="1511">
        <f>SUM(D16:G16)</f>
        <v>5906.6930000000011</v>
      </c>
      <c r="D16" s="1527">
        <f>SUM(I16,N16)</f>
        <v>4879.6460000000006</v>
      </c>
      <c r="E16" s="1527"/>
      <c r="F16" s="1527"/>
      <c r="G16" s="1528">
        <f>SUM(L16,Q16)</f>
        <v>1027.047</v>
      </c>
      <c r="H16" s="1527">
        <f>SUM(I16:L16)</f>
        <v>5050.8140000000003</v>
      </c>
      <c r="I16" s="1528">
        <f>+[2]Desagregado!D16</f>
        <v>4744.8370000000004</v>
      </c>
      <c r="J16" s="1528"/>
      <c r="K16" s="1528"/>
      <c r="L16" s="1528">
        <f>+[2]Desagregado!L16</f>
        <v>305.97699999999992</v>
      </c>
      <c r="M16" s="1527">
        <f>SUM(N16:Q16)</f>
        <v>855.87900000000002</v>
      </c>
      <c r="N16" s="1529">
        <f>+[2]Desagregado!D61</f>
        <v>134.809</v>
      </c>
      <c r="O16" s="1529"/>
      <c r="P16" s="1529"/>
      <c r="Q16" s="1516">
        <f>+[2]Desagregado!J61</f>
        <v>721.07</v>
      </c>
      <c r="S16" s="157">
        <v>2001</v>
      </c>
      <c r="T16" s="203">
        <f t="shared" si="4"/>
        <v>5906.6930000000011</v>
      </c>
      <c r="U16" s="203">
        <f t="shared" si="4"/>
        <v>4879.6460000000006</v>
      </c>
      <c r="V16" s="203">
        <f t="shared" si="6"/>
        <v>1027.047</v>
      </c>
      <c r="X16"/>
      <c r="Y16"/>
      <c r="Z16"/>
      <c r="AA16"/>
      <c r="AB16"/>
    </row>
    <row r="17" spans="1:29" ht="15" x14ac:dyDescent="0.25">
      <c r="B17" s="304">
        <v>2002</v>
      </c>
      <c r="C17" s="282">
        <f t="shared" ref="C17:C28" si="7">SUM(D17:G17)</f>
        <v>5935.5330000000004</v>
      </c>
      <c r="D17" s="323">
        <f t="shared" ref="D17:D28" si="8">SUM(I17,N17)</f>
        <v>4973.5560000000005</v>
      </c>
      <c r="E17" s="323"/>
      <c r="F17" s="323"/>
      <c r="G17" s="324">
        <f t="shared" ref="G17:G28" si="9">SUM(L17,Q17)</f>
        <v>961.97699999999975</v>
      </c>
      <c r="H17" s="323">
        <f t="shared" ref="H17:H28" si="10">SUM(I17:L17)</f>
        <v>5068.0510000000004</v>
      </c>
      <c r="I17" s="324">
        <f>+[2]Desagregado!D17</f>
        <v>4841.7170000000006</v>
      </c>
      <c r="J17" s="324"/>
      <c r="K17" s="324"/>
      <c r="L17" s="324">
        <f>+[2]Desagregado!L17</f>
        <v>226.33399999999995</v>
      </c>
      <c r="M17" s="323">
        <f t="shared" ref="M17:M28" si="11">SUM(N17:Q17)</f>
        <v>867.48199999999974</v>
      </c>
      <c r="N17" s="325">
        <f>+[2]Desagregado!D62</f>
        <v>131.839</v>
      </c>
      <c r="O17" s="325"/>
      <c r="P17" s="325"/>
      <c r="Q17" s="288">
        <f>+[2]Desagregado!J62</f>
        <v>735.6429999999998</v>
      </c>
      <c r="S17" s="216">
        <v>2002</v>
      </c>
      <c r="T17" s="203">
        <f t="shared" si="4"/>
        <v>5935.5330000000004</v>
      </c>
      <c r="U17" s="203">
        <f t="shared" si="4"/>
        <v>4973.5560000000005</v>
      </c>
      <c r="V17" s="203">
        <f t="shared" si="6"/>
        <v>961.97699999999975</v>
      </c>
      <c r="X17"/>
      <c r="Y17"/>
      <c r="Z17"/>
      <c r="AA17"/>
      <c r="AB17"/>
    </row>
    <row r="18" spans="1:29" ht="15" x14ac:dyDescent="0.25">
      <c r="A18" s="162"/>
      <c r="B18" s="1526">
        <v>2003</v>
      </c>
      <c r="C18" s="1511">
        <f t="shared" si="7"/>
        <v>5970.0630000000001</v>
      </c>
      <c r="D18" s="1527">
        <f t="shared" si="8"/>
        <v>5012.7560000000003</v>
      </c>
      <c r="E18" s="1527"/>
      <c r="F18" s="1527"/>
      <c r="G18" s="1528">
        <f t="shared" si="9"/>
        <v>957.3069999999999</v>
      </c>
      <c r="H18" s="1527">
        <f t="shared" si="10"/>
        <v>5095.1030000000001</v>
      </c>
      <c r="I18" s="1528">
        <f>+[2]Desagregado!D18</f>
        <v>4881.0070000000005</v>
      </c>
      <c r="J18" s="1528"/>
      <c r="K18" s="1528"/>
      <c r="L18" s="1528">
        <f>+[2]Desagregado!L18</f>
        <v>214.09599999999992</v>
      </c>
      <c r="M18" s="1527">
        <f t="shared" si="11"/>
        <v>874.96</v>
      </c>
      <c r="N18" s="1531">
        <f>+[2]Desagregado!D63</f>
        <v>131.74900000000002</v>
      </c>
      <c r="O18" s="1529"/>
      <c r="P18" s="1529"/>
      <c r="Q18" s="1516">
        <f>+[2]Desagregado!J63</f>
        <v>743.21100000000001</v>
      </c>
      <c r="S18" s="157">
        <v>2003</v>
      </c>
      <c r="T18" s="203">
        <f t="shared" si="4"/>
        <v>5970.0630000000001</v>
      </c>
      <c r="U18" s="203">
        <f t="shared" si="4"/>
        <v>5012.7560000000003</v>
      </c>
      <c r="V18" s="203">
        <f t="shared" si="6"/>
        <v>957.3069999999999</v>
      </c>
      <c r="X18"/>
      <c r="Y18"/>
      <c r="Z18"/>
      <c r="AA18"/>
      <c r="AB18"/>
    </row>
    <row r="19" spans="1:29" x14ac:dyDescent="0.2">
      <c r="A19" s="162"/>
      <c r="B19" s="304">
        <v>2004</v>
      </c>
      <c r="C19" s="282">
        <f t="shared" si="7"/>
        <v>6016.3186000000023</v>
      </c>
      <c r="D19" s="323">
        <f t="shared" si="8"/>
        <v>5060.245600000002</v>
      </c>
      <c r="E19" s="323"/>
      <c r="F19" s="323"/>
      <c r="G19" s="324">
        <f t="shared" si="9"/>
        <v>956.07299999999987</v>
      </c>
      <c r="H19" s="323">
        <f t="shared" si="10"/>
        <v>5096.0216000000019</v>
      </c>
      <c r="I19" s="324">
        <f>+[2]Desagregado!D19</f>
        <v>4898.7466000000022</v>
      </c>
      <c r="J19" s="324"/>
      <c r="K19" s="324"/>
      <c r="L19" s="324">
        <f>+[2]Desagregado!L19</f>
        <v>197.27499999999989</v>
      </c>
      <c r="M19" s="323">
        <f t="shared" si="11"/>
        <v>920.29700000000003</v>
      </c>
      <c r="N19" s="326">
        <f>+[2]Desagregado!D64</f>
        <v>161.499</v>
      </c>
      <c r="O19" s="325"/>
      <c r="P19" s="325"/>
      <c r="Q19" s="288">
        <f>+[2]Desagregado!J64</f>
        <v>758.798</v>
      </c>
      <c r="S19" s="157">
        <v>2004</v>
      </c>
      <c r="T19" s="203">
        <f t="shared" si="4"/>
        <v>6016.3186000000023</v>
      </c>
      <c r="U19" s="203">
        <f t="shared" si="4"/>
        <v>5060.245600000002</v>
      </c>
      <c r="V19" s="203">
        <f t="shared" si="6"/>
        <v>956.07299999999987</v>
      </c>
    </row>
    <row r="20" spans="1:29" x14ac:dyDescent="0.2">
      <c r="A20" s="162"/>
      <c r="B20" s="1526">
        <v>2005</v>
      </c>
      <c r="C20" s="1511">
        <f t="shared" si="7"/>
        <v>6200.5255999999999</v>
      </c>
      <c r="D20" s="1527">
        <f t="shared" si="8"/>
        <v>5193.2016000000003</v>
      </c>
      <c r="E20" s="1527"/>
      <c r="F20" s="1527"/>
      <c r="G20" s="1528">
        <f t="shared" si="9"/>
        <v>1007.3239999999998</v>
      </c>
      <c r="H20" s="1527">
        <f t="shared" si="10"/>
        <v>5220.6336000000001</v>
      </c>
      <c r="I20" s="1528">
        <f>+[2]Desagregado!D20</f>
        <v>5014.1686</v>
      </c>
      <c r="J20" s="1528"/>
      <c r="K20" s="1528"/>
      <c r="L20" s="1528">
        <f>+[2]Desagregado!L20</f>
        <v>206.46499999999986</v>
      </c>
      <c r="M20" s="1527">
        <f t="shared" si="11"/>
        <v>979.89199999999994</v>
      </c>
      <c r="N20" s="1531">
        <f>+[2]Desagregado!D65</f>
        <v>179.03300000000002</v>
      </c>
      <c r="O20" s="1529"/>
      <c r="P20" s="1529"/>
      <c r="Q20" s="1516">
        <f>+[2]Desagregado!J65</f>
        <v>800.85899999999992</v>
      </c>
      <c r="S20" s="157">
        <v>2005</v>
      </c>
      <c r="T20" s="203">
        <f t="shared" si="4"/>
        <v>6200.5255999999999</v>
      </c>
      <c r="U20" s="203">
        <f t="shared" si="4"/>
        <v>5193.2016000000003</v>
      </c>
      <c r="V20" s="203">
        <f t="shared" si="6"/>
        <v>1007.3239999999998</v>
      </c>
    </row>
    <row r="21" spans="1:29" x14ac:dyDescent="0.2">
      <c r="A21" s="162"/>
      <c r="B21" s="304">
        <v>2006</v>
      </c>
      <c r="C21" s="282">
        <f t="shared" si="7"/>
        <v>6658.1436000000012</v>
      </c>
      <c r="D21" s="323">
        <f t="shared" si="8"/>
        <v>5595.481600000001</v>
      </c>
      <c r="E21" s="323"/>
      <c r="F21" s="323"/>
      <c r="G21" s="324">
        <f t="shared" si="9"/>
        <v>1062.6619999999998</v>
      </c>
      <c r="H21" s="323">
        <f t="shared" si="10"/>
        <v>5625.1416000000008</v>
      </c>
      <c r="I21" s="324">
        <f>+[2]Desagregado!D21</f>
        <v>5410.4616000000005</v>
      </c>
      <c r="J21" s="324"/>
      <c r="K21" s="324"/>
      <c r="L21" s="324">
        <f>+[2]Desagregado!L21</f>
        <v>214.67999999999998</v>
      </c>
      <c r="M21" s="323">
        <f t="shared" si="11"/>
        <v>1033.0019999999997</v>
      </c>
      <c r="N21" s="326">
        <f>+[2]Desagregado!D66</f>
        <v>185.02</v>
      </c>
      <c r="O21" s="325"/>
      <c r="P21" s="325"/>
      <c r="Q21" s="288">
        <f>+[2]Desagregado!J66</f>
        <v>847.98199999999974</v>
      </c>
      <c r="S21" s="157">
        <v>2006</v>
      </c>
      <c r="T21" s="203">
        <f t="shared" si="4"/>
        <v>6658.1436000000012</v>
      </c>
      <c r="U21" s="203">
        <f t="shared" si="4"/>
        <v>5595.481600000001</v>
      </c>
      <c r="V21" s="203">
        <f t="shared" si="6"/>
        <v>1062.6619999999998</v>
      </c>
    </row>
    <row r="22" spans="1:29" x14ac:dyDescent="0.2">
      <c r="B22" s="1526">
        <v>2007</v>
      </c>
      <c r="C22" s="1511">
        <f t="shared" si="7"/>
        <v>7027.5172000000002</v>
      </c>
      <c r="D22" s="1527">
        <f t="shared" si="8"/>
        <v>5952.0042000000003</v>
      </c>
      <c r="E22" s="1527"/>
      <c r="F22" s="1527"/>
      <c r="G22" s="1528">
        <f t="shared" si="9"/>
        <v>1075.5129999999997</v>
      </c>
      <c r="H22" s="1527">
        <f t="shared" si="10"/>
        <v>5989.7251999999999</v>
      </c>
      <c r="I22" s="1528">
        <f>+[2]Desagregado!D22</f>
        <v>5769.2542000000003</v>
      </c>
      <c r="J22" s="1528"/>
      <c r="K22" s="1528"/>
      <c r="L22" s="1528">
        <f>+[2]Desagregado!L22</f>
        <v>220.47099999999983</v>
      </c>
      <c r="M22" s="1527">
        <f t="shared" si="11"/>
        <v>1037.7919999999999</v>
      </c>
      <c r="N22" s="1531">
        <f>+[2]Desagregado!D67</f>
        <v>182.75000000000003</v>
      </c>
      <c r="O22" s="1529"/>
      <c r="P22" s="1529"/>
      <c r="Q22" s="1516">
        <f>+[2]Desagregado!J67</f>
        <v>855.04199999999992</v>
      </c>
      <c r="S22" s="216">
        <v>2007</v>
      </c>
      <c r="T22" s="203">
        <f t="shared" si="4"/>
        <v>7027.5172000000002</v>
      </c>
      <c r="U22" s="203">
        <f t="shared" si="4"/>
        <v>5952.0042000000003</v>
      </c>
      <c r="V22" s="203">
        <f t="shared" si="6"/>
        <v>1075.5129999999997</v>
      </c>
    </row>
    <row r="23" spans="1:29" x14ac:dyDescent="0.2">
      <c r="B23" s="304">
        <v>2008</v>
      </c>
      <c r="C23" s="282">
        <f t="shared" si="7"/>
        <v>7157.9350000000031</v>
      </c>
      <c r="D23" s="323">
        <f t="shared" si="8"/>
        <v>5937.4070000000029</v>
      </c>
      <c r="E23" s="323"/>
      <c r="F23" s="323"/>
      <c r="G23" s="324">
        <f t="shared" si="9"/>
        <v>1220.5280000000007</v>
      </c>
      <c r="H23" s="323">
        <f t="shared" si="10"/>
        <v>5996.9830000000029</v>
      </c>
      <c r="I23" s="324">
        <f>+[2]Desagregado!D23</f>
        <v>5755.247000000003</v>
      </c>
      <c r="J23" s="324"/>
      <c r="K23" s="324"/>
      <c r="L23" s="324">
        <f>+[2]Desagregado!L23</f>
        <v>241.73599999999988</v>
      </c>
      <c r="M23" s="323">
        <f t="shared" si="11"/>
        <v>1160.9520000000007</v>
      </c>
      <c r="N23" s="326">
        <f>+[2]Desagregado!D68</f>
        <v>182.16</v>
      </c>
      <c r="O23" s="325"/>
      <c r="P23" s="325"/>
      <c r="Q23" s="288">
        <f>+[2]Desagregado!J68</f>
        <v>978.79200000000071</v>
      </c>
      <c r="S23" s="157">
        <v>2008</v>
      </c>
      <c r="T23" s="203">
        <f t="shared" si="4"/>
        <v>7157.9350000000031</v>
      </c>
      <c r="U23" s="203">
        <f t="shared" si="4"/>
        <v>5937.4070000000029</v>
      </c>
      <c r="V23" s="203">
        <f t="shared" si="6"/>
        <v>1220.5280000000007</v>
      </c>
    </row>
    <row r="24" spans="1:29" x14ac:dyDescent="0.2">
      <c r="B24" s="1526">
        <v>2009</v>
      </c>
      <c r="C24" s="1511">
        <f t="shared" si="7"/>
        <v>7986.4960000000019</v>
      </c>
      <c r="D24" s="1527">
        <f t="shared" si="8"/>
        <v>6679.233000000002</v>
      </c>
      <c r="E24" s="1527"/>
      <c r="F24" s="1527"/>
      <c r="G24" s="1528">
        <f t="shared" si="9"/>
        <v>1307.2630000000001</v>
      </c>
      <c r="H24" s="1527">
        <f t="shared" si="10"/>
        <v>6723.5160000000014</v>
      </c>
      <c r="I24" s="1528">
        <f>+[2]Desagregado!D24</f>
        <v>6491.4780000000019</v>
      </c>
      <c r="J24" s="1528"/>
      <c r="K24" s="1528"/>
      <c r="L24" s="1528">
        <f>+[2]Desagregado!L24</f>
        <v>232.03799999999993</v>
      </c>
      <c r="M24" s="1527">
        <f t="shared" si="11"/>
        <v>1262.9800000000002</v>
      </c>
      <c r="N24" s="1531">
        <f>+[2]Desagregado!D69</f>
        <v>187.75500000000005</v>
      </c>
      <c r="O24" s="1529"/>
      <c r="P24" s="1529"/>
      <c r="Q24" s="1516">
        <f>+[2]Desagregado!J69</f>
        <v>1075.2250000000001</v>
      </c>
      <c r="S24" s="157">
        <v>2009</v>
      </c>
      <c r="T24" s="203">
        <f t="shared" si="4"/>
        <v>7986.4960000000019</v>
      </c>
      <c r="U24" s="203">
        <f t="shared" si="4"/>
        <v>6679.233000000002</v>
      </c>
      <c r="V24" s="203">
        <f t="shared" si="6"/>
        <v>1307.2630000000001</v>
      </c>
    </row>
    <row r="25" spans="1:29" x14ac:dyDescent="0.2">
      <c r="B25" s="304">
        <v>2010</v>
      </c>
      <c r="C25" s="282">
        <f t="shared" si="7"/>
        <v>8612.5569999999989</v>
      </c>
      <c r="D25" s="323">
        <f t="shared" si="8"/>
        <v>7331.1129999999994</v>
      </c>
      <c r="E25" s="323"/>
      <c r="F25" s="323"/>
      <c r="G25" s="324">
        <f t="shared" si="9"/>
        <v>1281.4439999999997</v>
      </c>
      <c r="H25" s="323">
        <f t="shared" si="10"/>
        <v>7309.1659999999993</v>
      </c>
      <c r="I25" s="324">
        <f>+[2]Desagregado!D25</f>
        <v>7131.0879999999997</v>
      </c>
      <c r="J25" s="324"/>
      <c r="K25" s="324"/>
      <c r="L25" s="324">
        <f>+[2]Desagregado!L25</f>
        <v>178.07799999999995</v>
      </c>
      <c r="M25" s="323">
        <f t="shared" si="11"/>
        <v>1303.3909999999998</v>
      </c>
      <c r="N25" s="326">
        <f>+[2]Desagregado!D70</f>
        <v>200.02500000000001</v>
      </c>
      <c r="O25" s="325"/>
      <c r="P25" s="325"/>
      <c r="Q25" s="288">
        <f>+[2]Desagregado!J70</f>
        <v>1103.3659999999998</v>
      </c>
      <c r="S25" s="157">
        <v>2010</v>
      </c>
      <c r="T25" s="203">
        <f t="shared" si="4"/>
        <v>8612.5569999999989</v>
      </c>
      <c r="U25" s="203">
        <f t="shared" si="4"/>
        <v>7331.1129999999994</v>
      </c>
      <c r="V25" s="203">
        <f t="shared" si="6"/>
        <v>1281.4439999999997</v>
      </c>
    </row>
    <row r="26" spans="1:29" x14ac:dyDescent="0.2">
      <c r="B26" s="1526">
        <v>2011</v>
      </c>
      <c r="C26" s="1511">
        <f t="shared" si="7"/>
        <v>8691.3240000000005</v>
      </c>
      <c r="D26" s="1527">
        <f t="shared" si="8"/>
        <v>7341.4400000000005</v>
      </c>
      <c r="E26" s="1527"/>
      <c r="F26" s="1527"/>
      <c r="G26" s="1528">
        <f t="shared" si="9"/>
        <v>1349.884</v>
      </c>
      <c r="H26" s="1527">
        <f t="shared" si="10"/>
        <v>7314.2370000000001</v>
      </c>
      <c r="I26" s="1527">
        <f>+[2]Desagregado!D26</f>
        <v>7142.3890000000001</v>
      </c>
      <c r="J26" s="1527"/>
      <c r="K26" s="1527"/>
      <c r="L26" s="1527">
        <f>+[2]Desagregado!L26</f>
        <v>171.84800000000001</v>
      </c>
      <c r="M26" s="1527">
        <f t="shared" si="11"/>
        <v>1377.087</v>
      </c>
      <c r="N26" s="1527">
        <f>+[2]Desagregado!D71</f>
        <v>199.05100000000002</v>
      </c>
      <c r="O26" s="1527"/>
      <c r="P26" s="1527"/>
      <c r="Q26" s="1527">
        <f>+[2]Desagregado!J71</f>
        <v>1178.0360000000001</v>
      </c>
      <c r="S26" s="157">
        <v>2011</v>
      </c>
      <c r="T26" s="203">
        <f t="shared" si="4"/>
        <v>8691.3240000000005</v>
      </c>
      <c r="U26" s="203">
        <f t="shared" si="4"/>
        <v>7341.4400000000005</v>
      </c>
      <c r="V26" s="203">
        <f t="shared" si="6"/>
        <v>1349.884</v>
      </c>
    </row>
    <row r="27" spans="1:29" x14ac:dyDescent="0.2">
      <c r="B27" s="327">
        <v>2012</v>
      </c>
      <c r="C27" s="294">
        <f t="shared" si="7"/>
        <v>9699.0969999999998</v>
      </c>
      <c r="D27" s="328">
        <f t="shared" si="8"/>
        <v>8292.0739999999987</v>
      </c>
      <c r="E27" s="328"/>
      <c r="F27" s="328"/>
      <c r="G27" s="329">
        <f t="shared" si="9"/>
        <v>1407.0230000000004</v>
      </c>
      <c r="H27" s="328">
        <f t="shared" si="10"/>
        <v>8267.1709999999985</v>
      </c>
      <c r="I27" s="324">
        <f>+[2]Desagregado!D27</f>
        <v>8096.2529999999979</v>
      </c>
      <c r="J27" s="324"/>
      <c r="K27" s="324"/>
      <c r="L27" s="324">
        <f>+[2]Desagregado!L27</f>
        <v>170.91799999999998</v>
      </c>
      <c r="M27" s="328">
        <f t="shared" si="11"/>
        <v>1431.9260000000006</v>
      </c>
      <c r="N27" s="326">
        <f>+[2]Desagregado!D72</f>
        <v>195.82100000000005</v>
      </c>
      <c r="O27" s="325"/>
      <c r="P27" s="325"/>
      <c r="Q27" s="288">
        <f>+[2]Desagregado!J72</f>
        <v>1236.1050000000005</v>
      </c>
      <c r="S27" s="157">
        <v>2012</v>
      </c>
      <c r="T27" s="203">
        <f t="shared" si="4"/>
        <v>9699.0969999999998</v>
      </c>
      <c r="U27" s="203">
        <f t="shared" si="4"/>
        <v>8292.0739999999987</v>
      </c>
      <c r="V27" s="203">
        <f t="shared" si="6"/>
        <v>1407.0230000000004</v>
      </c>
    </row>
    <row r="28" spans="1:29" x14ac:dyDescent="0.2">
      <c r="B28" s="1526">
        <v>2013</v>
      </c>
      <c r="C28" s="1511">
        <f t="shared" si="7"/>
        <v>11050.718999999999</v>
      </c>
      <c r="D28" s="1527">
        <f t="shared" si="8"/>
        <v>9633.9229999999989</v>
      </c>
      <c r="E28" s="1527"/>
      <c r="F28" s="1527"/>
      <c r="G28" s="1528">
        <f t="shared" si="9"/>
        <v>1416.7959999999998</v>
      </c>
      <c r="H28" s="1527">
        <f t="shared" si="10"/>
        <v>9634.6309999999994</v>
      </c>
      <c r="I28" s="1527">
        <f>+[2]Desagregado!D28</f>
        <v>9441.601999999999</v>
      </c>
      <c r="J28" s="1527"/>
      <c r="K28" s="1527"/>
      <c r="L28" s="1527">
        <f>+[2]Desagregado!L28</f>
        <v>193.02899999999994</v>
      </c>
      <c r="M28" s="1527">
        <f t="shared" si="11"/>
        <v>1416.0879999999997</v>
      </c>
      <c r="N28" s="1527">
        <f>+[2]Desagregado!D73</f>
        <v>192.32100000000003</v>
      </c>
      <c r="O28" s="1527"/>
      <c r="P28" s="1527"/>
      <c r="Q28" s="1527">
        <f>+[2]Desagregado!J73</f>
        <v>1223.7669999999998</v>
      </c>
      <c r="S28" s="157">
        <v>2013</v>
      </c>
      <c r="T28" s="203">
        <f t="shared" si="4"/>
        <v>11050.718999999999</v>
      </c>
      <c r="U28" s="203">
        <f t="shared" si="4"/>
        <v>9633.9229999999989</v>
      </c>
      <c r="V28" s="203">
        <f t="shared" si="6"/>
        <v>1416.7959999999998</v>
      </c>
      <c r="X28" s="163"/>
      <c r="Y28" s="163"/>
      <c r="Z28" s="163"/>
      <c r="AA28" s="163"/>
      <c r="AB28" s="163"/>
      <c r="AC28" s="163"/>
    </row>
    <row r="29" spans="1:29" x14ac:dyDescent="0.2">
      <c r="B29" s="304">
        <v>2014</v>
      </c>
      <c r="C29" s="282">
        <f>SUM(D29:G29)</f>
        <v>11202.619000000001</v>
      </c>
      <c r="D29" s="323">
        <f>SUM(I29,N29)</f>
        <v>9707.5800000000017</v>
      </c>
      <c r="E29" s="323"/>
      <c r="F29" s="323"/>
      <c r="G29" s="324">
        <f>SUM(L29,Q29)</f>
        <v>1495.0389999999995</v>
      </c>
      <c r="H29" s="323">
        <f>SUM(I29:L29)</f>
        <v>9739.2480000000014</v>
      </c>
      <c r="I29" s="324">
        <f>+[2]Desagregado!D29</f>
        <v>9517.353000000001</v>
      </c>
      <c r="J29" s="324"/>
      <c r="K29" s="324"/>
      <c r="L29" s="324">
        <f>+[2]Desagregado!L29</f>
        <v>221.89500000000007</v>
      </c>
      <c r="M29" s="323">
        <f>SUM(N29:Q29)</f>
        <v>1463.3709999999996</v>
      </c>
      <c r="N29" s="326">
        <f>+[2]Desagregado!D74</f>
        <v>190.22699999999998</v>
      </c>
      <c r="O29" s="325"/>
      <c r="P29" s="325"/>
      <c r="Q29" s="288">
        <f>+[2]Desagregado!J74</f>
        <v>1273.1439999999996</v>
      </c>
      <c r="S29" s="157">
        <v>2014</v>
      </c>
      <c r="T29" s="203">
        <f>C29</f>
        <v>11202.619000000001</v>
      </c>
      <c r="U29" s="203">
        <f>D29</f>
        <v>9707.5800000000017</v>
      </c>
      <c r="V29" s="203">
        <f>G29</f>
        <v>1495.0389999999995</v>
      </c>
    </row>
    <row r="30" spans="1:29" x14ac:dyDescent="0.2">
      <c r="B30" s="1526" t="s">
        <v>136</v>
      </c>
      <c r="C30" s="1511">
        <f>SUM(D30:G30)</f>
        <v>12251.621000000003</v>
      </c>
      <c r="D30" s="1527">
        <f>SUM(I30,N30)</f>
        <v>10747.800000000003</v>
      </c>
      <c r="E30" s="1527"/>
      <c r="F30" s="1527"/>
      <c r="G30" s="1528">
        <f>SUM(L30,Q30)</f>
        <v>1503.8209999999995</v>
      </c>
      <c r="H30" s="1527">
        <f>SUM(I30:L30)</f>
        <v>10765.318000000003</v>
      </c>
      <c r="I30" s="1527">
        <f>+[2]Desagregado!D30</f>
        <v>10542.723000000004</v>
      </c>
      <c r="J30" s="1527"/>
      <c r="K30" s="1527"/>
      <c r="L30" s="1527">
        <f>+[2]Desagregado!L30</f>
        <v>222.59499999999994</v>
      </c>
      <c r="M30" s="1527">
        <f>SUM(N30:Q30)</f>
        <v>1486.3029999999994</v>
      </c>
      <c r="N30" s="1527">
        <f>+[2]Desagregado!D75</f>
        <v>205.07699999999997</v>
      </c>
      <c r="O30" s="1527"/>
      <c r="P30" s="1527"/>
      <c r="Q30" s="1527">
        <f>+[2]Desagregado!J75</f>
        <v>1281.2259999999994</v>
      </c>
      <c r="S30" s="259" t="s">
        <v>136</v>
      </c>
      <c r="T30" s="203">
        <f>C30</f>
        <v>12251.621000000003</v>
      </c>
      <c r="U30" s="203">
        <f>D30</f>
        <v>10747.800000000003</v>
      </c>
      <c r="V30" s="203">
        <f>G30</f>
        <v>1503.8209999999995</v>
      </c>
    </row>
    <row r="31" spans="1:29" ht="13.5" thickBot="1" x14ac:dyDescent="0.25">
      <c r="B31" s="304"/>
      <c r="C31" s="282"/>
      <c r="D31" s="323"/>
      <c r="E31" s="323"/>
      <c r="F31" s="323"/>
      <c r="G31" s="324"/>
      <c r="H31" s="323"/>
      <c r="I31" s="324"/>
      <c r="J31" s="324"/>
      <c r="K31" s="324"/>
      <c r="L31" s="324"/>
      <c r="M31" s="323"/>
      <c r="N31" s="326"/>
      <c r="O31" s="325"/>
      <c r="P31" s="325"/>
      <c r="Q31" s="288"/>
      <c r="T31" s="203"/>
      <c r="U31" s="203"/>
      <c r="V31" s="203"/>
      <c r="X31" s="163"/>
      <c r="Y31" s="163"/>
      <c r="Z31" s="163"/>
      <c r="AA31" s="163"/>
      <c r="AB31" s="163"/>
      <c r="AC31" s="163"/>
    </row>
    <row r="32" spans="1:29" ht="15" customHeight="1" x14ac:dyDescent="0.2">
      <c r="B32" s="1520" t="s">
        <v>137</v>
      </c>
      <c r="C32" s="1532">
        <f>(C30/C29)-1</f>
        <v>9.3638996381114392E-2</v>
      </c>
      <c r="D32" s="1533">
        <f>(D30/D29)-1</f>
        <v>0.10715543935769789</v>
      </c>
      <c r="E32" s="1534"/>
      <c r="F32" s="1534"/>
      <c r="G32" s="1535">
        <f>(G30/G29)-1</f>
        <v>5.8740942543973329E-3</v>
      </c>
      <c r="H32" s="1532">
        <f>(H30/H29)-1</f>
        <v>0.10535413001085936</v>
      </c>
      <c r="I32" s="1533">
        <f>(I30/I29)-1</f>
        <v>0.10773688860757846</v>
      </c>
      <c r="J32" s="1534"/>
      <c r="K32" s="1534"/>
      <c r="L32" s="1535">
        <f>(L30/L29)-1</f>
        <v>3.1546452150785775E-3</v>
      </c>
      <c r="M32" s="1532">
        <f>(M30/M29)-1</f>
        <v>1.5670667247061676E-2</v>
      </c>
      <c r="N32" s="1533">
        <f>(N30/N29)-1</f>
        <v>7.8064628049645979E-2</v>
      </c>
      <c r="O32" s="1536"/>
      <c r="P32" s="1536"/>
      <c r="Q32" s="1535">
        <f>(Q30/Q29)-1</f>
        <v>6.3480643195112929E-3</v>
      </c>
      <c r="T32" s="203"/>
      <c r="U32" s="203"/>
      <c r="V32" s="203"/>
      <c r="X32" s="163"/>
      <c r="Y32" s="331"/>
      <c r="Z32" s="332"/>
      <c r="AA32" s="332"/>
      <c r="AB32" s="332"/>
      <c r="AC32" s="163"/>
    </row>
    <row r="33" spans="2:29" s="162" customFormat="1" ht="15" customHeight="1" x14ac:dyDescent="0.2">
      <c r="B33" s="310" t="s">
        <v>138</v>
      </c>
      <c r="C33" s="333">
        <f>((C30/C25)^(1/5))-1</f>
        <v>7.3031049189021369E-2</v>
      </c>
      <c r="D33" s="334">
        <f>((D30/D25)^(1/5))-1</f>
        <v>7.9518110164593647E-2</v>
      </c>
      <c r="E33" s="335"/>
      <c r="F33" s="335"/>
      <c r="G33" s="336">
        <f>((G30/G25)^(1/5))-1</f>
        <v>3.2521973102810353E-2</v>
      </c>
      <c r="H33" s="333">
        <f>((H30/H25)^(1/5))-1</f>
        <v>8.051750613633879E-2</v>
      </c>
      <c r="I33" s="334">
        <f>((I30/I25)^(1/5))-1</f>
        <v>8.1332858306390365E-2</v>
      </c>
      <c r="J33" s="335"/>
      <c r="K33" s="335"/>
      <c r="L33" s="336">
        <f>((L30/L25)^(1/5))-1</f>
        <v>4.5637203858133635E-2</v>
      </c>
      <c r="M33" s="333">
        <f>((M30/M25)^(1/5))-1</f>
        <v>2.6612451298471118E-2</v>
      </c>
      <c r="N33" s="334">
        <f>((N30/N25)^(1/5))-1</f>
        <v>5.0010958685644535E-3</v>
      </c>
      <c r="O33" s="335"/>
      <c r="P33" s="335"/>
      <c r="Q33" s="336">
        <f>((Q30/Q25)^(1/5))-1</f>
        <v>3.0341586764832451E-2</v>
      </c>
      <c r="T33" s="315"/>
      <c r="U33" s="315"/>
      <c r="V33" s="315"/>
      <c r="X33" s="337"/>
      <c r="Y33" s="338"/>
      <c r="Z33" s="338"/>
      <c r="AA33" s="338"/>
      <c r="AB33" s="338"/>
      <c r="AC33" s="337"/>
    </row>
    <row r="34" spans="2:29" ht="15" customHeight="1" x14ac:dyDescent="0.2">
      <c r="B34" s="1523" t="s">
        <v>144</v>
      </c>
      <c r="C34" s="1537">
        <f>(C30/C20)-1</f>
        <v>0.97590039786304605</v>
      </c>
      <c r="D34" s="1538">
        <f>(D30/D20)-1</f>
        <v>1.0695903659892583</v>
      </c>
      <c r="E34" s="1539"/>
      <c r="F34" s="1539"/>
      <c r="G34" s="1540">
        <f>(G30/G20)-1</f>
        <v>0.49288709491682892</v>
      </c>
      <c r="H34" s="1537">
        <f>(H30/H20)-1</f>
        <v>1.0620711631630311</v>
      </c>
      <c r="I34" s="1538">
        <f>(I30/I20)-1</f>
        <v>1.1025864587002525</v>
      </c>
      <c r="J34" s="1539"/>
      <c r="K34" s="1539"/>
      <c r="L34" s="1540">
        <f>(L30/L20)-1</f>
        <v>7.8124621606568079E-2</v>
      </c>
      <c r="M34" s="1537">
        <f>(M30/M20)-1</f>
        <v>0.51680287215325715</v>
      </c>
      <c r="N34" s="1538">
        <f>(N30/N20)-1</f>
        <v>0.14547038814073354</v>
      </c>
      <c r="O34" s="1539"/>
      <c r="P34" s="1539"/>
      <c r="Q34" s="1540">
        <f>(Q30/Q20)-1</f>
        <v>0.59981469896698369</v>
      </c>
      <c r="T34" s="203"/>
      <c r="U34" s="203"/>
      <c r="V34" s="203"/>
      <c r="X34" s="163"/>
      <c r="Y34" s="332"/>
      <c r="Z34" s="332"/>
      <c r="AA34" s="332"/>
      <c r="AB34" s="332"/>
      <c r="AC34" s="163"/>
    </row>
    <row r="35" spans="2:29" s="162" customFormat="1" ht="15" customHeight="1" thickBot="1" x14ac:dyDescent="0.25">
      <c r="B35" s="316" t="s">
        <v>140</v>
      </c>
      <c r="C35" s="339">
        <f>((C30/C20)^(1/10))-1</f>
        <v>7.0474940063833591E-2</v>
      </c>
      <c r="D35" s="340">
        <f>((D30/D20)^(1/10))-1</f>
        <v>7.5445581035016751E-2</v>
      </c>
      <c r="E35" s="341"/>
      <c r="F35" s="341"/>
      <c r="G35" s="342">
        <f>((G30/G20)^(1/10))-1</f>
        <v>4.0884871392673716E-2</v>
      </c>
      <c r="H35" s="339">
        <f>((H30/H20)^(1/10))-1</f>
        <v>7.5054211565914963E-2</v>
      </c>
      <c r="I35" s="340">
        <f>((I30/I20)^(1/10))-1</f>
        <v>7.7148017125028723E-2</v>
      </c>
      <c r="J35" s="343"/>
      <c r="K35" s="343"/>
      <c r="L35" s="344">
        <f>((L30/L20)^(1/10))-1</f>
        <v>7.5506706532557644E-3</v>
      </c>
      <c r="M35" s="339">
        <f>((M30/M20)^(1/10))-1</f>
        <v>4.2540449698146965E-2</v>
      </c>
      <c r="N35" s="340">
        <f>((N30/N20)^(1/10))-1</f>
        <v>1.3674185233426783E-2</v>
      </c>
      <c r="O35" s="343"/>
      <c r="P35" s="343"/>
      <c r="Q35" s="344">
        <f>((Q30/Q20)^(1/10))-1</f>
        <v>4.8110250201201854E-2</v>
      </c>
      <c r="X35" s="337"/>
      <c r="Y35" s="337"/>
      <c r="Z35" s="337"/>
      <c r="AA35" s="337"/>
      <c r="AB35" s="337"/>
      <c r="AC35" s="337"/>
    </row>
    <row r="36" spans="2:29" s="162" customFormat="1" ht="6" customHeight="1" x14ac:dyDescent="0.2">
      <c r="B36" s="345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X36" s="337"/>
      <c r="Y36" s="337"/>
      <c r="Z36" s="337"/>
      <c r="AA36" s="337"/>
      <c r="AB36" s="337"/>
      <c r="AC36" s="337"/>
    </row>
    <row r="37" spans="2:29" x14ac:dyDescent="0.2">
      <c r="B37" s="320" t="s">
        <v>321</v>
      </c>
      <c r="T37" s="157" t="s">
        <v>188</v>
      </c>
      <c r="X37" s="163"/>
      <c r="Y37" s="332"/>
      <c r="Z37" s="347"/>
      <c r="AA37" s="347"/>
      <c r="AB37" s="348"/>
      <c r="AC37" s="163"/>
    </row>
    <row r="38" spans="2:29" x14ac:dyDescent="0.2">
      <c r="B38" s="255" t="s">
        <v>197</v>
      </c>
      <c r="X38" s="163"/>
      <c r="Y38" s="332"/>
      <c r="Z38" s="347"/>
      <c r="AA38" s="347"/>
      <c r="AB38" s="348"/>
      <c r="AC38" s="163"/>
    </row>
    <row r="39" spans="2:29" x14ac:dyDescent="0.2">
      <c r="B39" s="349"/>
      <c r="T39" s="157" t="s">
        <v>151</v>
      </c>
      <c r="U39" s="190" t="s">
        <v>193</v>
      </c>
      <c r="V39" s="190" t="s">
        <v>196</v>
      </c>
      <c r="X39" s="163"/>
      <c r="Y39" s="332"/>
      <c r="Z39" s="347"/>
      <c r="AA39" s="347"/>
      <c r="AB39" s="348"/>
      <c r="AC39" s="163"/>
    </row>
    <row r="40" spans="2:29" x14ac:dyDescent="0.2">
      <c r="S40" s="157">
        <v>1995</v>
      </c>
      <c r="T40" s="203">
        <f t="shared" ref="T40:U58" si="12">H10</f>
        <v>3185.7000000000003</v>
      </c>
      <c r="U40" s="203">
        <f t="shared" ref="U40:U45" si="13">J10+K10</f>
        <v>2838.6350000000002</v>
      </c>
      <c r="V40" s="203">
        <f t="shared" ref="V40:V58" si="14">L10</f>
        <v>347.06500000000005</v>
      </c>
      <c r="X40" s="163"/>
      <c r="Y40" s="332"/>
      <c r="Z40" s="347"/>
      <c r="AA40" s="347"/>
      <c r="AB40" s="348"/>
      <c r="AC40" s="163"/>
    </row>
    <row r="41" spans="2:29" x14ac:dyDescent="0.2">
      <c r="S41" s="157">
        <v>1996</v>
      </c>
      <c r="T41" s="203">
        <f t="shared" si="12"/>
        <v>3352.8809999999999</v>
      </c>
      <c r="U41" s="203">
        <f t="shared" si="13"/>
        <v>2972.7149999999997</v>
      </c>
      <c r="V41" s="203">
        <f t="shared" si="14"/>
        <v>380.166</v>
      </c>
      <c r="X41" s="163"/>
      <c r="Y41" s="163"/>
      <c r="Z41" s="163"/>
      <c r="AA41" s="163"/>
      <c r="AB41" s="163"/>
      <c r="AC41" s="163"/>
    </row>
    <row r="42" spans="2:29" x14ac:dyDescent="0.2">
      <c r="S42" s="157">
        <v>1997</v>
      </c>
      <c r="T42" s="203">
        <f t="shared" si="12"/>
        <v>4325.0209999999997</v>
      </c>
      <c r="U42" s="203">
        <f t="shared" si="13"/>
        <v>3953.7150000000001</v>
      </c>
      <c r="V42" s="203">
        <f t="shared" si="14"/>
        <v>371.30599999999993</v>
      </c>
      <c r="X42" s="163"/>
      <c r="Y42" s="163"/>
      <c r="Z42" s="163"/>
      <c r="AA42" s="163"/>
      <c r="AB42" s="163"/>
      <c r="AC42" s="163"/>
    </row>
    <row r="43" spans="2:29" x14ac:dyDescent="0.2">
      <c r="S43" s="157">
        <v>1998</v>
      </c>
      <c r="T43" s="203">
        <f t="shared" si="12"/>
        <v>4632.2779999999993</v>
      </c>
      <c r="U43" s="203">
        <f t="shared" si="13"/>
        <v>4226.2039999999997</v>
      </c>
      <c r="V43" s="203">
        <f t="shared" si="14"/>
        <v>406.07400000000001</v>
      </c>
    </row>
    <row r="44" spans="2:29" x14ac:dyDescent="0.2">
      <c r="S44" s="157">
        <v>1999</v>
      </c>
      <c r="T44" s="203">
        <f t="shared" si="12"/>
        <v>4828.2430000000004</v>
      </c>
      <c r="U44" s="203">
        <f t="shared" si="13"/>
        <v>4466.0550000000003</v>
      </c>
      <c r="V44" s="203">
        <f t="shared" si="14"/>
        <v>362.18799999999993</v>
      </c>
    </row>
    <row r="45" spans="2:29" x14ac:dyDescent="0.2">
      <c r="S45" s="157">
        <v>2000</v>
      </c>
      <c r="T45" s="203">
        <f t="shared" si="12"/>
        <v>5148.8510000000006</v>
      </c>
      <c r="U45" s="203">
        <f t="shared" si="13"/>
        <v>4789.9960000000001</v>
      </c>
      <c r="V45" s="203">
        <f t="shared" si="14"/>
        <v>358.85500000000002</v>
      </c>
    </row>
    <row r="46" spans="2:29" x14ac:dyDescent="0.2">
      <c r="S46" s="157">
        <v>2001</v>
      </c>
      <c r="T46" s="203">
        <f t="shared" si="12"/>
        <v>5050.8140000000003</v>
      </c>
      <c r="U46" s="203">
        <f t="shared" si="12"/>
        <v>4744.8370000000004</v>
      </c>
      <c r="V46" s="203">
        <f t="shared" si="14"/>
        <v>305.97699999999992</v>
      </c>
    </row>
    <row r="47" spans="2:29" x14ac:dyDescent="0.2">
      <c r="S47" s="216">
        <v>2002</v>
      </c>
      <c r="T47" s="203">
        <f t="shared" si="12"/>
        <v>5068.0510000000004</v>
      </c>
      <c r="U47" s="203">
        <f t="shared" si="12"/>
        <v>4841.7170000000006</v>
      </c>
      <c r="V47" s="203">
        <f t="shared" si="14"/>
        <v>226.33399999999995</v>
      </c>
    </row>
    <row r="48" spans="2:29" x14ac:dyDescent="0.2">
      <c r="S48" s="157">
        <v>2003</v>
      </c>
      <c r="T48" s="203">
        <f t="shared" si="12"/>
        <v>5095.1030000000001</v>
      </c>
      <c r="U48" s="203">
        <f t="shared" si="12"/>
        <v>4881.0070000000005</v>
      </c>
      <c r="V48" s="203">
        <f t="shared" si="14"/>
        <v>214.09599999999992</v>
      </c>
    </row>
    <row r="49" spans="2:22" x14ac:dyDescent="0.2">
      <c r="S49" s="157">
        <v>2004</v>
      </c>
      <c r="T49" s="203">
        <f t="shared" si="12"/>
        <v>5096.0216000000019</v>
      </c>
      <c r="U49" s="203">
        <f t="shared" si="12"/>
        <v>4898.7466000000022</v>
      </c>
      <c r="V49" s="203">
        <f t="shared" si="14"/>
        <v>197.27499999999989</v>
      </c>
    </row>
    <row r="50" spans="2:22" x14ac:dyDescent="0.2">
      <c r="S50" s="157">
        <v>2005</v>
      </c>
      <c r="T50" s="203">
        <f t="shared" si="12"/>
        <v>5220.6336000000001</v>
      </c>
      <c r="U50" s="203">
        <f t="shared" si="12"/>
        <v>5014.1686</v>
      </c>
      <c r="V50" s="203">
        <f t="shared" si="14"/>
        <v>206.46499999999986</v>
      </c>
    </row>
    <row r="51" spans="2:22" x14ac:dyDescent="0.2">
      <c r="S51" s="157">
        <v>2006</v>
      </c>
      <c r="T51" s="203">
        <f t="shared" si="12"/>
        <v>5625.1416000000008</v>
      </c>
      <c r="U51" s="203">
        <f t="shared" si="12"/>
        <v>5410.4616000000005</v>
      </c>
      <c r="V51" s="203">
        <f t="shared" si="14"/>
        <v>214.67999999999998</v>
      </c>
    </row>
    <row r="52" spans="2:22" x14ac:dyDescent="0.2">
      <c r="S52" s="216">
        <v>2007</v>
      </c>
      <c r="T52" s="203">
        <f t="shared" si="12"/>
        <v>5989.7251999999999</v>
      </c>
      <c r="U52" s="203">
        <f t="shared" si="12"/>
        <v>5769.2542000000003</v>
      </c>
      <c r="V52" s="203">
        <f t="shared" si="14"/>
        <v>220.47099999999983</v>
      </c>
    </row>
    <row r="53" spans="2:22" x14ac:dyDescent="0.2">
      <c r="S53" s="157">
        <v>2008</v>
      </c>
      <c r="T53" s="203">
        <f t="shared" si="12"/>
        <v>5996.9830000000029</v>
      </c>
      <c r="U53" s="203">
        <f t="shared" si="12"/>
        <v>5755.247000000003</v>
      </c>
      <c r="V53" s="203">
        <f t="shared" si="14"/>
        <v>241.73599999999988</v>
      </c>
    </row>
    <row r="54" spans="2:22" x14ac:dyDescent="0.2">
      <c r="S54" s="157">
        <v>2009</v>
      </c>
      <c r="T54" s="203">
        <f t="shared" si="12"/>
        <v>6723.5160000000014</v>
      </c>
      <c r="U54" s="203">
        <f t="shared" si="12"/>
        <v>6491.4780000000019</v>
      </c>
      <c r="V54" s="203">
        <f t="shared" si="14"/>
        <v>232.03799999999993</v>
      </c>
    </row>
    <row r="55" spans="2:22" x14ac:dyDescent="0.2">
      <c r="S55" s="157">
        <v>2010</v>
      </c>
      <c r="T55" s="203">
        <f t="shared" si="12"/>
        <v>7309.1659999999993</v>
      </c>
      <c r="U55" s="203">
        <f t="shared" si="12"/>
        <v>7131.0879999999997</v>
      </c>
      <c r="V55" s="203">
        <f t="shared" si="14"/>
        <v>178.07799999999995</v>
      </c>
    </row>
    <row r="56" spans="2:22" x14ac:dyDescent="0.2">
      <c r="S56" s="157">
        <v>2011</v>
      </c>
      <c r="T56" s="203">
        <f t="shared" si="12"/>
        <v>7314.2370000000001</v>
      </c>
      <c r="U56" s="203">
        <f t="shared" si="12"/>
        <v>7142.3890000000001</v>
      </c>
      <c r="V56" s="203">
        <f t="shared" si="14"/>
        <v>171.84800000000001</v>
      </c>
    </row>
    <row r="57" spans="2:22" x14ac:dyDescent="0.2">
      <c r="S57" s="157">
        <v>2012</v>
      </c>
      <c r="T57" s="203">
        <f t="shared" si="12"/>
        <v>8267.1709999999985</v>
      </c>
      <c r="U57" s="203">
        <f t="shared" si="12"/>
        <v>8096.2529999999979</v>
      </c>
      <c r="V57" s="203">
        <f t="shared" si="14"/>
        <v>170.91799999999998</v>
      </c>
    </row>
    <row r="58" spans="2:22" x14ac:dyDescent="0.2">
      <c r="S58" s="157">
        <v>2013</v>
      </c>
      <c r="T58" s="203">
        <f t="shared" si="12"/>
        <v>9634.6309999999994</v>
      </c>
      <c r="U58" s="203">
        <f t="shared" si="12"/>
        <v>9441.601999999999</v>
      </c>
      <c r="V58" s="203">
        <f t="shared" si="14"/>
        <v>193.02899999999994</v>
      </c>
    </row>
    <row r="59" spans="2:22" ht="226.5" x14ac:dyDescent="0.3">
      <c r="B59" s="1424" t="s">
        <v>316</v>
      </c>
      <c r="S59" s="157">
        <v>2014</v>
      </c>
      <c r="T59" s="203">
        <f>H29</f>
        <v>9739.2480000000014</v>
      </c>
      <c r="U59" s="203">
        <f>I29</f>
        <v>9517.353000000001</v>
      </c>
      <c r="V59" s="203">
        <f>L29</f>
        <v>221.89500000000007</v>
      </c>
    </row>
    <row r="60" spans="2:22" x14ac:dyDescent="0.2">
      <c r="S60" s="259" t="s">
        <v>136</v>
      </c>
      <c r="T60" s="203">
        <f>H30</f>
        <v>10765.318000000003</v>
      </c>
      <c r="U60" s="203">
        <f>I30</f>
        <v>10542.723000000004</v>
      </c>
      <c r="V60" s="203">
        <f>L30</f>
        <v>222.59499999999994</v>
      </c>
    </row>
    <row r="65" spans="19:22" x14ac:dyDescent="0.2">
      <c r="T65" s="157" t="s">
        <v>190</v>
      </c>
    </row>
    <row r="66" spans="19:22" x14ac:dyDescent="0.2">
      <c r="T66" s="157" t="s">
        <v>151</v>
      </c>
      <c r="U66" s="190" t="s">
        <v>193</v>
      </c>
      <c r="V66" s="190" t="s">
        <v>196</v>
      </c>
    </row>
    <row r="67" spans="19:22" x14ac:dyDescent="0.2">
      <c r="S67" s="157">
        <v>1995</v>
      </c>
      <c r="T67" s="203">
        <f t="shared" ref="T67:U80" si="15">M10</f>
        <v>1276</v>
      </c>
      <c r="U67" s="203">
        <f t="shared" ref="U67:U72" si="16">O10+P10</f>
        <v>610.09</v>
      </c>
      <c r="V67" s="203">
        <f t="shared" ref="V67:V80" si="17">Q10</f>
        <v>665.91</v>
      </c>
    </row>
    <row r="68" spans="19:22" x14ac:dyDescent="0.2">
      <c r="S68" s="157">
        <v>1996</v>
      </c>
      <c r="T68" s="203">
        <f t="shared" si="15"/>
        <v>1309.7239999999999</v>
      </c>
      <c r="U68" s="203">
        <f t="shared" si="16"/>
        <v>613.89</v>
      </c>
      <c r="V68" s="203">
        <f t="shared" si="17"/>
        <v>695.83399999999995</v>
      </c>
    </row>
    <row r="69" spans="19:22" x14ac:dyDescent="0.2">
      <c r="S69" s="157">
        <v>1997</v>
      </c>
      <c r="T69" s="203">
        <f t="shared" si="15"/>
        <v>867.47699999999986</v>
      </c>
      <c r="U69" s="203">
        <f t="shared" si="16"/>
        <v>243.416</v>
      </c>
      <c r="V69" s="203">
        <f t="shared" si="17"/>
        <v>624.06099999999992</v>
      </c>
    </row>
    <row r="70" spans="19:22" x14ac:dyDescent="0.2">
      <c r="S70" s="157">
        <v>1998</v>
      </c>
      <c r="T70" s="203">
        <f t="shared" si="15"/>
        <v>883.01200000000006</v>
      </c>
      <c r="U70" s="203">
        <f t="shared" si="16"/>
        <v>180.49599999999998</v>
      </c>
      <c r="V70" s="203">
        <f t="shared" si="17"/>
        <v>702.51600000000008</v>
      </c>
    </row>
    <row r="71" spans="19:22" x14ac:dyDescent="0.2">
      <c r="S71" s="157">
        <v>1999</v>
      </c>
      <c r="T71" s="203">
        <f t="shared" si="15"/>
        <v>914.18499999999995</v>
      </c>
      <c r="U71" s="203">
        <f t="shared" si="16"/>
        <v>133.91</v>
      </c>
      <c r="V71" s="203">
        <f t="shared" si="17"/>
        <v>780.27499999999998</v>
      </c>
    </row>
    <row r="72" spans="19:22" x14ac:dyDescent="0.2">
      <c r="S72" s="157">
        <v>2000</v>
      </c>
      <c r="T72" s="203">
        <f t="shared" si="15"/>
        <v>917.33800000000008</v>
      </c>
      <c r="U72" s="203">
        <f t="shared" si="16"/>
        <v>143.62</v>
      </c>
      <c r="V72" s="203">
        <f t="shared" si="17"/>
        <v>773.71800000000007</v>
      </c>
    </row>
    <row r="73" spans="19:22" x14ac:dyDescent="0.2">
      <c r="S73" s="157">
        <v>2001</v>
      </c>
      <c r="T73" s="203">
        <f t="shared" si="15"/>
        <v>855.87900000000002</v>
      </c>
      <c r="U73" s="203">
        <f t="shared" si="15"/>
        <v>134.809</v>
      </c>
      <c r="V73" s="203">
        <f t="shared" si="17"/>
        <v>721.07</v>
      </c>
    </row>
    <row r="74" spans="19:22" x14ac:dyDescent="0.2">
      <c r="S74" s="157">
        <v>2002</v>
      </c>
      <c r="T74" s="203">
        <f t="shared" si="15"/>
        <v>867.48199999999974</v>
      </c>
      <c r="U74" s="203">
        <f t="shared" si="15"/>
        <v>131.839</v>
      </c>
      <c r="V74" s="203">
        <f t="shared" si="17"/>
        <v>735.6429999999998</v>
      </c>
    </row>
    <row r="75" spans="19:22" x14ac:dyDescent="0.2">
      <c r="S75" s="157">
        <v>2003</v>
      </c>
      <c r="T75" s="203">
        <v>100</v>
      </c>
      <c r="U75" s="203">
        <f t="shared" si="15"/>
        <v>131.74900000000002</v>
      </c>
      <c r="V75" s="203">
        <f t="shared" si="17"/>
        <v>743.21100000000001</v>
      </c>
    </row>
    <row r="76" spans="19:22" x14ac:dyDescent="0.2">
      <c r="S76" s="157">
        <v>2004</v>
      </c>
      <c r="T76" s="203">
        <f t="shared" ref="T76:U87" si="18">M19</f>
        <v>920.29700000000003</v>
      </c>
      <c r="U76" s="203">
        <f t="shared" si="15"/>
        <v>161.499</v>
      </c>
      <c r="V76" s="203">
        <f t="shared" si="17"/>
        <v>758.798</v>
      </c>
    </row>
    <row r="77" spans="19:22" x14ac:dyDescent="0.2">
      <c r="S77" s="157">
        <v>2005</v>
      </c>
      <c r="T77" s="203">
        <f t="shared" si="18"/>
        <v>979.89199999999994</v>
      </c>
      <c r="U77" s="203">
        <f t="shared" si="15"/>
        <v>179.03300000000002</v>
      </c>
      <c r="V77" s="203">
        <f t="shared" si="17"/>
        <v>800.85899999999992</v>
      </c>
    </row>
    <row r="78" spans="19:22" x14ac:dyDescent="0.2">
      <c r="S78" s="157">
        <v>2006</v>
      </c>
      <c r="T78" s="203">
        <f t="shared" si="18"/>
        <v>1033.0019999999997</v>
      </c>
      <c r="U78" s="203">
        <f t="shared" si="15"/>
        <v>185.02</v>
      </c>
      <c r="V78" s="203">
        <f t="shared" si="17"/>
        <v>847.98199999999974</v>
      </c>
    </row>
    <row r="79" spans="19:22" x14ac:dyDescent="0.2">
      <c r="S79" s="216">
        <v>2007</v>
      </c>
      <c r="T79" s="203">
        <f t="shared" si="18"/>
        <v>1037.7919999999999</v>
      </c>
      <c r="U79" s="203">
        <f t="shared" si="15"/>
        <v>182.75000000000003</v>
      </c>
      <c r="V79" s="203">
        <f t="shared" si="17"/>
        <v>855.04199999999992</v>
      </c>
    </row>
    <row r="80" spans="19:22" x14ac:dyDescent="0.2">
      <c r="S80" s="157">
        <v>2008</v>
      </c>
      <c r="T80" s="203">
        <f t="shared" si="18"/>
        <v>1160.9520000000007</v>
      </c>
      <c r="U80" s="203">
        <f t="shared" si="15"/>
        <v>182.16</v>
      </c>
      <c r="V80" s="203">
        <f t="shared" si="17"/>
        <v>978.79200000000071</v>
      </c>
    </row>
    <row r="81" spans="2:22" x14ac:dyDescent="0.2">
      <c r="S81" s="157">
        <v>2009</v>
      </c>
      <c r="T81" s="203">
        <f t="shared" si="18"/>
        <v>1262.9800000000002</v>
      </c>
      <c r="U81" s="203">
        <v>300</v>
      </c>
      <c r="V81" s="203">
        <v>200</v>
      </c>
    </row>
    <row r="82" spans="2:22" x14ac:dyDescent="0.2">
      <c r="S82" s="157">
        <v>2010</v>
      </c>
      <c r="T82" s="203">
        <f t="shared" si="18"/>
        <v>1303.3909999999998</v>
      </c>
      <c r="U82" s="203">
        <f t="shared" si="18"/>
        <v>200.02500000000001</v>
      </c>
      <c r="V82" s="203">
        <f t="shared" ref="V82:V87" si="19">Q25</f>
        <v>1103.3659999999998</v>
      </c>
    </row>
    <row r="83" spans="2:22" x14ac:dyDescent="0.2">
      <c r="S83" s="157">
        <v>2011</v>
      </c>
      <c r="T83" s="203">
        <f t="shared" si="18"/>
        <v>1377.087</v>
      </c>
      <c r="U83" s="203">
        <f t="shared" si="18"/>
        <v>199.05100000000002</v>
      </c>
      <c r="V83" s="203">
        <f t="shared" si="19"/>
        <v>1178.0360000000001</v>
      </c>
    </row>
    <row r="84" spans="2:22" x14ac:dyDescent="0.2">
      <c r="S84" s="157">
        <v>2012</v>
      </c>
      <c r="T84" s="203">
        <f t="shared" si="18"/>
        <v>1431.9260000000006</v>
      </c>
      <c r="U84" s="203">
        <f t="shared" si="18"/>
        <v>195.82100000000005</v>
      </c>
      <c r="V84" s="203">
        <f t="shared" si="19"/>
        <v>1236.1050000000005</v>
      </c>
    </row>
    <row r="85" spans="2:22" x14ac:dyDescent="0.2">
      <c r="S85" s="157">
        <v>2013</v>
      </c>
      <c r="T85" s="203">
        <f t="shared" si="18"/>
        <v>1416.0879999999997</v>
      </c>
      <c r="U85" s="203">
        <f t="shared" si="18"/>
        <v>192.32100000000003</v>
      </c>
      <c r="V85" s="203">
        <f t="shared" si="19"/>
        <v>1223.7669999999998</v>
      </c>
    </row>
    <row r="86" spans="2:22" x14ac:dyDescent="0.2">
      <c r="S86" s="157">
        <v>2014</v>
      </c>
      <c r="T86" s="203">
        <f t="shared" si="18"/>
        <v>1463.3709999999996</v>
      </c>
      <c r="U86" s="203">
        <f t="shared" si="18"/>
        <v>190.22699999999998</v>
      </c>
      <c r="V86" s="203">
        <f t="shared" si="19"/>
        <v>1273.1439999999996</v>
      </c>
    </row>
    <row r="87" spans="2:22" x14ac:dyDescent="0.2">
      <c r="S87" s="259" t="s">
        <v>136</v>
      </c>
      <c r="T87" s="203">
        <f t="shared" si="18"/>
        <v>1486.3029999999994</v>
      </c>
      <c r="U87" s="203">
        <f t="shared" si="18"/>
        <v>205.07699999999997</v>
      </c>
      <c r="V87" s="203">
        <f t="shared" si="19"/>
        <v>1281.2259999999994</v>
      </c>
    </row>
    <row r="96" spans="2:22" x14ac:dyDescent="0.2">
      <c r="B96" s="320" t="s">
        <v>321</v>
      </c>
    </row>
  </sheetData>
  <autoFilter ref="B2:B96"/>
  <printOptions horizontalCentered="1" verticalCentered="1"/>
  <pageMargins left="0.51181102362204722" right="0.39370078740157483" top="0.39370078740157483" bottom="0.31496062992125984" header="0" footer="0"/>
  <pageSetup paperSize="9" scale="5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Y90"/>
  <sheetViews>
    <sheetView view="pageBreakPreview" topLeftCell="A10" zoomScale="90" zoomScaleNormal="100" zoomScaleSheetLayoutView="90" workbookViewId="0">
      <selection activeCell="G48" sqref="G48"/>
    </sheetView>
  </sheetViews>
  <sheetFormatPr baseColWidth="10" defaultRowHeight="12.75" x14ac:dyDescent="0.2"/>
  <cols>
    <col min="1" max="1" width="5.7109375" style="157" customWidth="1"/>
    <col min="2" max="2" width="22.140625" style="157" customWidth="1"/>
    <col min="3" max="3" width="12.85546875" style="157" customWidth="1"/>
    <col min="4" max="4" width="15.28515625" style="157" customWidth="1"/>
    <col min="5" max="5" width="15.140625" style="157" customWidth="1"/>
    <col min="6" max="8" width="15.28515625" style="157" customWidth="1"/>
    <col min="9" max="10" width="13.5703125" style="157" customWidth="1"/>
    <col min="11" max="11" width="13.42578125" style="157" customWidth="1"/>
    <col min="12" max="12" width="13.5703125" style="157" customWidth="1"/>
    <col min="13" max="13" width="11.42578125" style="157"/>
    <col min="14" max="14" width="9.5703125" style="157" customWidth="1"/>
    <col min="15" max="15" width="8.140625" style="157" customWidth="1"/>
    <col min="16" max="17" width="11.42578125" style="157"/>
    <col min="18" max="18" width="13.42578125" style="157" bestFit="1" customWidth="1"/>
    <col min="19" max="20" width="15.140625" style="157" customWidth="1"/>
    <col min="21" max="22" width="12.28515625" style="157" customWidth="1"/>
    <col min="23" max="23" width="21.5703125" style="157" bestFit="1" customWidth="1"/>
    <col min="24" max="24" width="12.28515625" style="157" bestFit="1" customWidth="1"/>
    <col min="25" max="256" width="11.42578125" style="157"/>
    <col min="257" max="257" width="5.7109375" style="157" customWidth="1"/>
    <col min="258" max="258" width="22.140625" style="157" customWidth="1"/>
    <col min="259" max="259" width="12.85546875" style="157" customWidth="1"/>
    <col min="260" max="260" width="15.28515625" style="157" customWidth="1"/>
    <col min="261" max="261" width="15.140625" style="157" customWidth="1"/>
    <col min="262" max="264" width="15.28515625" style="157" customWidth="1"/>
    <col min="265" max="266" width="13.5703125" style="157" customWidth="1"/>
    <col min="267" max="267" width="13.42578125" style="157" customWidth="1"/>
    <col min="268" max="268" width="13.5703125" style="157" customWidth="1"/>
    <col min="269" max="269" width="11.42578125" style="157"/>
    <col min="270" max="270" width="9.5703125" style="157" customWidth="1"/>
    <col min="271" max="271" width="8.140625" style="157" customWidth="1"/>
    <col min="272" max="273" width="11.42578125" style="157"/>
    <col min="274" max="274" width="13.42578125" style="157" bestFit="1" customWidth="1"/>
    <col min="275" max="276" width="15.140625" style="157" customWidth="1"/>
    <col min="277" max="278" width="12.28515625" style="157" customWidth="1"/>
    <col min="279" max="279" width="21.5703125" style="157" bestFit="1" customWidth="1"/>
    <col min="280" max="280" width="12.28515625" style="157" bestFit="1" customWidth="1"/>
    <col min="281" max="512" width="11.42578125" style="157"/>
    <col min="513" max="513" width="5.7109375" style="157" customWidth="1"/>
    <col min="514" max="514" width="22.140625" style="157" customWidth="1"/>
    <col min="515" max="515" width="12.85546875" style="157" customWidth="1"/>
    <col min="516" max="516" width="15.28515625" style="157" customWidth="1"/>
    <col min="517" max="517" width="15.140625" style="157" customWidth="1"/>
    <col min="518" max="520" width="15.28515625" style="157" customWidth="1"/>
    <col min="521" max="522" width="13.5703125" style="157" customWidth="1"/>
    <col min="523" max="523" width="13.42578125" style="157" customWidth="1"/>
    <col min="524" max="524" width="13.5703125" style="157" customWidth="1"/>
    <col min="525" max="525" width="11.42578125" style="157"/>
    <col min="526" max="526" width="9.5703125" style="157" customWidth="1"/>
    <col min="527" max="527" width="8.140625" style="157" customWidth="1"/>
    <col min="528" max="529" width="11.42578125" style="157"/>
    <col min="530" max="530" width="13.42578125" style="157" bestFit="1" customWidth="1"/>
    <col min="531" max="532" width="15.140625" style="157" customWidth="1"/>
    <col min="533" max="534" width="12.28515625" style="157" customWidth="1"/>
    <col min="535" max="535" width="21.5703125" style="157" bestFit="1" customWidth="1"/>
    <col min="536" max="536" width="12.28515625" style="157" bestFit="1" customWidth="1"/>
    <col min="537" max="768" width="11.42578125" style="157"/>
    <col min="769" max="769" width="5.7109375" style="157" customWidth="1"/>
    <col min="770" max="770" width="22.140625" style="157" customWidth="1"/>
    <col min="771" max="771" width="12.85546875" style="157" customWidth="1"/>
    <col min="772" max="772" width="15.28515625" style="157" customWidth="1"/>
    <col min="773" max="773" width="15.140625" style="157" customWidth="1"/>
    <col min="774" max="776" width="15.28515625" style="157" customWidth="1"/>
    <col min="777" max="778" width="13.5703125" style="157" customWidth="1"/>
    <col min="779" max="779" width="13.42578125" style="157" customWidth="1"/>
    <col min="780" max="780" width="13.5703125" style="157" customWidth="1"/>
    <col min="781" max="781" width="11.42578125" style="157"/>
    <col min="782" max="782" width="9.5703125" style="157" customWidth="1"/>
    <col min="783" max="783" width="8.140625" style="157" customWidth="1"/>
    <col min="784" max="785" width="11.42578125" style="157"/>
    <col min="786" max="786" width="13.42578125" style="157" bestFit="1" customWidth="1"/>
    <col min="787" max="788" width="15.140625" style="157" customWidth="1"/>
    <col min="789" max="790" width="12.28515625" style="157" customWidth="1"/>
    <col min="791" max="791" width="21.5703125" style="157" bestFit="1" customWidth="1"/>
    <col min="792" max="792" width="12.28515625" style="157" bestFit="1" customWidth="1"/>
    <col min="793" max="1024" width="11.42578125" style="157"/>
    <col min="1025" max="1025" width="5.7109375" style="157" customWidth="1"/>
    <col min="1026" max="1026" width="22.140625" style="157" customWidth="1"/>
    <col min="1027" max="1027" width="12.85546875" style="157" customWidth="1"/>
    <col min="1028" max="1028" width="15.28515625" style="157" customWidth="1"/>
    <col min="1029" max="1029" width="15.140625" style="157" customWidth="1"/>
    <col min="1030" max="1032" width="15.28515625" style="157" customWidth="1"/>
    <col min="1033" max="1034" width="13.5703125" style="157" customWidth="1"/>
    <col min="1035" max="1035" width="13.42578125" style="157" customWidth="1"/>
    <col min="1036" max="1036" width="13.5703125" style="157" customWidth="1"/>
    <col min="1037" max="1037" width="11.42578125" style="157"/>
    <col min="1038" max="1038" width="9.5703125" style="157" customWidth="1"/>
    <col min="1039" max="1039" width="8.140625" style="157" customWidth="1"/>
    <col min="1040" max="1041" width="11.42578125" style="157"/>
    <col min="1042" max="1042" width="13.42578125" style="157" bestFit="1" customWidth="1"/>
    <col min="1043" max="1044" width="15.140625" style="157" customWidth="1"/>
    <col min="1045" max="1046" width="12.28515625" style="157" customWidth="1"/>
    <col min="1047" max="1047" width="21.5703125" style="157" bestFit="1" customWidth="1"/>
    <col min="1048" max="1048" width="12.28515625" style="157" bestFit="1" customWidth="1"/>
    <col min="1049" max="1280" width="11.42578125" style="157"/>
    <col min="1281" max="1281" width="5.7109375" style="157" customWidth="1"/>
    <col min="1282" max="1282" width="22.140625" style="157" customWidth="1"/>
    <col min="1283" max="1283" width="12.85546875" style="157" customWidth="1"/>
    <col min="1284" max="1284" width="15.28515625" style="157" customWidth="1"/>
    <col min="1285" max="1285" width="15.140625" style="157" customWidth="1"/>
    <col min="1286" max="1288" width="15.28515625" style="157" customWidth="1"/>
    <col min="1289" max="1290" width="13.5703125" style="157" customWidth="1"/>
    <col min="1291" max="1291" width="13.42578125" style="157" customWidth="1"/>
    <col min="1292" max="1292" width="13.5703125" style="157" customWidth="1"/>
    <col min="1293" max="1293" width="11.42578125" style="157"/>
    <col min="1294" max="1294" width="9.5703125" style="157" customWidth="1"/>
    <col min="1295" max="1295" width="8.140625" style="157" customWidth="1"/>
    <col min="1296" max="1297" width="11.42578125" style="157"/>
    <col min="1298" max="1298" width="13.42578125" style="157" bestFit="1" customWidth="1"/>
    <col min="1299" max="1300" width="15.140625" style="157" customWidth="1"/>
    <col min="1301" max="1302" width="12.28515625" style="157" customWidth="1"/>
    <col min="1303" max="1303" width="21.5703125" style="157" bestFit="1" customWidth="1"/>
    <col min="1304" max="1304" width="12.28515625" style="157" bestFit="1" customWidth="1"/>
    <col min="1305" max="1536" width="11.42578125" style="157"/>
    <col min="1537" max="1537" width="5.7109375" style="157" customWidth="1"/>
    <col min="1538" max="1538" width="22.140625" style="157" customWidth="1"/>
    <col min="1539" max="1539" width="12.85546875" style="157" customWidth="1"/>
    <col min="1540" max="1540" width="15.28515625" style="157" customWidth="1"/>
    <col min="1541" max="1541" width="15.140625" style="157" customWidth="1"/>
    <col min="1542" max="1544" width="15.28515625" style="157" customWidth="1"/>
    <col min="1545" max="1546" width="13.5703125" style="157" customWidth="1"/>
    <col min="1547" max="1547" width="13.42578125" style="157" customWidth="1"/>
    <col min="1548" max="1548" width="13.5703125" style="157" customWidth="1"/>
    <col min="1549" max="1549" width="11.42578125" style="157"/>
    <col min="1550" max="1550" width="9.5703125" style="157" customWidth="1"/>
    <col min="1551" max="1551" width="8.140625" style="157" customWidth="1"/>
    <col min="1552" max="1553" width="11.42578125" style="157"/>
    <col min="1554" max="1554" width="13.42578125" style="157" bestFit="1" customWidth="1"/>
    <col min="1555" max="1556" width="15.140625" style="157" customWidth="1"/>
    <col min="1557" max="1558" width="12.28515625" style="157" customWidth="1"/>
    <col min="1559" max="1559" width="21.5703125" style="157" bestFit="1" customWidth="1"/>
    <col min="1560" max="1560" width="12.28515625" style="157" bestFit="1" customWidth="1"/>
    <col min="1561" max="1792" width="11.42578125" style="157"/>
    <col min="1793" max="1793" width="5.7109375" style="157" customWidth="1"/>
    <col min="1794" max="1794" width="22.140625" style="157" customWidth="1"/>
    <col min="1795" max="1795" width="12.85546875" style="157" customWidth="1"/>
    <col min="1796" max="1796" width="15.28515625" style="157" customWidth="1"/>
    <col min="1797" max="1797" width="15.140625" style="157" customWidth="1"/>
    <col min="1798" max="1800" width="15.28515625" style="157" customWidth="1"/>
    <col min="1801" max="1802" width="13.5703125" style="157" customWidth="1"/>
    <col min="1803" max="1803" width="13.42578125" style="157" customWidth="1"/>
    <col min="1804" max="1804" width="13.5703125" style="157" customWidth="1"/>
    <col min="1805" max="1805" width="11.42578125" style="157"/>
    <col min="1806" max="1806" width="9.5703125" style="157" customWidth="1"/>
    <col min="1807" max="1807" width="8.140625" style="157" customWidth="1"/>
    <col min="1808" max="1809" width="11.42578125" style="157"/>
    <col min="1810" max="1810" width="13.42578125" style="157" bestFit="1" customWidth="1"/>
    <col min="1811" max="1812" width="15.140625" style="157" customWidth="1"/>
    <col min="1813" max="1814" width="12.28515625" style="157" customWidth="1"/>
    <col min="1815" max="1815" width="21.5703125" style="157" bestFit="1" customWidth="1"/>
    <col min="1816" max="1816" width="12.28515625" style="157" bestFit="1" customWidth="1"/>
    <col min="1817" max="2048" width="11.42578125" style="157"/>
    <col min="2049" max="2049" width="5.7109375" style="157" customWidth="1"/>
    <col min="2050" max="2050" width="22.140625" style="157" customWidth="1"/>
    <col min="2051" max="2051" width="12.85546875" style="157" customWidth="1"/>
    <col min="2052" max="2052" width="15.28515625" style="157" customWidth="1"/>
    <col min="2053" max="2053" width="15.140625" style="157" customWidth="1"/>
    <col min="2054" max="2056" width="15.28515625" style="157" customWidth="1"/>
    <col min="2057" max="2058" width="13.5703125" style="157" customWidth="1"/>
    <col min="2059" max="2059" width="13.42578125" style="157" customWidth="1"/>
    <col min="2060" max="2060" width="13.5703125" style="157" customWidth="1"/>
    <col min="2061" max="2061" width="11.42578125" style="157"/>
    <col min="2062" max="2062" width="9.5703125" style="157" customWidth="1"/>
    <col min="2063" max="2063" width="8.140625" style="157" customWidth="1"/>
    <col min="2064" max="2065" width="11.42578125" style="157"/>
    <col min="2066" max="2066" width="13.42578125" style="157" bestFit="1" customWidth="1"/>
    <col min="2067" max="2068" width="15.140625" style="157" customWidth="1"/>
    <col min="2069" max="2070" width="12.28515625" style="157" customWidth="1"/>
    <col min="2071" max="2071" width="21.5703125" style="157" bestFit="1" customWidth="1"/>
    <col min="2072" max="2072" width="12.28515625" style="157" bestFit="1" customWidth="1"/>
    <col min="2073" max="2304" width="11.42578125" style="157"/>
    <col min="2305" max="2305" width="5.7109375" style="157" customWidth="1"/>
    <col min="2306" max="2306" width="22.140625" style="157" customWidth="1"/>
    <col min="2307" max="2307" width="12.85546875" style="157" customWidth="1"/>
    <col min="2308" max="2308" width="15.28515625" style="157" customWidth="1"/>
    <col min="2309" max="2309" width="15.140625" style="157" customWidth="1"/>
    <col min="2310" max="2312" width="15.28515625" style="157" customWidth="1"/>
    <col min="2313" max="2314" width="13.5703125" style="157" customWidth="1"/>
    <col min="2315" max="2315" width="13.42578125" style="157" customWidth="1"/>
    <col min="2316" max="2316" width="13.5703125" style="157" customWidth="1"/>
    <col min="2317" max="2317" width="11.42578125" style="157"/>
    <col min="2318" max="2318" width="9.5703125" style="157" customWidth="1"/>
    <col min="2319" max="2319" width="8.140625" style="157" customWidth="1"/>
    <col min="2320" max="2321" width="11.42578125" style="157"/>
    <col min="2322" max="2322" width="13.42578125" style="157" bestFit="1" customWidth="1"/>
    <col min="2323" max="2324" width="15.140625" style="157" customWidth="1"/>
    <col min="2325" max="2326" width="12.28515625" style="157" customWidth="1"/>
    <col min="2327" max="2327" width="21.5703125" style="157" bestFit="1" customWidth="1"/>
    <col min="2328" max="2328" width="12.28515625" style="157" bestFit="1" customWidth="1"/>
    <col min="2329" max="2560" width="11.42578125" style="157"/>
    <col min="2561" max="2561" width="5.7109375" style="157" customWidth="1"/>
    <col min="2562" max="2562" width="22.140625" style="157" customWidth="1"/>
    <col min="2563" max="2563" width="12.85546875" style="157" customWidth="1"/>
    <col min="2564" max="2564" width="15.28515625" style="157" customWidth="1"/>
    <col min="2565" max="2565" width="15.140625" style="157" customWidth="1"/>
    <col min="2566" max="2568" width="15.28515625" style="157" customWidth="1"/>
    <col min="2569" max="2570" width="13.5703125" style="157" customWidth="1"/>
    <col min="2571" max="2571" width="13.42578125" style="157" customWidth="1"/>
    <col min="2572" max="2572" width="13.5703125" style="157" customWidth="1"/>
    <col min="2573" max="2573" width="11.42578125" style="157"/>
    <col min="2574" max="2574" width="9.5703125" style="157" customWidth="1"/>
    <col min="2575" max="2575" width="8.140625" style="157" customWidth="1"/>
    <col min="2576" max="2577" width="11.42578125" style="157"/>
    <col min="2578" max="2578" width="13.42578125" style="157" bestFit="1" customWidth="1"/>
    <col min="2579" max="2580" width="15.140625" style="157" customWidth="1"/>
    <col min="2581" max="2582" width="12.28515625" style="157" customWidth="1"/>
    <col min="2583" max="2583" width="21.5703125" style="157" bestFit="1" customWidth="1"/>
    <col min="2584" max="2584" width="12.28515625" style="157" bestFit="1" customWidth="1"/>
    <col min="2585" max="2816" width="11.42578125" style="157"/>
    <col min="2817" max="2817" width="5.7109375" style="157" customWidth="1"/>
    <col min="2818" max="2818" width="22.140625" style="157" customWidth="1"/>
    <col min="2819" max="2819" width="12.85546875" style="157" customWidth="1"/>
    <col min="2820" max="2820" width="15.28515625" style="157" customWidth="1"/>
    <col min="2821" max="2821" width="15.140625" style="157" customWidth="1"/>
    <col min="2822" max="2824" width="15.28515625" style="157" customWidth="1"/>
    <col min="2825" max="2826" width="13.5703125" style="157" customWidth="1"/>
    <col min="2827" max="2827" width="13.42578125" style="157" customWidth="1"/>
    <col min="2828" max="2828" width="13.5703125" style="157" customWidth="1"/>
    <col min="2829" max="2829" width="11.42578125" style="157"/>
    <col min="2830" max="2830" width="9.5703125" style="157" customWidth="1"/>
    <col min="2831" max="2831" width="8.140625" style="157" customWidth="1"/>
    <col min="2832" max="2833" width="11.42578125" style="157"/>
    <col min="2834" max="2834" width="13.42578125" style="157" bestFit="1" customWidth="1"/>
    <col min="2835" max="2836" width="15.140625" style="157" customWidth="1"/>
    <col min="2837" max="2838" width="12.28515625" style="157" customWidth="1"/>
    <col min="2839" max="2839" width="21.5703125" style="157" bestFit="1" customWidth="1"/>
    <col min="2840" max="2840" width="12.28515625" style="157" bestFit="1" customWidth="1"/>
    <col min="2841" max="3072" width="11.42578125" style="157"/>
    <col min="3073" max="3073" width="5.7109375" style="157" customWidth="1"/>
    <col min="3074" max="3074" width="22.140625" style="157" customWidth="1"/>
    <col min="3075" max="3075" width="12.85546875" style="157" customWidth="1"/>
    <col min="3076" max="3076" width="15.28515625" style="157" customWidth="1"/>
    <col min="3077" max="3077" width="15.140625" style="157" customWidth="1"/>
    <col min="3078" max="3080" width="15.28515625" style="157" customWidth="1"/>
    <col min="3081" max="3082" width="13.5703125" style="157" customWidth="1"/>
    <col min="3083" max="3083" width="13.42578125" style="157" customWidth="1"/>
    <col min="3084" max="3084" width="13.5703125" style="157" customWidth="1"/>
    <col min="3085" max="3085" width="11.42578125" style="157"/>
    <col min="3086" max="3086" width="9.5703125" style="157" customWidth="1"/>
    <col min="3087" max="3087" width="8.140625" style="157" customWidth="1"/>
    <col min="3088" max="3089" width="11.42578125" style="157"/>
    <col min="3090" max="3090" width="13.42578125" style="157" bestFit="1" customWidth="1"/>
    <col min="3091" max="3092" width="15.140625" style="157" customWidth="1"/>
    <col min="3093" max="3094" width="12.28515625" style="157" customWidth="1"/>
    <col min="3095" max="3095" width="21.5703125" style="157" bestFit="1" customWidth="1"/>
    <col min="3096" max="3096" width="12.28515625" style="157" bestFit="1" customWidth="1"/>
    <col min="3097" max="3328" width="11.42578125" style="157"/>
    <col min="3329" max="3329" width="5.7109375" style="157" customWidth="1"/>
    <col min="3330" max="3330" width="22.140625" style="157" customWidth="1"/>
    <col min="3331" max="3331" width="12.85546875" style="157" customWidth="1"/>
    <col min="3332" max="3332" width="15.28515625" style="157" customWidth="1"/>
    <col min="3333" max="3333" width="15.140625" style="157" customWidth="1"/>
    <col min="3334" max="3336" width="15.28515625" style="157" customWidth="1"/>
    <col min="3337" max="3338" width="13.5703125" style="157" customWidth="1"/>
    <col min="3339" max="3339" width="13.42578125" style="157" customWidth="1"/>
    <col min="3340" max="3340" width="13.5703125" style="157" customWidth="1"/>
    <col min="3341" max="3341" width="11.42578125" style="157"/>
    <col min="3342" max="3342" width="9.5703125" style="157" customWidth="1"/>
    <col min="3343" max="3343" width="8.140625" style="157" customWidth="1"/>
    <col min="3344" max="3345" width="11.42578125" style="157"/>
    <col min="3346" max="3346" width="13.42578125" style="157" bestFit="1" customWidth="1"/>
    <col min="3347" max="3348" width="15.140625" style="157" customWidth="1"/>
    <col min="3349" max="3350" width="12.28515625" style="157" customWidth="1"/>
    <col min="3351" max="3351" width="21.5703125" style="157" bestFit="1" customWidth="1"/>
    <col min="3352" max="3352" width="12.28515625" style="157" bestFit="1" customWidth="1"/>
    <col min="3353" max="3584" width="11.42578125" style="157"/>
    <col min="3585" max="3585" width="5.7109375" style="157" customWidth="1"/>
    <col min="3586" max="3586" width="22.140625" style="157" customWidth="1"/>
    <col min="3587" max="3587" width="12.85546875" style="157" customWidth="1"/>
    <col min="3588" max="3588" width="15.28515625" style="157" customWidth="1"/>
    <col min="3589" max="3589" width="15.140625" style="157" customWidth="1"/>
    <col min="3590" max="3592" width="15.28515625" style="157" customWidth="1"/>
    <col min="3593" max="3594" width="13.5703125" style="157" customWidth="1"/>
    <col min="3595" max="3595" width="13.42578125" style="157" customWidth="1"/>
    <col min="3596" max="3596" width="13.5703125" style="157" customWidth="1"/>
    <col min="3597" max="3597" width="11.42578125" style="157"/>
    <col min="3598" max="3598" width="9.5703125" style="157" customWidth="1"/>
    <col min="3599" max="3599" width="8.140625" style="157" customWidth="1"/>
    <col min="3600" max="3601" width="11.42578125" style="157"/>
    <col min="3602" max="3602" width="13.42578125" style="157" bestFit="1" customWidth="1"/>
    <col min="3603" max="3604" width="15.140625" style="157" customWidth="1"/>
    <col min="3605" max="3606" width="12.28515625" style="157" customWidth="1"/>
    <col min="3607" max="3607" width="21.5703125" style="157" bestFit="1" customWidth="1"/>
    <col min="3608" max="3608" width="12.28515625" style="157" bestFit="1" customWidth="1"/>
    <col min="3609" max="3840" width="11.42578125" style="157"/>
    <col min="3841" max="3841" width="5.7109375" style="157" customWidth="1"/>
    <col min="3842" max="3842" width="22.140625" style="157" customWidth="1"/>
    <col min="3843" max="3843" width="12.85546875" style="157" customWidth="1"/>
    <col min="3844" max="3844" width="15.28515625" style="157" customWidth="1"/>
    <col min="3845" max="3845" width="15.140625" style="157" customWidth="1"/>
    <col min="3846" max="3848" width="15.28515625" style="157" customWidth="1"/>
    <col min="3849" max="3850" width="13.5703125" style="157" customWidth="1"/>
    <col min="3851" max="3851" width="13.42578125" style="157" customWidth="1"/>
    <col min="3852" max="3852" width="13.5703125" style="157" customWidth="1"/>
    <col min="3853" max="3853" width="11.42578125" style="157"/>
    <col min="3854" max="3854" width="9.5703125" style="157" customWidth="1"/>
    <col min="3855" max="3855" width="8.140625" style="157" customWidth="1"/>
    <col min="3856" max="3857" width="11.42578125" style="157"/>
    <col min="3858" max="3858" width="13.42578125" style="157" bestFit="1" customWidth="1"/>
    <col min="3859" max="3860" width="15.140625" style="157" customWidth="1"/>
    <col min="3861" max="3862" width="12.28515625" style="157" customWidth="1"/>
    <col min="3863" max="3863" width="21.5703125" style="157" bestFit="1" customWidth="1"/>
    <col min="3864" max="3864" width="12.28515625" style="157" bestFit="1" customWidth="1"/>
    <col min="3865" max="4096" width="11.42578125" style="157"/>
    <col min="4097" max="4097" width="5.7109375" style="157" customWidth="1"/>
    <col min="4098" max="4098" width="22.140625" style="157" customWidth="1"/>
    <col min="4099" max="4099" width="12.85546875" style="157" customWidth="1"/>
    <col min="4100" max="4100" width="15.28515625" style="157" customWidth="1"/>
    <col min="4101" max="4101" width="15.140625" style="157" customWidth="1"/>
    <col min="4102" max="4104" width="15.28515625" style="157" customWidth="1"/>
    <col min="4105" max="4106" width="13.5703125" style="157" customWidth="1"/>
    <col min="4107" max="4107" width="13.42578125" style="157" customWidth="1"/>
    <col min="4108" max="4108" width="13.5703125" style="157" customWidth="1"/>
    <col min="4109" max="4109" width="11.42578125" style="157"/>
    <col min="4110" max="4110" width="9.5703125" style="157" customWidth="1"/>
    <col min="4111" max="4111" width="8.140625" style="157" customWidth="1"/>
    <col min="4112" max="4113" width="11.42578125" style="157"/>
    <col min="4114" max="4114" width="13.42578125" style="157" bestFit="1" customWidth="1"/>
    <col min="4115" max="4116" width="15.140625" style="157" customWidth="1"/>
    <col min="4117" max="4118" width="12.28515625" style="157" customWidth="1"/>
    <col min="4119" max="4119" width="21.5703125" style="157" bestFit="1" customWidth="1"/>
    <col min="4120" max="4120" width="12.28515625" style="157" bestFit="1" customWidth="1"/>
    <col min="4121" max="4352" width="11.42578125" style="157"/>
    <col min="4353" max="4353" width="5.7109375" style="157" customWidth="1"/>
    <col min="4354" max="4354" width="22.140625" style="157" customWidth="1"/>
    <col min="4355" max="4355" width="12.85546875" style="157" customWidth="1"/>
    <col min="4356" max="4356" width="15.28515625" style="157" customWidth="1"/>
    <col min="4357" max="4357" width="15.140625" style="157" customWidth="1"/>
    <col min="4358" max="4360" width="15.28515625" style="157" customWidth="1"/>
    <col min="4361" max="4362" width="13.5703125" style="157" customWidth="1"/>
    <col min="4363" max="4363" width="13.42578125" style="157" customWidth="1"/>
    <col min="4364" max="4364" width="13.5703125" style="157" customWidth="1"/>
    <col min="4365" max="4365" width="11.42578125" style="157"/>
    <col min="4366" max="4366" width="9.5703125" style="157" customWidth="1"/>
    <col min="4367" max="4367" width="8.140625" style="157" customWidth="1"/>
    <col min="4368" max="4369" width="11.42578125" style="157"/>
    <col min="4370" max="4370" width="13.42578125" style="157" bestFit="1" customWidth="1"/>
    <col min="4371" max="4372" width="15.140625" style="157" customWidth="1"/>
    <col min="4373" max="4374" width="12.28515625" style="157" customWidth="1"/>
    <col min="4375" max="4375" width="21.5703125" style="157" bestFit="1" customWidth="1"/>
    <col min="4376" max="4376" width="12.28515625" style="157" bestFit="1" customWidth="1"/>
    <col min="4377" max="4608" width="11.42578125" style="157"/>
    <col min="4609" max="4609" width="5.7109375" style="157" customWidth="1"/>
    <col min="4610" max="4610" width="22.140625" style="157" customWidth="1"/>
    <col min="4611" max="4611" width="12.85546875" style="157" customWidth="1"/>
    <col min="4612" max="4612" width="15.28515625" style="157" customWidth="1"/>
    <col min="4613" max="4613" width="15.140625" style="157" customWidth="1"/>
    <col min="4614" max="4616" width="15.28515625" style="157" customWidth="1"/>
    <col min="4617" max="4618" width="13.5703125" style="157" customWidth="1"/>
    <col min="4619" max="4619" width="13.42578125" style="157" customWidth="1"/>
    <col min="4620" max="4620" width="13.5703125" style="157" customWidth="1"/>
    <col min="4621" max="4621" width="11.42578125" style="157"/>
    <col min="4622" max="4622" width="9.5703125" style="157" customWidth="1"/>
    <col min="4623" max="4623" width="8.140625" style="157" customWidth="1"/>
    <col min="4624" max="4625" width="11.42578125" style="157"/>
    <col min="4626" max="4626" width="13.42578125" style="157" bestFit="1" customWidth="1"/>
    <col min="4627" max="4628" width="15.140625" style="157" customWidth="1"/>
    <col min="4629" max="4630" width="12.28515625" style="157" customWidth="1"/>
    <col min="4631" max="4631" width="21.5703125" style="157" bestFit="1" customWidth="1"/>
    <col min="4632" max="4632" width="12.28515625" style="157" bestFit="1" customWidth="1"/>
    <col min="4633" max="4864" width="11.42578125" style="157"/>
    <col min="4865" max="4865" width="5.7109375" style="157" customWidth="1"/>
    <col min="4866" max="4866" width="22.140625" style="157" customWidth="1"/>
    <col min="4867" max="4867" width="12.85546875" style="157" customWidth="1"/>
    <col min="4868" max="4868" width="15.28515625" style="157" customWidth="1"/>
    <col min="4869" max="4869" width="15.140625" style="157" customWidth="1"/>
    <col min="4870" max="4872" width="15.28515625" style="157" customWidth="1"/>
    <col min="4873" max="4874" width="13.5703125" style="157" customWidth="1"/>
    <col min="4875" max="4875" width="13.42578125" style="157" customWidth="1"/>
    <col min="4876" max="4876" width="13.5703125" style="157" customWidth="1"/>
    <col min="4877" max="4877" width="11.42578125" style="157"/>
    <col min="4878" max="4878" width="9.5703125" style="157" customWidth="1"/>
    <col min="4879" max="4879" width="8.140625" style="157" customWidth="1"/>
    <col min="4880" max="4881" width="11.42578125" style="157"/>
    <col min="4882" max="4882" width="13.42578125" style="157" bestFit="1" customWidth="1"/>
    <col min="4883" max="4884" width="15.140625" style="157" customWidth="1"/>
    <col min="4885" max="4886" width="12.28515625" style="157" customWidth="1"/>
    <col min="4887" max="4887" width="21.5703125" style="157" bestFit="1" customWidth="1"/>
    <col min="4888" max="4888" width="12.28515625" style="157" bestFit="1" customWidth="1"/>
    <col min="4889" max="5120" width="11.42578125" style="157"/>
    <col min="5121" max="5121" width="5.7109375" style="157" customWidth="1"/>
    <col min="5122" max="5122" width="22.140625" style="157" customWidth="1"/>
    <col min="5123" max="5123" width="12.85546875" style="157" customWidth="1"/>
    <col min="5124" max="5124" width="15.28515625" style="157" customWidth="1"/>
    <col min="5125" max="5125" width="15.140625" style="157" customWidth="1"/>
    <col min="5126" max="5128" width="15.28515625" style="157" customWidth="1"/>
    <col min="5129" max="5130" width="13.5703125" style="157" customWidth="1"/>
    <col min="5131" max="5131" width="13.42578125" style="157" customWidth="1"/>
    <col min="5132" max="5132" width="13.5703125" style="157" customWidth="1"/>
    <col min="5133" max="5133" width="11.42578125" style="157"/>
    <col min="5134" max="5134" width="9.5703125" style="157" customWidth="1"/>
    <col min="5135" max="5135" width="8.140625" style="157" customWidth="1"/>
    <col min="5136" max="5137" width="11.42578125" style="157"/>
    <col min="5138" max="5138" width="13.42578125" style="157" bestFit="1" customWidth="1"/>
    <col min="5139" max="5140" width="15.140625" style="157" customWidth="1"/>
    <col min="5141" max="5142" width="12.28515625" style="157" customWidth="1"/>
    <col min="5143" max="5143" width="21.5703125" style="157" bestFit="1" customWidth="1"/>
    <col min="5144" max="5144" width="12.28515625" style="157" bestFit="1" customWidth="1"/>
    <col min="5145" max="5376" width="11.42578125" style="157"/>
    <col min="5377" max="5377" width="5.7109375" style="157" customWidth="1"/>
    <col min="5378" max="5378" width="22.140625" style="157" customWidth="1"/>
    <col min="5379" max="5379" width="12.85546875" style="157" customWidth="1"/>
    <col min="5380" max="5380" width="15.28515625" style="157" customWidth="1"/>
    <col min="5381" max="5381" width="15.140625" style="157" customWidth="1"/>
    <col min="5382" max="5384" width="15.28515625" style="157" customWidth="1"/>
    <col min="5385" max="5386" width="13.5703125" style="157" customWidth="1"/>
    <col min="5387" max="5387" width="13.42578125" style="157" customWidth="1"/>
    <col min="5388" max="5388" width="13.5703125" style="157" customWidth="1"/>
    <col min="5389" max="5389" width="11.42578125" style="157"/>
    <col min="5390" max="5390" width="9.5703125" style="157" customWidth="1"/>
    <col min="5391" max="5391" width="8.140625" style="157" customWidth="1"/>
    <col min="5392" max="5393" width="11.42578125" style="157"/>
    <col min="5394" max="5394" width="13.42578125" style="157" bestFit="1" customWidth="1"/>
    <col min="5395" max="5396" width="15.140625" style="157" customWidth="1"/>
    <col min="5397" max="5398" width="12.28515625" style="157" customWidth="1"/>
    <col min="5399" max="5399" width="21.5703125" style="157" bestFit="1" customWidth="1"/>
    <col min="5400" max="5400" width="12.28515625" style="157" bestFit="1" customWidth="1"/>
    <col min="5401" max="5632" width="11.42578125" style="157"/>
    <col min="5633" max="5633" width="5.7109375" style="157" customWidth="1"/>
    <col min="5634" max="5634" width="22.140625" style="157" customWidth="1"/>
    <col min="5635" max="5635" width="12.85546875" style="157" customWidth="1"/>
    <col min="5636" max="5636" width="15.28515625" style="157" customWidth="1"/>
    <col min="5637" max="5637" width="15.140625" style="157" customWidth="1"/>
    <col min="5638" max="5640" width="15.28515625" style="157" customWidth="1"/>
    <col min="5641" max="5642" width="13.5703125" style="157" customWidth="1"/>
    <col min="5643" max="5643" width="13.42578125" style="157" customWidth="1"/>
    <col min="5644" max="5644" width="13.5703125" style="157" customWidth="1"/>
    <col min="5645" max="5645" width="11.42578125" style="157"/>
    <col min="5646" max="5646" width="9.5703125" style="157" customWidth="1"/>
    <col min="5647" max="5647" width="8.140625" style="157" customWidth="1"/>
    <col min="5648" max="5649" width="11.42578125" style="157"/>
    <col min="5650" max="5650" width="13.42578125" style="157" bestFit="1" customWidth="1"/>
    <col min="5651" max="5652" width="15.140625" style="157" customWidth="1"/>
    <col min="5653" max="5654" width="12.28515625" style="157" customWidth="1"/>
    <col min="5655" max="5655" width="21.5703125" style="157" bestFit="1" customWidth="1"/>
    <col min="5656" max="5656" width="12.28515625" style="157" bestFit="1" customWidth="1"/>
    <col min="5657" max="5888" width="11.42578125" style="157"/>
    <col min="5889" max="5889" width="5.7109375" style="157" customWidth="1"/>
    <col min="5890" max="5890" width="22.140625" style="157" customWidth="1"/>
    <col min="5891" max="5891" width="12.85546875" style="157" customWidth="1"/>
    <col min="5892" max="5892" width="15.28515625" style="157" customWidth="1"/>
    <col min="5893" max="5893" width="15.140625" style="157" customWidth="1"/>
    <col min="5894" max="5896" width="15.28515625" style="157" customWidth="1"/>
    <col min="5897" max="5898" width="13.5703125" style="157" customWidth="1"/>
    <col min="5899" max="5899" width="13.42578125" style="157" customWidth="1"/>
    <col min="5900" max="5900" width="13.5703125" style="157" customWidth="1"/>
    <col min="5901" max="5901" width="11.42578125" style="157"/>
    <col min="5902" max="5902" width="9.5703125" style="157" customWidth="1"/>
    <col min="5903" max="5903" width="8.140625" style="157" customWidth="1"/>
    <col min="5904" max="5905" width="11.42578125" style="157"/>
    <col min="5906" max="5906" width="13.42578125" style="157" bestFit="1" customWidth="1"/>
    <col min="5907" max="5908" width="15.140625" style="157" customWidth="1"/>
    <col min="5909" max="5910" width="12.28515625" style="157" customWidth="1"/>
    <col min="5911" max="5911" width="21.5703125" style="157" bestFit="1" customWidth="1"/>
    <col min="5912" max="5912" width="12.28515625" style="157" bestFit="1" customWidth="1"/>
    <col min="5913" max="6144" width="11.42578125" style="157"/>
    <col min="6145" max="6145" width="5.7109375" style="157" customWidth="1"/>
    <col min="6146" max="6146" width="22.140625" style="157" customWidth="1"/>
    <col min="6147" max="6147" width="12.85546875" style="157" customWidth="1"/>
    <col min="6148" max="6148" width="15.28515625" style="157" customWidth="1"/>
    <col min="6149" max="6149" width="15.140625" style="157" customWidth="1"/>
    <col min="6150" max="6152" width="15.28515625" style="157" customWidth="1"/>
    <col min="6153" max="6154" width="13.5703125" style="157" customWidth="1"/>
    <col min="6155" max="6155" width="13.42578125" style="157" customWidth="1"/>
    <col min="6156" max="6156" width="13.5703125" style="157" customWidth="1"/>
    <col min="6157" max="6157" width="11.42578125" style="157"/>
    <col min="6158" max="6158" width="9.5703125" style="157" customWidth="1"/>
    <col min="6159" max="6159" width="8.140625" style="157" customWidth="1"/>
    <col min="6160" max="6161" width="11.42578125" style="157"/>
    <col min="6162" max="6162" width="13.42578125" style="157" bestFit="1" customWidth="1"/>
    <col min="6163" max="6164" width="15.140625" style="157" customWidth="1"/>
    <col min="6165" max="6166" width="12.28515625" style="157" customWidth="1"/>
    <col min="6167" max="6167" width="21.5703125" style="157" bestFit="1" customWidth="1"/>
    <col min="6168" max="6168" width="12.28515625" style="157" bestFit="1" customWidth="1"/>
    <col min="6169" max="6400" width="11.42578125" style="157"/>
    <col min="6401" max="6401" width="5.7109375" style="157" customWidth="1"/>
    <col min="6402" max="6402" width="22.140625" style="157" customWidth="1"/>
    <col min="6403" max="6403" width="12.85546875" style="157" customWidth="1"/>
    <col min="6404" max="6404" width="15.28515625" style="157" customWidth="1"/>
    <col min="6405" max="6405" width="15.140625" style="157" customWidth="1"/>
    <col min="6406" max="6408" width="15.28515625" style="157" customWidth="1"/>
    <col min="6409" max="6410" width="13.5703125" style="157" customWidth="1"/>
    <col min="6411" max="6411" width="13.42578125" style="157" customWidth="1"/>
    <col min="6412" max="6412" width="13.5703125" style="157" customWidth="1"/>
    <col min="6413" max="6413" width="11.42578125" style="157"/>
    <col min="6414" max="6414" width="9.5703125" style="157" customWidth="1"/>
    <col min="6415" max="6415" width="8.140625" style="157" customWidth="1"/>
    <col min="6416" max="6417" width="11.42578125" style="157"/>
    <col min="6418" max="6418" width="13.42578125" style="157" bestFit="1" customWidth="1"/>
    <col min="6419" max="6420" width="15.140625" style="157" customWidth="1"/>
    <col min="6421" max="6422" width="12.28515625" style="157" customWidth="1"/>
    <col min="6423" max="6423" width="21.5703125" style="157" bestFit="1" customWidth="1"/>
    <col min="6424" max="6424" width="12.28515625" style="157" bestFit="1" customWidth="1"/>
    <col min="6425" max="6656" width="11.42578125" style="157"/>
    <col min="6657" max="6657" width="5.7109375" style="157" customWidth="1"/>
    <col min="6658" max="6658" width="22.140625" style="157" customWidth="1"/>
    <col min="6659" max="6659" width="12.85546875" style="157" customWidth="1"/>
    <col min="6660" max="6660" width="15.28515625" style="157" customWidth="1"/>
    <col min="6661" max="6661" width="15.140625" style="157" customWidth="1"/>
    <col min="6662" max="6664" width="15.28515625" style="157" customWidth="1"/>
    <col min="6665" max="6666" width="13.5703125" style="157" customWidth="1"/>
    <col min="6667" max="6667" width="13.42578125" style="157" customWidth="1"/>
    <col min="6668" max="6668" width="13.5703125" style="157" customWidth="1"/>
    <col min="6669" max="6669" width="11.42578125" style="157"/>
    <col min="6670" max="6670" width="9.5703125" style="157" customWidth="1"/>
    <col min="6671" max="6671" width="8.140625" style="157" customWidth="1"/>
    <col min="6672" max="6673" width="11.42578125" style="157"/>
    <col min="6674" max="6674" width="13.42578125" style="157" bestFit="1" customWidth="1"/>
    <col min="6675" max="6676" width="15.140625" style="157" customWidth="1"/>
    <col min="6677" max="6678" width="12.28515625" style="157" customWidth="1"/>
    <col min="6679" max="6679" width="21.5703125" style="157" bestFit="1" customWidth="1"/>
    <col min="6680" max="6680" width="12.28515625" style="157" bestFit="1" customWidth="1"/>
    <col min="6681" max="6912" width="11.42578125" style="157"/>
    <col min="6913" max="6913" width="5.7109375" style="157" customWidth="1"/>
    <col min="6914" max="6914" width="22.140625" style="157" customWidth="1"/>
    <col min="6915" max="6915" width="12.85546875" style="157" customWidth="1"/>
    <col min="6916" max="6916" width="15.28515625" style="157" customWidth="1"/>
    <col min="6917" max="6917" width="15.140625" style="157" customWidth="1"/>
    <col min="6918" max="6920" width="15.28515625" style="157" customWidth="1"/>
    <col min="6921" max="6922" width="13.5703125" style="157" customWidth="1"/>
    <col min="6923" max="6923" width="13.42578125" style="157" customWidth="1"/>
    <col min="6924" max="6924" width="13.5703125" style="157" customWidth="1"/>
    <col min="6925" max="6925" width="11.42578125" style="157"/>
    <col min="6926" max="6926" width="9.5703125" style="157" customWidth="1"/>
    <col min="6927" max="6927" width="8.140625" style="157" customWidth="1"/>
    <col min="6928" max="6929" width="11.42578125" style="157"/>
    <col min="6930" max="6930" width="13.42578125" style="157" bestFit="1" customWidth="1"/>
    <col min="6931" max="6932" width="15.140625" style="157" customWidth="1"/>
    <col min="6933" max="6934" width="12.28515625" style="157" customWidth="1"/>
    <col min="6935" max="6935" width="21.5703125" style="157" bestFit="1" customWidth="1"/>
    <col min="6936" max="6936" width="12.28515625" style="157" bestFit="1" customWidth="1"/>
    <col min="6937" max="7168" width="11.42578125" style="157"/>
    <col min="7169" max="7169" width="5.7109375" style="157" customWidth="1"/>
    <col min="7170" max="7170" width="22.140625" style="157" customWidth="1"/>
    <col min="7171" max="7171" width="12.85546875" style="157" customWidth="1"/>
    <col min="7172" max="7172" width="15.28515625" style="157" customWidth="1"/>
    <col min="7173" max="7173" width="15.140625" style="157" customWidth="1"/>
    <col min="7174" max="7176" width="15.28515625" style="157" customWidth="1"/>
    <col min="7177" max="7178" width="13.5703125" style="157" customWidth="1"/>
    <col min="7179" max="7179" width="13.42578125" style="157" customWidth="1"/>
    <col min="7180" max="7180" width="13.5703125" style="157" customWidth="1"/>
    <col min="7181" max="7181" width="11.42578125" style="157"/>
    <col min="7182" max="7182" width="9.5703125" style="157" customWidth="1"/>
    <col min="7183" max="7183" width="8.140625" style="157" customWidth="1"/>
    <col min="7184" max="7185" width="11.42578125" style="157"/>
    <col min="7186" max="7186" width="13.42578125" style="157" bestFit="1" customWidth="1"/>
    <col min="7187" max="7188" width="15.140625" style="157" customWidth="1"/>
    <col min="7189" max="7190" width="12.28515625" style="157" customWidth="1"/>
    <col min="7191" max="7191" width="21.5703125" style="157" bestFit="1" customWidth="1"/>
    <col min="7192" max="7192" width="12.28515625" style="157" bestFit="1" customWidth="1"/>
    <col min="7193" max="7424" width="11.42578125" style="157"/>
    <col min="7425" max="7425" width="5.7109375" style="157" customWidth="1"/>
    <col min="7426" max="7426" width="22.140625" style="157" customWidth="1"/>
    <col min="7427" max="7427" width="12.85546875" style="157" customWidth="1"/>
    <col min="7428" max="7428" width="15.28515625" style="157" customWidth="1"/>
    <col min="7429" max="7429" width="15.140625" style="157" customWidth="1"/>
    <col min="7430" max="7432" width="15.28515625" style="157" customWidth="1"/>
    <col min="7433" max="7434" width="13.5703125" style="157" customWidth="1"/>
    <col min="7435" max="7435" width="13.42578125" style="157" customWidth="1"/>
    <col min="7436" max="7436" width="13.5703125" style="157" customWidth="1"/>
    <col min="7437" max="7437" width="11.42578125" style="157"/>
    <col min="7438" max="7438" width="9.5703125" style="157" customWidth="1"/>
    <col min="7439" max="7439" width="8.140625" style="157" customWidth="1"/>
    <col min="7440" max="7441" width="11.42578125" style="157"/>
    <col min="7442" max="7442" width="13.42578125" style="157" bestFit="1" customWidth="1"/>
    <col min="7443" max="7444" width="15.140625" style="157" customWidth="1"/>
    <col min="7445" max="7446" width="12.28515625" style="157" customWidth="1"/>
    <col min="7447" max="7447" width="21.5703125" style="157" bestFit="1" customWidth="1"/>
    <col min="7448" max="7448" width="12.28515625" style="157" bestFit="1" customWidth="1"/>
    <col min="7449" max="7680" width="11.42578125" style="157"/>
    <col min="7681" max="7681" width="5.7109375" style="157" customWidth="1"/>
    <col min="7682" max="7682" width="22.140625" style="157" customWidth="1"/>
    <col min="7683" max="7683" width="12.85546875" style="157" customWidth="1"/>
    <col min="7684" max="7684" width="15.28515625" style="157" customWidth="1"/>
    <col min="7685" max="7685" width="15.140625" style="157" customWidth="1"/>
    <col min="7686" max="7688" width="15.28515625" style="157" customWidth="1"/>
    <col min="7689" max="7690" width="13.5703125" style="157" customWidth="1"/>
    <col min="7691" max="7691" width="13.42578125" style="157" customWidth="1"/>
    <col min="7692" max="7692" width="13.5703125" style="157" customWidth="1"/>
    <col min="7693" max="7693" width="11.42578125" style="157"/>
    <col min="7694" max="7694" width="9.5703125" style="157" customWidth="1"/>
    <col min="7695" max="7695" width="8.140625" style="157" customWidth="1"/>
    <col min="7696" max="7697" width="11.42578125" style="157"/>
    <col min="7698" max="7698" width="13.42578125" style="157" bestFit="1" customWidth="1"/>
    <col min="7699" max="7700" width="15.140625" style="157" customWidth="1"/>
    <col min="7701" max="7702" width="12.28515625" style="157" customWidth="1"/>
    <col min="7703" max="7703" width="21.5703125" style="157" bestFit="1" customWidth="1"/>
    <col min="7704" max="7704" width="12.28515625" style="157" bestFit="1" customWidth="1"/>
    <col min="7705" max="7936" width="11.42578125" style="157"/>
    <col min="7937" max="7937" width="5.7109375" style="157" customWidth="1"/>
    <col min="7938" max="7938" width="22.140625" style="157" customWidth="1"/>
    <col min="7939" max="7939" width="12.85546875" style="157" customWidth="1"/>
    <col min="7940" max="7940" width="15.28515625" style="157" customWidth="1"/>
    <col min="7941" max="7941" width="15.140625" style="157" customWidth="1"/>
    <col min="7942" max="7944" width="15.28515625" style="157" customWidth="1"/>
    <col min="7945" max="7946" width="13.5703125" style="157" customWidth="1"/>
    <col min="7947" max="7947" width="13.42578125" style="157" customWidth="1"/>
    <col min="7948" max="7948" width="13.5703125" style="157" customWidth="1"/>
    <col min="7949" max="7949" width="11.42578125" style="157"/>
    <col min="7950" max="7950" width="9.5703125" style="157" customWidth="1"/>
    <col min="7951" max="7951" width="8.140625" style="157" customWidth="1"/>
    <col min="7952" max="7953" width="11.42578125" style="157"/>
    <col min="7954" max="7954" width="13.42578125" style="157" bestFit="1" customWidth="1"/>
    <col min="7955" max="7956" width="15.140625" style="157" customWidth="1"/>
    <col min="7957" max="7958" width="12.28515625" style="157" customWidth="1"/>
    <col min="7959" max="7959" width="21.5703125" style="157" bestFit="1" customWidth="1"/>
    <col min="7960" max="7960" width="12.28515625" style="157" bestFit="1" customWidth="1"/>
    <col min="7961" max="8192" width="11.42578125" style="157"/>
    <col min="8193" max="8193" width="5.7109375" style="157" customWidth="1"/>
    <col min="8194" max="8194" width="22.140625" style="157" customWidth="1"/>
    <col min="8195" max="8195" width="12.85546875" style="157" customWidth="1"/>
    <col min="8196" max="8196" width="15.28515625" style="157" customWidth="1"/>
    <col min="8197" max="8197" width="15.140625" style="157" customWidth="1"/>
    <col min="8198" max="8200" width="15.28515625" style="157" customWidth="1"/>
    <col min="8201" max="8202" width="13.5703125" style="157" customWidth="1"/>
    <col min="8203" max="8203" width="13.42578125" style="157" customWidth="1"/>
    <col min="8204" max="8204" width="13.5703125" style="157" customWidth="1"/>
    <col min="8205" max="8205" width="11.42578125" style="157"/>
    <col min="8206" max="8206" width="9.5703125" style="157" customWidth="1"/>
    <col min="8207" max="8207" width="8.140625" style="157" customWidth="1"/>
    <col min="8208" max="8209" width="11.42578125" style="157"/>
    <col min="8210" max="8210" width="13.42578125" style="157" bestFit="1" customWidth="1"/>
    <col min="8211" max="8212" width="15.140625" style="157" customWidth="1"/>
    <col min="8213" max="8214" width="12.28515625" style="157" customWidth="1"/>
    <col min="8215" max="8215" width="21.5703125" style="157" bestFit="1" customWidth="1"/>
    <col min="8216" max="8216" width="12.28515625" style="157" bestFit="1" customWidth="1"/>
    <col min="8217" max="8448" width="11.42578125" style="157"/>
    <col min="8449" max="8449" width="5.7109375" style="157" customWidth="1"/>
    <col min="8450" max="8450" width="22.140625" style="157" customWidth="1"/>
    <col min="8451" max="8451" width="12.85546875" style="157" customWidth="1"/>
    <col min="8452" max="8452" width="15.28515625" style="157" customWidth="1"/>
    <col min="8453" max="8453" width="15.140625" style="157" customWidth="1"/>
    <col min="8454" max="8456" width="15.28515625" style="157" customWidth="1"/>
    <col min="8457" max="8458" width="13.5703125" style="157" customWidth="1"/>
    <col min="8459" max="8459" width="13.42578125" style="157" customWidth="1"/>
    <col min="8460" max="8460" width="13.5703125" style="157" customWidth="1"/>
    <col min="8461" max="8461" width="11.42578125" style="157"/>
    <col min="8462" max="8462" width="9.5703125" style="157" customWidth="1"/>
    <col min="8463" max="8463" width="8.140625" style="157" customWidth="1"/>
    <col min="8464" max="8465" width="11.42578125" style="157"/>
    <col min="8466" max="8466" width="13.42578125" style="157" bestFit="1" customWidth="1"/>
    <col min="8467" max="8468" width="15.140625" style="157" customWidth="1"/>
    <col min="8469" max="8470" width="12.28515625" style="157" customWidth="1"/>
    <col min="8471" max="8471" width="21.5703125" style="157" bestFit="1" customWidth="1"/>
    <col min="8472" max="8472" width="12.28515625" style="157" bestFit="1" customWidth="1"/>
    <col min="8473" max="8704" width="11.42578125" style="157"/>
    <col min="8705" max="8705" width="5.7109375" style="157" customWidth="1"/>
    <col min="8706" max="8706" width="22.140625" style="157" customWidth="1"/>
    <col min="8707" max="8707" width="12.85546875" style="157" customWidth="1"/>
    <col min="8708" max="8708" width="15.28515625" style="157" customWidth="1"/>
    <col min="8709" max="8709" width="15.140625" style="157" customWidth="1"/>
    <col min="8710" max="8712" width="15.28515625" style="157" customWidth="1"/>
    <col min="8713" max="8714" width="13.5703125" style="157" customWidth="1"/>
    <col min="8715" max="8715" width="13.42578125" style="157" customWidth="1"/>
    <col min="8716" max="8716" width="13.5703125" style="157" customWidth="1"/>
    <col min="8717" max="8717" width="11.42578125" style="157"/>
    <col min="8718" max="8718" width="9.5703125" style="157" customWidth="1"/>
    <col min="8719" max="8719" width="8.140625" style="157" customWidth="1"/>
    <col min="8720" max="8721" width="11.42578125" style="157"/>
    <col min="8722" max="8722" width="13.42578125" style="157" bestFit="1" customWidth="1"/>
    <col min="8723" max="8724" width="15.140625" style="157" customWidth="1"/>
    <col min="8725" max="8726" width="12.28515625" style="157" customWidth="1"/>
    <col min="8727" max="8727" width="21.5703125" style="157" bestFit="1" customWidth="1"/>
    <col min="8728" max="8728" width="12.28515625" style="157" bestFit="1" customWidth="1"/>
    <col min="8729" max="8960" width="11.42578125" style="157"/>
    <col min="8961" max="8961" width="5.7109375" style="157" customWidth="1"/>
    <col min="8962" max="8962" width="22.140625" style="157" customWidth="1"/>
    <col min="8963" max="8963" width="12.85546875" style="157" customWidth="1"/>
    <col min="8964" max="8964" width="15.28515625" style="157" customWidth="1"/>
    <col min="8965" max="8965" width="15.140625" style="157" customWidth="1"/>
    <col min="8966" max="8968" width="15.28515625" style="157" customWidth="1"/>
    <col min="8969" max="8970" width="13.5703125" style="157" customWidth="1"/>
    <col min="8971" max="8971" width="13.42578125" style="157" customWidth="1"/>
    <col min="8972" max="8972" width="13.5703125" style="157" customWidth="1"/>
    <col min="8973" max="8973" width="11.42578125" style="157"/>
    <col min="8974" max="8974" width="9.5703125" style="157" customWidth="1"/>
    <col min="8975" max="8975" width="8.140625" style="157" customWidth="1"/>
    <col min="8976" max="8977" width="11.42578125" style="157"/>
    <col min="8978" max="8978" width="13.42578125" style="157" bestFit="1" customWidth="1"/>
    <col min="8979" max="8980" width="15.140625" style="157" customWidth="1"/>
    <col min="8981" max="8982" width="12.28515625" style="157" customWidth="1"/>
    <col min="8983" max="8983" width="21.5703125" style="157" bestFit="1" customWidth="1"/>
    <col min="8984" max="8984" width="12.28515625" style="157" bestFit="1" customWidth="1"/>
    <col min="8985" max="9216" width="11.42578125" style="157"/>
    <col min="9217" max="9217" width="5.7109375" style="157" customWidth="1"/>
    <col min="9218" max="9218" width="22.140625" style="157" customWidth="1"/>
    <col min="9219" max="9219" width="12.85546875" style="157" customWidth="1"/>
    <col min="9220" max="9220" width="15.28515625" style="157" customWidth="1"/>
    <col min="9221" max="9221" width="15.140625" style="157" customWidth="1"/>
    <col min="9222" max="9224" width="15.28515625" style="157" customWidth="1"/>
    <col min="9225" max="9226" width="13.5703125" style="157" customWidth="1"/>
    <col min="9227" max="9227" width="13.42578125" style="157" customWidth="1"/>
    <col min="9228" max="9228" width="13.5703125" style="157" customWidth="1"/>
    <col min="9229" max="9229" width="11.42578125" style="157"/>
    <col min="9230" max="9230" width="9.5703125" style="157" customWidth="1"/>
    <col min="9231" max="9231" width="8.140625" style="157" customWidth="1"/>
    <col min="9232" max="9233" width="11.42578125" style="157"/>
    <col min="9234" max="9234" width="13.42578125" style="157" bestFit="1" customWidth="1"/>
    <col min="9235" max="9236" width="15.140625" style="157" customWidth="1"/>
    <col min="9237" max="9238" width="12.28515625" style="157" customWidth="1"/>
    <col min="9239" max="9239" width="21.5703125" style="157" bestFit="1" customWidth="1"/>
    <col min="9240" max="9240" width="12.28515625" style="157" bestFit="1" customWidth="1"/>
    <col min="9241" max="9472" width="11.42578125" style="157"/>
    <col min="9473" max="9473" width="5.7109375" style="157" customWidth="1"/>
    <col min="9474" max="9474" width="22.140625" style="157" customWidth="1"/>
    <col min="9475" max="9475" width="12.85546875" style="157" customWidth="1"/>
    <col min="9476" max="9476" width="15.28515625" style="157" customWidth="1"/>
    <col min="9477" max="9477" width="15.140625" style="157" customWidth="1"/>
    <col min="9478" max="9480" width="15.28515625" style="157" customWidth="1"/>
    <col min="9481" max="9482" width="13.5703125" style="157" customWidth="1"/>
    <col min="9483" max="9483" width="13.42578125" style="157" customWidth="1"/>
    <col min="9484" max="9484" width="13.5703125" style="157" customWidth="1"/>
    <col min="9485" max="9485" width="11.42578125" style="157"/>
    <col min="9486" max="9486" width="9.5703125" style="157" customWidth="1"/>
    <col min="9487" max="9487" width="8.140625" style="157" customWidth="1"/>
    <col min="9488" max="9489" width="11.42578125" style="157"/>
    <col min="9490" max="9490" width="13.42578125" style="157" bestFit="1" customWidth="1"/>
    <col min="9491" max="9492" width="15.140625" style="157" customWidth="1"/>
    <col min="9493" max="9494" width="12.28515625" style="157" customWidth="1"/>
    <col min="9495" max="9495" width="21.5703125" style="157" bestFit="1" customWidth="1"/>
    <col min="9496" max="9496" width="12.28515625" style="157" bestFit="1" customWidth="1"/>
    <col min="9497" max="9728" width="11.42578125" style="157"/>
    <col min="9729" max="9729" width="5.7109375" style="157" customWidth="1"/>
    <col min="9730" max="9730" width="22.140625" style="157" customWidth="1"/>
    <col min="9731" max="9731" width="12.85546875" style="157" customWidth="1"/>
    <col min="9732" max="9732" width="15.28515625" style="157" customWidth="1"/>
    <col min="9733" max="9733" width="15.140625" style="157" customWidth="1"/>
    <col min="9734" max="9736" width="15.28515625" style="157" customWidth="1"/>
    <col min="9737" max="9738" width="13.5703125" style="157" customWidth="1"/>
    <col min="9739" max="9739" width="13.42578125" style="157" customWidth="1"/>
    <col min="9740" max="9740" width="13.5703125" style="157" customWidth="1"/>
    <col min="9741" max="9741" width="11.42578125" style="157"/>
    <col min="9742" max="9742" width="9.5703125" style="157" customWidth="1"/>
    <col min="9743" max="9743" width="8.140625" style="157" customWidth="1"/>
    <col min="9744" max="9745" width="11.42578125" style="157"/>
    <col min="9746" max="9746" width="13.42578125" style="157" bestFit="1" customWidth="1"/>
    <col min="9747" max="9748" width="15.140625" style="157" customWidth="1"/>
    <col min="9749" max="9750" width="12.28515625" style="157" customWidth="1"/>
    <col min="9751" max="9751" width="21.5703125" style="157" bestFit="1" customWidth="1"/>
    <col min="9752" max="9752" width="12.28515625" style="157" bestFit="1" customWidth="1"/>
    <col min="9753" max="9984" width="11.42578125" style="157"/>
    <col min="9985" max="9985" width="5.7109375" style="157" customWidth="1"/>
    <col min="9986" max="9986" width="22.140625" style="157" customWidth="1"/>
    <col min="9987" max="9987" width="12.85546875" style="157" customWidth="1"/>
    <col min="9988" max="9988" width="15.28515625" style="157" customWidth="1"/>
    <col min="9989" max="9989" width="15.140625" style="157" customWidth="1"/>
    <col min="9990" max="9992" width="15.28515625" style="157" customWidth="1"/>
    <col min="9993" max="9994" width="13.5703125" style="157" customWidth="1"/>
    <col min="9995" max="9995" width="13.42578125" style="157" customWidth="1"/>
    <col min="9996" max="9996" width="13.5703125" style="157" customWidth="1"/>
    <col min="9997" max="9997" width="11.42578125" style="157"/>
    <col min="9998" max="9998" width="9.5703125" style="157" customWidth="1"/>
    <col min="9999" max="9999" width="8.140625" style="157" customWidth="1"/>
    <col min="10000" max="10001" width="11.42578125" style="157"/>
    <col min="10002" max="10002" width="13.42578125" style="157" bestFit="1" customWidth="1"/>
    <col min="10003" max="10004" width="15.140625" style="157" customWidth="1"/>
    <col min="10005" max="10006" width="12.28515625" style="157" customWidth="1"/>
    <col min="10007" max="10007" width="21.5703125" style="157" bestFit="1" customWidth="1"/>
    <col min="10008" max="10008" width="12.28515625" style="157" bestFit="1" customWidth="1"/>
    <col min="10009" max="10240" width="11.42578125" style="157"/>
    <col min="10241" max="10241" width="5.7109375" style="157" customWidth="1"/>
    <col min="10242" max="10242" width="22.140625" style="157" customWidth="1"/>
    <col min="10243" max="10243" width="12.85546875" style="157" customWidth="1"/>
    <col min="10244" max="10244" width="15.28515625" style="157" customWidth="1"/>
    <col min="10245" max="10245" width="15.140625" style="157" customWidth="1"/>
    <col min="10246" max="10248" width="15.28515625" style="157" customWidth="1"/>
    <col min="10249" max="10250" width="13.5703125" style="157" customWidth="1"/>
    <col min="10251" max="10251" width="13.42578125" style="157" customWidth="1"/>
    <col min="10252" max="10252" width="13.5703125" style="157" customWidth="1"/>
    <col min="10253" max="10253" width="11.42578125" style="157"/>
    <col min="10254" max="10254" width="9.5703125" style="157" customWidth="1"/>
    <col min="10255" max="10255" width="8.140625" style="157" customWidth="1"/>
    <col min="10256" max="10257" width="11.42578125" style="157"/>
    <col min="10258" max="10258" width="13.42578125" style="157" bestFit="1" customWidth="1"/>
    <col min="10259" max="10260" width="15.140625" style="157" customWidth="1"/>
    <col min="10261" max="10262" width="12.28515625" style="157" customWidth="1"/>
    <col min="10263" max="10263" width="21.5703125" style="157" bestFit="1" customWidth="1"/>
    <col min="10264" max="10264" width="12.28515625" style="157" bestFit="1" customWidth="1"/>
    <col min="10265" max="10496" width="11.42578125" style="157"/>
    <col min="10497" max="10497" width="5.7109375" style="157" customWidth="1"/>
    <col min="10498" max="10498" width="22.140625" style="157" customWidth="1"/>
    <col min="10499" max="10499" width="12.85546875" style="157" customWidth="1"/>
    <col min="10500" max="10500" width="15.28515625" style="157" customWidth="1"/>
    <col min="10501" max="10501" width="15.140625" style="157" customWidth="1"/>
    <col min="10502" max="10504" width="15.28515625" style="157" customWidth="1"/>
    <col min="10505" max="10506" width="13.5703125" style="157" customWidth="1"/>
    <col min="10507" max="10507" width="13.42578125" style="157" customWidth="1"/>
    <col min="10508" max="10508" width="13.5703125" style="157" customWidth="1"/>
    <col min="10509" max="10509" width="11.42578125" style="157"/>
    <col min="10510" max="10510" width="9.5703125" style="157" customWidth="1"/>
    <col min="10511" max="10511" width="8.140625" style="157" customWidth="1"/>
    <col min="10512" max="10513" width="11.42578125" style="157"/>
    <col min="10514" max="10514" width="13.42578125" style="157" bestFit="1" customWidth="1"/>
    <col min="10515" max="10516" width="15.140625" style="157" customWidth="1"/>
    <col min="10517" max="10518" width="12.28515625" style="157" customWidth="1"/>
    <col min="10519" max="10519" width="21.5703125" style="157" bestFit="1" customWidth="1"/>
    <col min="10520" max="10520" width="12.28515625" style="157" bestFit="1" customWidth="1"/>
    <col min="10521" max="10752" width="11.42578125" style="157"/>
    <col min="10753" max="10753" width="5.7109375" style="157" customWidth="1"/>
    <col min="10754" max="10754" width="22.140625" style="157" customWidth="1"/>
    <col min="10755" max="10755" width="12.85546875" style="157" customWidth="1"/>
    <col min="10756" max="10756" width="15.28515625" style="157" customWidth="1"/>
    <col min="10757" max="10757" width="15.140625" style="157" customWidth="1"/>
    <col min="10758" max="10760" width="15.28515625" style="157" customWidth="1"/>
    <col min="10761" max="10762" width="13.5703125" style="157" customWidth="1"/>
    <col min="10763" max="10763" width="13.42578125" style="157" customWidth="1"/>
    <col min="10764" max="10764" width="13.5703125" style="157" customWidth="1"/>
    <col min="10765" max="10765" width="11.42578125" style="157"/>
    <col min="10766" max="10766" width="9.5703125" style="157" customWidth="1"/>
    <col min="10767" max="10767" width="8.140625" style="157" customWidth="1"/>
    <col min="10768" max="10769" width="11.42578125" style="157"/>
    <col min="10770" max="10770" width="13.42578125" style="157" bestFit="1" customWidth="1"/>
    <col min="10771" max="10772" width="15.140625" style="157" customWidth="1"/>
    <col min="10773" max="10774" width="12.28515625" style="157" customWidth="1"/>
    <col min="10775" max="10775" width="21.5703125" style="157" bestFit="1" customWidth="1"/>
    <col min="10776" max="10776" width="12.28515625" style="157" bestFit="1" customWidth="1"/>
    <col min="10777" max="11008" width="11.42578125" style="157"/>
    <col min="11009" max="11009" width="5.7109375" style="157" customWidth="1"/>
    <col min="11010" max="11010" width="22.140625" style="157" customWidth="1"/>
    <col min="11011" max="11011" width="12.85546875" style="157" customWidth="1"/>
    <col min="11012" max="11012" width="15.28515625" style="157" customWidth="1"/>
    <col min="11013" max="11013" width="15.140625" style="157" customWidth="1"/>
    <col min="11014" max="11016" width="15.28515625" style="157" customWidth="1"/>
    <col min="11017" max="11018" width="13.5703125" style="157" customWidth="1"/>
    <col min="11019" max="11019" width="13.42578125" style="157" customWidth="1"/>
    <col min="11020" max="11020" width="13.5703125" style="157" customWidth="1"/>
    <col min="11021" max="11021" width="11.42578125" style="157"/>
    <col min="11022" max="11022" width="9.5703125" style="157" customWidth="1"/>
    <col min="11023" max="11023" width="8.140625" style="157" customWidth="1"/>
    <col min="11024" max="11025" width="11.42578125" style="157"/>
    <col min="11026" max="11026" width="13.42578125" style="157" bestFit="1" customWidth="1"/>
    <col min="11027" max="11028" width="15.140625" style="157" customWidth="1"/>
    <col min="11029" max="11030" width="12.28515625" style="157" customWidth="1"/>
    <col min="11031" max="11031" width="21.5703125" style="157" bestFit="1" customWidth="1"/>
    <col min="11032" max="11032" width="12.28515625" style="157" bestFit="1" customWidth="1"/>
    <col min="11033" max="11264" width="11.42578125" style="157"/>
    <col min="11265" max="11265" width="5.7109375" style="157" customWidth="1"/>
    <col min="11266" max="11266" width="22.140625" style="157" customWidth="1"/>
    <col min="11267" max="11267" width="12.85546875" style="157" customWidth="1"/>
    <col min="11268" max="11268" width="15.28515625" style="157" customWidth="1"/>
    <col min="11269" max="11269" width="15.140625" style="157" customWidth="1"/>
    <col min="11270" max="11272" width="15.28515625" style="157" customWidth="1"/>
    <col min="11273" max="11274" width="13.5703125" style="157" customWidth="1"/>
    <col min="11275" max="11275" width="13.42578125" style="157" customWidth="1"/>
    <col min="11276" max="11276" width="13.5703125" style="157" customWidth="1"/>
    <col min="11277" max="11277" width="11.42578125" style="157"/>
    <col min="11278" max="11278" width="9.5703125" style="157" customWidth="1"/>
    <col min="11279" max="11279" width="8.140625" style="157" customWidth="1"/>
    <col min="11280" max="11281" width="11.42578125" style="157"/>
    <col min="11282" max="11282" width="13.42578125" style="157" bestFit="1" customWidth="1"/>
    <col min="11283" max="11284" width="15.140625" style="157" customWidth="1"/>
    <col min="11285" max="11286" width="12.28515625" style="157" customWidth="1"/>
    <col min="11287" max="11287" width="21.5703125" style="157" bestFit="1" customWidth="1"/>
    <col min="11288" max="11288" width="12.28515625" style="157" bestFit="1" customWidth="1"/>
    <col min="11289" max="11520" width="11.42578125" style="157"/>
    <col min="11521" max="11521" width="5.7109375" style="157" customWidth="1"/>
    <col min="11522" max="11522" width="22.140625" style="157" customWidth="1"/>
    <col min="11523" max="11523" width="12.85546875" style="157" customWidth="1"/>
    <col min="11524" max="11524" width="15.28515625" style="157" customWidth="1"/>
    <col min="11525" max="11525" width="15.140625" style="157" customWidth="1"/>
    <col min="11526" max="11528" width="15.28515625" style="157" customWidth="1"/>
    <col min="11529" max="11530" width="13.5703125" style="157" customWidth="1"/>
    <col min="11531" max="11531" width="13.42578125" style="157" customWidth="1"/>
    <col min="11532" max="11532" width="13.5703125" style="157" customWidth="1"/>
    <col min="11533" max="11533" width="11.42578125" style="157"/>
    <col min="11534" max="11534" width="9.5703125" style="157" customWidth="1"/>
    <col min="11535" max="11535" width="8.140625" style="157" customWidth="1"/>
    <col min="11536" max="11537" width="11.42578125" style="157"/>
    <col min="11538" max="11538" width="13.42578125" style="157" bestFit="1" customWidth="1"/>
    <col min="11539" max="11540" width="15.140625" style="157" customWidth="1"/>
    <col min="11541" max="11542" width="12.28515625" style="157" customWidth="1"/>
    <col min="11543" max="11543" width="21.5703125" style="157" bestFit="1" customWidth="1"/>
    <col min="11544" max="11544" width="12.28515625" style="157" bestFit="1" customWidth="1"/>
    <col min="11545" max="11776" width="11.42578125" style="157"/>
    <col min="11777" max="11777" width="5.7109375" style="157" customWidth="1"/>
    <col min="11778" max="11778" width="22.140625" style="157" customWidth="1"/>
    <col min="11779" max="11779" width="12.85546875" style="157" customWidth="1"/>
    <col min="11780" max="11780" width="15.28515625" style="157" customWidth="1"/>
    <col min="11781" max="11781" width="15.140625" style="157" customWidth="1"/>
    <col min="11782" max="11784" width="15.28515625" style="157" customWidth="1"/>
    <col min="11785" max="11786" width="13.5703125" style="157" customWidth="1"/>
    <col min="11787" max="11787" width="13.42578125" style="157" customWidth="1"/>
    <col min="11788" max="11788" width="13.5703125" style="157" customWidth="1"/>
    <col min="11789" max="11789" width="11.42578125" style="157"/>
    <col min="11790" max="11790" width="9.5703125" style="157" customWidth="1"/>
    <col min="11791" max="11791" width="8.140625" style="157" customWidth="1"/>
    <col min="11792" max="11793" width="11.42578125" style="157"/>
    <col min="11794" max="11794" width="13.42578125" style="157" bestFit="1" customWidth="1"/>
    <col min="11795" max="11796" width="15.140625" style="157" customWidth="1"/>
    <col min="11797" max="11798" width="12.28515625" style="157" customWidth="1"/>
    <col min="11799" max="11799" width="21.5703125" style="157" bestFit="1" customWidth="1"/>
    <col min="11800" max="11800" width="12.28515625" style="157" bestFit="1" customWidth="1"/>
    <col min="11801" max="12032" width="11.42578125" style="157"/>
    <col min="12033" max="12033" width="5.7109375" style="157" customWidth="1"/>
    <col min="12034" max="12034" width="22.140625" style="157" customWidth="1"/>
    <col min="12035" max="12035" width="12.85546875" style="157" customWidth="1"/>
    <col min="12036" max="12036" width="15.28515625" style="157" customWidth="1"/>
    <col min="12037" max="12037" width="15.140625" style="157" customWidth="1"/>
    <col min="12038" max="12040" width="15.28515625" style="157" customWidth="1"/>
    <col min="12041" max="12042" width="13.5703125" style="157" customWidth="1"/>
    <col min="12043" max="12043" width="13.42578125" style="157" customWidth="1"/>
    <col min="12044" max="12044" width="13.5703125" style="157" customWidth="1"/>
    <col min="12045" max="12045" width="11.42578125" style="157"/>
    <col min="12046" max="12046" width="9.5703125" style="157" customWidth="1"/>
    <col min="12047" max="12047" width="8.140625" style="157" customWidth="1"/>
    <col min="12048" max="12049" width="11.42578125" style="157"/>
    <col min="12050" max="12050" width="13.42578125" style="157" bestFit="1" customWidth="1"/>
    <col min="12051" max="12052" width="15.140625" style="157" customWidth="1"/>
    <col min="12053" max="12054" width="12.28515625" style="157" customWidth="1"/>
    <col min="12055" max="12055" width="21.5703125" style="157" bestFit="1" customWidth="1"/>
    <col min="12056" max="12056" width="12.28515625" style="157" bestFit="1" customWidth="1"/>
    <col min="12057" max="12288" width="11.42578125" style="157"/>
    <col min="12289" max="12289" width="5.7109375" style="157" customWidth="1"/>
    <col min="12290" max="12290" width="22.140625" style="157" customWidth="1"/>
    <col min="12291" max="12291" width="12.85546875" style="157" customWidth="1"/>
    <col min="12292" max="12292" width="15.28515625" style="157" customWidth="1"/>
    <col min="12293" max="12293" width="15.140625" style="157" customWidth="1"/>
    <col min="12294" max="12296" width="15.28515625" style="157" customWidth="1"/>
    <col min="12297" max="12298" width="13.5703125" style="157" customWidth="1"/>
    <col min="12299" max="12299" width="13.42578125" style="157" customWidth="1"/>
    <col min="12300" max="12300" width="13.5703125" style="157" customWidth="1"/>
    <col min="12301" max="12301" width="11.42578125" style="157"/>
    <col min="12302" max="12302" width="9.5703125" style="157" customWidth="1"/>
    <col min="12303" max="12303" width="8.140625" style="157" customWidth="1"/>
    <col min="12304" max="12305" width="11.42578125" style="157"/>
    <col min="12306" max="12306" width="13.42578125" style="157" bestFit="1" customWidth="1"/>
    <col min="12307" max="12308" width="15.140625" style="157" customWidth="1"/>
    <col min="12309" max="12310" width="12.28515625" style="157" customWidth="1"/>
    <col min="12311" max="12311" width="21.5703125" style="157" bestFit="1" customWidth="1"/>
    <col min="12312" max="12312" width="12.28515625" style="157" bestFit="1" customWidth="1"/>
    <col min="12313" max="12544" width="11.42578125" style="157"/>
    <col min="12545" max="12545" width="5.7109375" style="157" customWidth="1"/>
    <col min="12546" max="12546" width="22.140625" style="157" customWidth="1"/>
    <col min="12547" max="12547" width="12.85546875" style="157" customWidth="1"/>
    <col min="12548" max="12548" width="15.28515625" style="157" customWidth="1"/>
    <col min="12549" max="12549" width="15.140625" style="157" customWidth="1"/>
    <col min="12550" max="12552" width="15.28515625" style="157" customWidth="1"/>
    <col min="12553" max="12554" width="13.5703125" style="157" customWidth="1"/>
    <col min="12555" max="12555" width="13.42578125" style="157" customWidth="1"/>
    <col min="12556" max="12556" width="13.5703125" style="157" customWidth="1"/>
    <col min="12557" max="12557" width="11.42578125" style="157"/>
    <col min="12558" max="12558" width="9.5703125" style="157" customWidth="1"/>
    <col min="12559" max="12559" width="8.140625" style="157" customWidth="1"/>
    <col min="12560" max="12561" width="11.42578125" style="157"/>
    <col min="12562" max="12562" width="13.42578125" style="157" bestFit="1" customWidth="1"/>
    <col min="12563" max="12564" width="15.140625" style="157" customWidth="1"/>
    <col min="12565" max="12566" width="12.28515625" style="157" customWidth="1"/>
    <col min="12567" max="12567" width="21.5703125" style="157" bestFit="1" customWidth="1"/>
    <col min="12568" max="12568" width="12.28515625" style="157" bestFit="1" customWidth="1"/>
    <col min="12569" max="12800" width="11.42578125" style="157"/>
    <col min="12801" max="12801" width="5.7109375" style="157" customWidth="1"/>
    <col min="12802" max="12802" width="22.140625" style="157" customWidth="1"/>
    <col min="12803" max="12803" width="12.85546875" style="157" customWidth="1"/>
    <col min="12804" max="12804" width="15.28515625" style="157" customWidth="1"/>
    <col min="12805" max="12805" width="15.140625" style="157" customWidth="1"/>
    <col min="12806" max="12808" width="15.28515625" style="157" customWidth="1"/>
    <col min="12809" max="12810" width="13.5703125" style="157" customWidth="1"/>
    <col min="12811" max="12811" width="13.42578125" style="157" customWidth="1"/>
    <col min="12812" max="12812" width="13.5703125" style="157" customWidth="1"/>
    <col min="12813" max="12813" width="11.42578125" style="157"/>
    <col min="12814" max="12814" width="9.5703125" style="157" customWidth="1"/>
    <col min="12815" max="12815" width="8.140625" style="157" customWidth="1"/>
    <col min="12816" max="12817" width="11.42578125" style="157"/>
    <col min="12818" max="12818" width="13.42578125" style="157" bestFit="1" customWidth="1"/>
    <col min="12819" max="12820" width="15.140625" style="157" customWidth="1"/>
    <col min="12821" max="12822" width="12.28515625" style="157" customWidth="1"/>
    <col min="12823" max="12823" width="21.5703125" style="157" bestFit="1" customWidth="1"/>
    <col min="12824" max="12824" width="12.28515625" style="157" bestFit="1" customWidth="1"/>
    <col min="12825" max="13056" width="11.42578125" style="157"/>
    <col min="13057" max="13057" width="5.7109375" style="157" customWidth="1"/>
    <col min="13058" max="13058" width="22.140625" style="157" customWidth="1"/>
    <col min="13059" max="13059" width="12.85546875" style="157" customWidth="1"/>
    <col min="13060" max="13060" width="15.28515625" style="157" customWidth="1"/>
    <col min="13061" max="13061" width="15.140625" style="157" customWidth="1"/>
    <col min="13062" max="13064" width="15.28515625" style="157" customWidth="1"/>
    <col min="13065" max="13066" width="13.5703125" style="157" customWidth="1"/>
    <col min="13067" max="13067" width="13.42578125" style="157" customWidth="1"/>
    <col min="13068" max="13068" width="13.5703125" style="157" customWidth="1"/>
    <col min="13069" max="13069" width="11.42578125" style="157"/>
    <col min="13070" max="13070" width="9.5703125" style="157" customWidth="1"/>
    <col min="13071" max="13071" width="8.140625" style="157" customWidth="1"/>
    <col min="13072" max="13073" width="11.42578125" style="157"/>
    <col min="13074" max="13074" width="13.42578125" style="157" bestFit="1" customWidth="1"/>
    <col min="13075" max="13076" width="15.140625" style="157" customWidth="1"/>
    <col min="13077" max="13078" width="12.28515625" style="157" customWidth="1"/>
    <col min="13079" max="13079" width="21.5703125" style="157" bestFit="1" customWidth="1"/>
    <col min="13080" max="13080" width="12.28515625" style="157" bestFit="1" customWidth="1"/>
    <col min="13081" max="13312" width="11.42578125" style="157"/>
    <col min="13313" max="13313" width="5.7109375" style="157" customWidth="1"/>
    <col min="13314" max="13314" width="22.140625" style="157" customWidth="1"/>
    <col min="13315" max="13315" width="12.85546875" style="157" customWidth="1"/>
    <col min="13316" max="13316" width="15.28515625" style="157" customWidth="1"/>
    <col min="13317" max="13317" width="15.140625" style="157" customWidth="1"/>
    <col min="13318" max="13320" width="15.28515625" style="157" customWidth="1"/>
    <col min="13321" max="13322" width="13.5703125" style="157" customWidth="1"/>
    <col min="13323" max="13323" width="13.42578125" style="157" customWidth="1"/>
    <col min="13324" max="13324" width="13.5703125" style="157" customWidth="1"/>
    <col min="13325" max="13325" width="11.42578125" style="157"/>
    <col min="13326" max="13326" width="9.5703125" style="157" customWidth="1"/>
    <col min="13327" max="13327" width="8.140625" style="157" customWidth="1"/>
    <col min="13328" max="13329" width="11.42578125" style="157"/>
    <col min="13330" max="13330" width="13.42578125" style="157" bestFit="1" customWidth="1"/>
    <col min="13331" max="13332" width="15.140625" style="157" customWidth="1"/>
    <col min="13333" max="13334" width="12.28515625" style="157" customWidth="1"/>
    <col min="13335" max="13335" width="21.5703125" style="157" bestFit="1" customWidth="1"/>
    <col min="13336" max="13336" width="12.28515625" style="157" bestFit="1" customWidth="1"/>
    <col min="13337" max="13568" width="11.42578125" style="157"/>
    <col min="13569" max="13569" width="5.7109375" style="157" customWidth="1"/>
    <col min="13570" max="13570" width="22.140625" style="157" customWidth="1"/>
    <col min="13571" max="13571" width="12.85546875" style="157" customWidth="1"/>
    <col min="13572" max="13572" width="15.28515625" style="157" customWidth="1"/>
    <col min="13573" max="13573" width="15.140625" style="157" customWidth="1"/>
    <col min="13574" max="13576" width="15.28515625" style="157" customWidth="1"/>
    <col min="13577" max="13578" width="13.5703125" style="157" customWidth="1"/>
    <col min="13579" max="13579" width="13.42578125" style="157" customWidth="1"/>
    <col min="13580" max="13580" width="13.5703125" style="157" customWidth="1"/>
    <col min="13581" max="13581" width="11.42578125" style="157"/>
    <col min="13582" max="13582" width="9.5703125" style="157" customWidth="1"/>
    <col min="13583" max="13583" width="8.140625" style="157" customWidth="1"/>
    <col min="13584" max="13585" width="11.42578125" style="157"/>
    <col min="13586" max="13586" width="13.42578125" style="157" bestFit="1" customWidth="1"/>
    <col min="13587" max="13588" width="15.140625" style="157" customWidth="1"/>
    <col min="13589" max="13590" width="12.28515625" style="157" customWidth="1"/>
    <col min="13591" max="13591" width="21.5703125" style="157" bestFit="1" customWidth="1"/>
    <col min="13592" max="13592" width="12.28515625" style="157" bestFit="1" customWidth="1"/>
    <col min="13593" max="13824" width="11.42578125" style="157"/>
    <col min="13825" max="13825" width="5.7109375" style="157" customWidth="1"/>
    <col min="13826" max="13826" width="22.140625" style="157" customWidth="1"/>
    <col min="13827" max="13827" width="12.85546875" style="157" customWidth="1"/>
    <col min="13828" max="13828" width="15.28515625" style="157" customWidth="1"/>
    <col min="13829" max="13829" width="15.140625" style="157" customWidth="1"/>
    <col min="13830" max="13832" width="15.28515625" style="157" customWidth="1"/>
    <col min="13833" max="13834" width="13.5703125" style="157" customWidth="1"/>
    <col min="13835" max="13835" width="13.42578125" style="157" customWidth="1"/>
    <col min="13836" max="13836" width="13.5703125" style="157" customWidth="1"/>
    <col min="13837" max="13837" width="11.42578125" style="157"/>
    <col min="13838" max="13838" width="9.5703125" style="157" customWidth="1"/>
    <col min="13839" max="13839" width="8.140625" style="157" customWidth="1"/>
    <col min="13840" max="13841" width="11.42578125" style="157"/>
    <col min="13842" max="13842" width="13.42578125" style="157" bestFit="1" customWidth="1"/>
    <col min="13843" max="13844" width="15.140625" style="157" customWidth="1"/>
    <col min="13845" max="13846" width="12.28515625" style="157" customWidth="1"/>
    <col min="13847" max="13847" width="21.5703125" style="157" bestFit="1" customWidth="1"/>
    <col min="13848" max="13848" width="12.28515625" style="157" bestFit="1" customWidth="1"/>
    <col min="13849" max="14080" width="11.42578125" style="157"/>
    <col min="14081" max="14081" width="5.7109375" style="157" customWidth="1"/>
    <col min="14082" max="14082" width="22.140625" style="157" customWidth="1"/>
    <col min="14083" max="14083" width="12.85546875" style="157" customWidth="1"/>
    <col min="14084" max="14084" width="15.28515625" style="157" customWidth="1"/>
    <col min="14085" max="14085" width="15.140625" style="157" customWidth="1"/>
    <col min="14086" max="14088" width="15.28515625" style="157" customWidth="1"/>
    <col min="14089" max="14090" width="13.5703125" style="157" customWidth="1"/>
    <col min="14091" max="14091" width="13.42578125" style="157" customWidth="1"/>
    <col min="14092" max="14092" width="13.5703125" style="157" customWidth="1"/>
    <col min="14093" max="14093" width="11.42578125" style="157"/>
    <col min="14094" max="14094" width="9.5703125" style="157" customWidth="1"/>
    <col min="14095" max="14095" width="8.140625" style="157" customWidth="1"/>
    <col min="14096" max="14097" width="11.42578125" style="157"/>
    <col min="14098" max="14098" width="13.42578125" style="157" bestFit="1" customWidth="1"/>
    <col min="14099" max="14100" width="15.140625" style="157" customWidth="1"/>
    <col min="14101" max="14102" width="12.28515625" style="157" customWidth="1"/>
    <col min="14103" max="14103" width="21.5703125" style="157" bestFit="1" customWidth="1"/>
    <col min="14104" max="14104" width="12.28515625" style="157" bestFit="1" customWidth="1"/>
    <col min="14105" max="14336" width="11.42578125" style="157"/>
    <col min="14337" max="14337" width="5.7109375" style="157" customWidth="1"/>
    <col min="14338" max="14338" width="22.140625" style="157" customWidth="1"/>
    <col min="14339" max="14339" width="12.85546875" style="157" customWidth="1"/>
    <col min="14340" max="14340" width="15.28515625" style="157" customWidth="1"/>
    <col min="14341" max="14341" width="15.140625" style="157" customWidth="1"/>
    <col min="14342" max="14344" width="15.28515625" style="157" customWidth="1"/>
    <col min="14345" max="14346" width="13.5703125" style="157" customWidth="1"/>
    <col min="14347" max="14347" width="13.42578125" style="157" customWidth="1"/>
    <col min="14348" max="14348" width="13.5703125" style="157" customWidth="1"/>
    <col min="14349" max="14349" width="11.42578125" style="157"/>
    <col min="14350" max="14350" width="9.5703125" style="157" customWidth="1"/>
    <col min="14351" max="14351" width="8.140625" style="157" customWidth="1"/>
    <col min="14352" max="14353" width="11.42578125" style="157"/>
    <col min="14354" max="14354" width="13.42578125" style="157" bestFit="1" customWidth="1"/>
    <col min="14355" max="14356" width="15.140625" style="157" customWidth="1"/>
    <col min="14357" max="14358" width="12.28515625" style="157" customWidth="1"/>
    <col min="14359" max="14359" width="21.5703125" style="157" bestFit="1" customWidth="1"/>
    <col min="14360" max="14360" width="12.28515625" style="157" bestFit="1" customWidth="1"/>
    <col min="14361" max="14592" width="11.42578125" style="157"/>
    <col min="14593" max="14593" width="5.7109375" style="157" customWidth="1"/>
    <col min="14594" max="14594" width="22.140625" style="157" customWidth="1"/>
    <col min="14595" max="14595" width="12.85546875" style="157" customWidth="1"/>
    <col min="14596" max="14596" width="15.28515625" style="157" customWidth="1"/>
    <col min="14597" max="14597" width="15.140625" style="157" customWidth="1"/>
    <col min="14598" max="14600" width="15.28515625" style="157" customWidth="1"/>
    <col min="14601" max="14602" width="13.5703125" style="157" customWidth="1"/>
    <col min="14603" max="14603" width="13.42578125" style="157" customWidth="1"/>
    <col min="14604" max="14604" width="13.5703125" style="157" customWidth="1"/>
    <col min="14605" max="14605" width="11.42578125" style="157"/>
    <col min="14606" max="14606" width="9.5703125" style="157" customWidth="1"/>
    <col min="14607" max="14607" width="8.140625" style="157" customWidth="1"/>
    <col min="14608" max="14609" width="11.42578125" style="157"/>
    <col min="14610" max="14610" width="13.42578125" style="157" bestFit="1" customWidth="1"/>
    <col min="14611" max="14612" width="15.140625" style="157" customWidth="1"/>
    <col min="14613" max="14614" width="12.28515625" style="157" customWidth="1"/>
    <col min="14615" max="14615" width="21.5703125" style="157" bestFit="1" customWidth="1"/>
    <col min="14616" max="14616" width="12.28515625" style="157" bestFit="1" customWidth="1"/>
    <col min="14617" max="14848" width="11.42578125" style="157"/>
    <col min="14849" max="14849" width="5.7109375" style="157" customWidth="1"/>
    <col min="14850" max="14850" width="22.140625" style="157" customWidth="1"/>
    <col min="14851" max="14851" width="12.85546875" style="157" customWidth="1"/>
    <col min="14852" max="14852" width="15.28515625" style="157" customWidth="1"/>
    <col min="14853" max="14853" width="15.140625" style="157" customWidth="1"/>
    <col min="14854" max="14856" width="15.28515625" style="157" customWidth="1"/>
    <col min="14857" max="14858" width="13.5703125" style="157" customWidth="1"/>
    <col min="14859" max="14859" width="13.42578125" style="157" customWidth="1"/>
    <col min="14860" max="14860" width="13.5703125" style="157" customWidth="1"/>
    <col min="14861" max="14861" width="11.42578125" style="157"/>
    <col min="14862" max="14862" width="9.5703125" style="157" customWidth="1"/>
    <col min="14863" max="14863" width="8.140625" style="157" customWidth="1"/>
    <col min="14864" max="14865" width="11.42578125" style="157"/>
    <col min="14866" max="14866" width="13.42578125" style="157" bestFit="1" customWidth="1"/>
    <col min="14867" max="14868" width="15.140625" style="157" customWidth="1"/>
    <col min="14869" max="14870" width="12.28515625" style="157" customWidth="1"/>
    <col min="14871" max="14871" width="21.5703125" style="157" bestFit="1" customWidth="1"/>
    <col min="14872" max="14872" width="12.28515625" style="157" bestFit="1" customWidth="1"/>
    <col min="14873" max="15104" width="11.42578125" style="157"/>
    <col min="15105" max="15105" width="5.7109375" style="157" customWidth="1"/>
    <col min="15106" max="15106" width="22.140625" style="157" customWidth="1"/>
    <col min="15107" max="15107" width="12.85546875" style="157" customWidth="1"/>
    <col min="15108" max="15108" width="15.28515625" style="157" customWidth="1"/>
    <col min="15109" max="15109" width="15.140625" style="157" customWidth="1"/>
    <col min="15110" max="15112" width="15.28515625" style="157" customWidth="1"/>
    <col min="15113" max="15114" width="13.5703125" style="157" customWidth="1"/>
    <col min="15115" max="15115" width="13.42578125" style="157" customWidth="1"/>
    <col min="15116" max="15116" width="13.5703125" style="157" customWidth="1"/>
    <col min="15117" max="15117" width="11.42578125" style="157"/>
    <col min="15118" max="15118" width="9.5703125" style="157" customWidth="1"/>
    <col min="15119" max="15119" width="8.140625" style="157" customWidth="1"/>
    <col min="15120" max="15121" width="11.42578125" style="157"/>
    <col min="15122" max="15122" width="13.42578125" style="157" bestFit="1" customWidth="1"/>
    <col min="15123" max="15124" width="15.140625" style="157" customWidth="1"/>
    <col min="15125" max="15126" width="12.28515625" style="157" customWidth="1"/>
    <col min="15127" max="15127" width="21.5703125" style="157" bestFit="1" customWidth="1"/>
    <col min="15128" max="15128" width="12.28515625" style="157" bestFit="1" customWidth="1"/>
    <col min="15129" max="15360" width="11.42578125" style="157"/>
    <col min="15361" max="15361" width="5.7109375" style="157" customWidth="1"/>
    <col min="15362" max="15362" width="22.140625" style="157" customWidth="1"/>
    <col min="15363" max="15363" width="12.85546875" style="157" customWidth="1"/>
    <col min="15364" max="15364" width="15.28515625" style="157" customWidth="1"/>
    <col min="15365" max="15365" width="15.140625" style="157" customWidth="1"/>
    <col min="15366" max="15368" width="15.28515625" style="157" customWidth="1"/>
    <col min="15369" max="15370" width="13.5703125" style="157" customWidth="1"/>
    <col min="15371" max="15371" width="13.42578125" style="157" customWidth="1"/>
    <col min="15372" max="15372" width="13.5703125" style="157" customWidth="1"/>
    <col min="15373" max="15373" width="11.42578125" style="157"/>
    <col min="15374" max="15374" width="9.5703125" style="157" customWidth="1"/>
    <col min="15375" max="15375" width="8.140625" style="157" customWidth="1"/>
    <col min="15376" max="15377" width="11.42578125" style="157"/>
    <col min="15378" max="15378" width="13.42578125" style="157" bestFit="1" customWidth="1"/>
    <col min="15379" max="15380" width="15.140625" style="157" customWidth="1"/>
    <col min="15381" max="15382" width="12.28515625" style="157" customWidth="1"/>
    <col min="15383" max="15383" width="21.5703125" style="157" bestFit="1" customWidth="1"/>
    <col min="15384" max="15384" width="12.28515625" style="157" bestFit="1" customWidth="1"/>
    <col min="15385" max="15616" width="11.42578125" style="157"/>
    <col min="15617" max="15617" width="5.7109375" style="157" customWidth="1"/>
    <col min="15618" max="15618" width="22.140625" style="157" customWidth="1"/>
    <col min="15619" max="15619" width="12.85546875" style="157" customWidth="1"/>
    <col min="15620" max="15620" width="15.28515625" style="157" customWidth="1"/>
    <col min="15621" max="15621" width="15.140625" style="157" customWidth="1"/>
    <col min="15622" max="15624" width="15.28515625" style="157" customWidth="1"/>
    <col min="15625" max="15626" width="13.5703125" style="157" customWidth="1"/>
    <col min="15627" max="15627" width="13.42578125" style="157" customWidth="1"/>
    <col min="15628" max="15628" width="13.5703125" style="157" customWidth="1"/>
    <col min="15629" max="15629" width="11.42578125" style="157"/>
    <col min="15630" max="15630" width="9.5703125" style="157" customWidth="1"/>
    <col min="15631" max="15631" width="8.140625" style="157" customWidth="1"/>
    <col min="15632" max="15633" width="11.42578125" style="157"/>
    <col min="15634" max="15634" width="13.42578125" style="157" bestFit="1" customWidth="1"/>
    <col min="15635" max="15636" width="15.140625" style="157" customWidth="1"/>
    <col min="15637" max="15638" width="12.28515625" style="157" customWidth="1"/>
    <col min="15639" max="15639" width="21.5703125" style="157" bestFit="1" customWidth="1"/>
    <col min="15640" max="15640" width="12.28515625" style="157" bestFit="1" customWidth="1"/>
    <col min="15641" max="15872" width="11.42578125" style="157"/>
    <col min="15873" max="15873" width="5.7109375" style="157" customWidth="1"/>
    <col min="15874" max="15874" width="22.140625" style="157" customWidth="1"/>
    <col min="15875" max="15875" width="12.85546875" style="157" customWidth="1"/>
    <col min="15876" max="15876" width="15.28515625" style="157" customWidth="1"/>
    <col min="15877" max="15877" width="15.140625" style="157" customWidth="1"/>
    <col min="15878" max="15880" width="15.28515625" style="157" customWidth="1"/>
    <col min="15881" max="15882" width="13.5703125" style="157" customWidth="1"/>
    <col min="15883" max="15883" width="13.42578125" style="157" customWidth="1"/>
    <col min="15884" max="15884" width="13.5703125" style="157" customWidth="1"/>
    <col min="15885" max="15885" width="11.42578125" style="157"/>
    <col min="15886" max="15886" width="9.5703125" style="157" customWidth="1"/>
    <col min="15887" max="15887" width="8.140625" style="157" customWidth="1"/>
    <col min="15888" max="15889" width="11.42578125" style="157"/>
    <col min="15890" max="15890" width="13.42578125" style="157" bestFit="1" customWidth="1"/>
    <col min="15891" max="15892" width="15.140625" style="157" customWidth="1"/>
    <col min="15893" max="15894" width="12.28515625" style="157" customWidth="1"/>
    <col min="15895" max="15895" width="21.5703125" style="157" bestFit="1" customWidth="1"/>
    <col min="15896" max="15896" width="12.28515625" style="157" bestFit="1" customWidth="1"/>
    <col min="15897" max="16128" width="11.42578125" style="157"/>
    <col min="16129" max="16129" width="5.7109375" style="157" customWidth="1"/>
    <col min="16130" max="16130" width="22.140625" style="157" customWidth="1"/>
    <col min="16131" max="16131" width="12.85546875" style="157" customWidth="1"/>
    <col min="16132" max="16132" width="15.28515625" style="157" customWidth="1"/>
    <col min="16133" max="16133" width="15.140625" style="157" customWidth="1"/>
    <col min="16134" max="16136" width="15.28515625" style="157" customWidth="1"/>
    <col min="16137" max="16138" width="13.5703125" style="157" customWidth="1"/>
    <col min="16139" max="16139" width="13.42578125" style="157" customWidth="1"/>
    <col min="16140" max="16140" width="13.5703125" style="157" customWidth="1"/>
    <col min="16141" max="16141" width="11.42578125" style="157"/>
    <col min="16142" max="16142" width="9.5703125" style="157" customWidth="1"/>
    <col min="16143" max="16143" width="8.140625" style="157" customWidth="1"/>
    <col min="16144" max="16145" width="11.42578125" style="157"/>
    <col min="16146" max="16146" width="13.42578125" style="157" bestFit="1" customWidth="1"/>
    <col min="16147" max="16148" width="15.140625" style="157" customWidth="1"/>
    <col min="16149" max="16150" width="12.28515625" style="157" customWidth="1"/>
    <col min="16151" max="16151" width="21.5703125" style="157" bestFit="1" customWidth="1"/>
    <col min="16152" max="16152" width="12.28515625" style="157" bestFit="1" customWidth="1"/>
    <col min="16153" max="16384" width="11.42578125" style="157"/>
  </cols>
  <sheetData>
    <row r="2" spans="2:19" ht="15.75" x14ac:dyDescent="0.25">
      <c r="B2" s="350" t="s">
        <v>198</v>
      </c>
    </row>
    <row r="3" spans="2:19" ht="15.75" x14ac:dyDescent="0.25">
      <c r="B3" s="350"/>
    </row>
    <row r="4" spans="2:19" ht="13.5" thickBot="1" x14ac:dyDescent="0.25">
      <c r="B4" s="349"/>
    </row>
    <row r="5" spans="2:19" ht="15.75" thickBot="1" x14ac:dyDescent="0.3">
      <c r="B5" s="351" t="s">
        <v>132</v>
      </c>
      <c r="C5" s="352" t="s">
        <v>199</v>
      </c>
      <c r="D5" s="1361" t="s">
        <v>200</v>
      </c>
      <c r="E5" s="1362"/>
      <c r="F5" s="1362"/>
      <c r="G5" s="1362"/>
      <c r="H5" s="1363"/>
      <c r="I5" s="1361" t="s">
        <v>201</v>
      </c>
      <c r="J5" s="1364"/>
      <c r="K5" s="1365"/>
      <c r="L5" s="1366" t="s">
        <v>202</v>
      </c>
      <c r="M5" s="1367"/>
      <c r="N5" s="1367"/>
      <c r="O5" s="1368"/>
    </row>
    <row r="6" spans="2:19" ht="13.5" thickBot="1" x14ac:dyDescent="0.25">
      <c r="B6" s="353"/>
      <c r="C6" s="354"/>
      <c r="D6" s="355" t="s">
        <v>203</v>
      </c>
      <c r="E6" s="356" t="s">
        <v>204</v>
      </c>
      <c r="F6" s="357" t="s">
        <v>205</v>
      </c>
      <c r="G6" s="357" t="s">
        <v>184</v>
      </c>
      <c r="H6" s="357" t="s">
        <v>206</v>
      </c>
      <c r="I6" s="357" t="s">
        <v>203</v>
      </c>
      <c r="J6" s="357" t="s">
        <v>204</v>
      </c>
      <c r="K6" s="357" t="s">
        <v>205</v>
      </c>
      <c r="L6" s="357" t="s">
        <v>203</v>
      </c>
      <c r="M6" s="357" t="s">
        <v>204</v>
      </c>
      <c r="N6" s="357" t="s">
        <v>205</v>
      </c>
      <c r="O6" s="354" t="s">
        <v>206</v>
      </c>
    </row>
    <row r="7" spans="2:19" x14ac:dyDescent="0.2">
      <c r="B7" s="358"/>
      <c r="C7" s="359"/>
      <c r="D7" s="360"/>
      <c r="E7" s="361"/>
      <c r="F7" s="362"/>
      <c r="G7" s="363"/>
      <c r="H7" s="363"/>
      <c r="I7" s="359"/>
      <c r="J7" s="364"/>
      <c r="K7" s="364"/>
      <c r="L7" s="359"/>
      <c r="M7" s="364"/>
      <c r="N7" s="362"/>
      <c r="O7" s="365"/>
    </row>
    <row r="8" spans="2:19" x14ac:dyDescent="0.2">
      <c r="B8" s="1541">
        <v>1995</v>
      </c>
      <c r="C8" s="1542">
        <f t="shared" ref="C8:C13" si="0">+D8+I8+L8</f>
        <v>3185.7000000000003</v>
      </c>
      <c r="D8" s="1543">
        <f t="shared" ref="D8:D13" si="1">SUM(E8:H8)</f>
        <v>2422.2950000000001</v>
      </c>
      <c r="E8" s="1544">
        <v>1840.4349999999999</v>
      </c>
      <c r="F8" s="1517">
        <v>581.86</v>
      </c>
      <c r="G8" s="1545"/>
      <c r="H8" s="1545"/>
      <c r="I8" s="1569">
        <f t="shared" ref="I8:I13" si="2">SUM(J8:K8)</f>
        <v>416.34</v>
      </c>
      <c r="J8" s="1544">
        <v>312.27</v>
      </c>
      <c r="K8" s="1513">
        <v>104.07</v>
      </c>
      <c r="L8" s="1569">
        <f t="shared" ref="L8:L13" si="3">SUM(M8:O8)</f>
        <v>347.06500000000005</v>
      </c>
      <c r="M8" s="1545">
        <f>28.93+6.8+1.565</f>
        <v>37.294999999999995</v>
      </c>
      <c r="N8" s="1517">
        <f>303.547+6.223</f>
        <v>309.77000000000004</v>
      </c>
      <c r="O8" s="1579"/>
      <c r="Q8" s="202"/>
      <c r="S8" s="366"/>
    </row>
    <row r="9" spans="2:19" x14ac:dyDescent="0.2">
      <c r="B9" s="367">
        <v>1996</v>
      </c>
      <c r="C9" s="368">
        <f t="shared" si="0"/>
        <v>3352.8809999999999</v>
      </c>
      <c r="D9" s="369">
        <f t="shared" si="1"/>
        <v>2552.0549999999998</v>
      </c>
      <c r="E9" s="370">
        <v>1842.7349999999999</v>
      </c>
      <c r="F9" s="290">
        <v>709.32</v>
      </c>
      <c r="G9" s="286"/>
      <c r="H9" s="286"/>
      <c r="I9" s="371">
        <f t="shared" si="2"/>
        <v>420.66</v>
      </c>
      <c r="J9" s="370">
        <v>311.97000000000003</v>
      </c>
      <c r="K9" s="284">
        <v>108.69</v>
      </c>
      <c r="L9" s="371">
        <f t="shared" si="3"/>
        <v>380.166</v>
      </c>
      <c r="M9" s="286">
        <f>45.479</f>
        <v>45.478999999999999</v>
      </c>
      <c r="N9" s="290">
        <f>334.437</f>
        <v>334.43700000000001</v>
      </c>
      <c r="O9" s="372">
        <v>0.25</v>
      </c>
      <c r="Q9" s="202"/>
      <c r="S9" s="366"/>
    </row>
    <row r="10" spans="2:19" x14ac:dyDescent="0.2">
      <c r="B10" s="1541">
        <v>1997</v>
      </c>
      <c r="C10" s="1542">
        <f t="shared" si="0"/>
        <v>4325.0209999999997</v>
      </c>
      <c r="D10" s="1543">
        <f t="shared" si="1"/>
        <v>3243.17</v>
      </c>
      <c r="E10" s="1544">
        <v>2039.8</v>
      </c>
      <c r="F10" s="1517">
        <v>1203.3699999999999</v>
      </c>
      <c r="G10" s="1545"/>
      <c r="H10" s="1545"/>
      <c r="I10" s="1569">
        <f t="shared" si="2"/>
        <v>710.54500000000007</v>
      </c>
      <c r="J10" s="1544">
        <v>312.49</v>
      </c>
      <c r="K10" s="1513">
        <v>398.05500000000001</v>
      </c>
      <c r="L10" s="1569">
        <f t="shared" si="3"/>
        <v>371.30599999999993</v>
      </c>
      <c r="M10" s="1545">
        <v>59.228999999999999</v>
      </c>
      <c r="N10" s="1517">
        <v>311.82699999999994</v>
      </c>
      <c r="O10" s="1579">
        <v>0.25</v>
      </c>
      <c r="Q10" s="202"/>
      <c r="S10" s="366"/>
    </row>
    <row r="11" spans="2:19" x14ac:dyDescent="0.2">
      <c r="B11" s="367">
        <v>1998</v>
      </c>
      <c r="C11" s="368">
        <f t="shared" si="0"/>
        <v>4632.2779999999993</v>
      </c>
      <c r="D11" s="369">
        <f t="shared" si="1"/>
        <v>3498.7559999999994</v>
      </c>
      <c r="E11" s="370">
        <v>2078.4699999999998</v>
      </c>
      <c r="F11" s="290">
        <v>1420.2859999999998</v>
      </c>
      <c r="G11" s="286"/>
      <c r="H11" s="286"/>
      <c r="I11" s="371">
        <f t="shared" si="2"/>
        <v>727.44799999999998</v>
      </c>
      <c r="J11" s="370">
        <v>312.77999999999997</v>
      </c>
      <c r="K11" s="284">
        <v>414.66800000000001</v>
      </c>
      <c r="L11" s="371">
        <f t="shared" si="3"/>
        <v>406.07400000000001</v>
      </c>
      <c r="M11" s="286">
        <v>76.166000000000011</v>
      </c>
      <c r="N11" s="290">
        <v>329.65800000000002</v>
      </c>
      <c r="O11" s="372">
        <v>0.25</v>
      </c>
      <c r="Q11" s="202"/>
      <c r="S11" s="366"/>
    </row>
    <row r="12" spans="2:19" x14ac:dyDescent="0.2">
      <c r="B12" s="1541">
        <v>1999</v>
      </c>
      <c r="C12" s="1542">
        <f t="shared" si="0"/>
        <v>4828.2430000000004</v>
      </c>
      <c r="D12" s="1543">
        <f t="shared" si="1"/>
        <v>3672.607</v>
      </c>
      <c r="E12" s="1544">
        <v>2190.5720000000001</v>
      </c>
      <c r="F12" s="1517">
        <v>1482.0350000000001</v>
      </c>
      <c r="G12" s="1545"/>
      <c r="H12" s="1545"/>
      <c r="I12" s="1569">
        <f t="shared" si="2"/>
        <v>793.44800000000009</v>
      </c>
      <c r="J12" s="1544">
        <v>315.58</v>
      </c>
      <c r="K12" s="1513">
        <v>477.86800000000005</v>
      </c>
      <c r="L12" s="1569">
        <f t="shared" si="3"/>
        <v>362.18799999999993</v>
      </c>
      <c r="M12" s="1545">
        <v>80.977000000000004</v>
      </c>
      <c r="N12" s="1517">
        <v>280.51099999999997</v>
      </c>
      <c r="O12" s="1579">
        <v>0.7</v>
      </c>
      <c r="Q12" s="202"/>
      <c r="S12" s="366"/>
    </row>
    <row r="13" spans="2:19" x14ac:dyDescent="0.2">
      <c r="B13" s="367">
        <v>2000</v>
      </c>
      <c r="C13" s="368">
        <f t="shared" si="0"/>
        <v>5148.8510000000006</v>
      </c>
      <c r="D13" s="369">
        <f t="shared" si="1"/>
        <v>3858.317</v>
      </c>
      <c r="E13" s="370">
        <v>2375.6849999999999</v>
      </c>
      <c r="F13" s="290">
        <v>1482.6319999999998</v>
      </c>
      <c r="G13" s="286"/>
      <c r="H13" s="286"/>
      <c r="I13" s="371">
        <f t="shared" si="2"/>
        <v>931.67900000000009</v>
      </c>
      <c r="J13" s="370">
        <v>321.31099999999998</v>
      </c>
      <c r="K13" s="284">
        <v>610.36800000000005</v>
      </c>
      <c r="L13" s="371">
        <f t="shared" si="3"/>
        <v>358.85500000000002</v>
      </c>
      <c r="M13" s="286">
        <v>82.263999999999996</v>
      </c>
      <c r="N13" s="290">
        <v>275.89100000000002</v>
      </c>
      <c r="O13" s="372">
        <v>0.7</v>
      </c>
      <c r="Q13" s="202"/>
      <c r="S13" s="366"/>
    </row>
    <row r="14" spans="2:19" x14ac:dyDescent="0.2">
      <c r="B14" s="1541"/>
      <c r="C14" s="1546"/>
      <c r="D14" s="1547"/>
      <c r="E14" s="1548"/>
      <c r="F14" s="1549"/>
      <c r="G14" s="1550"/>
      <c r="H14" s="1550"/>
      <c r="I14" s="1576"/>
      <c r="J14" s="1548"/>
      <c r="K14" s="1548"/>
      <c r="L14" s="1576"/>
      <c r="M14" s="1548"/>
      <c r="N14" s="1577"/>
      <c r="O14" s="1580"/>
      <c r="Q14" s="202"/>
      <c r="S14" s="366"/>
    </row>
    <row r="15" spans="2:19" x14ac:dyDescent="0.2">
      <c r="B15" s="367"/>
      <c r="C15" s="373"/>
      <c r="D15" s="1359" t="s">
        <v>207</v>
      </c>
      <c r="E15" s="1360"/>
      <c r="F15" s="1360"/>
      <c r="G15" s="1360"/>
      <c r="H15" s="1369"/>
      <c r="I15" s="374"/>
      <c r="J15" s="375"/>
      <c r="K15" s="375"/>
      <c r="L15" s="376"/>
      <c r="M15" s="375"/>
      <c r="N15" s="377"/>
      <c r="O15" s="378"/>
      <c r="Q15" s="202"/>
      <c r="S15" s="366"/>
    </row>
    <row r="16" spans="2:19" x14ac:dyDescent="0.2">
      <c r="B16" s="367">
        <v>2001</v>
      </c>
      <c r="C16" s="368">
        <f>+D16+L16</f>
        <v>5050.8140000000003</v>
      </c>
      <c r="D16" s="369">
        <f t="shared" ref="D16:D29" si="4">SUM(E16:H16)</f>
        <v>4744.8370000000004</v>
      </c>
      <c r="E16" s="379">
        <v>2807.623</v>
      </c>
      <c r="F16" s="380">
        <v>1937.2140000000002</v>
      </c>
      <c r="G16" s="380"/>
      <c r="H16" s="381"/>
      <c r="I16" s="371"/>
      <c r="J16" s="379"/>
      <c r="K16" s="379"/>
      <c r="L16" s="371">
        <f t="shared" ref="L16:L30" si="5">SUM(M16:O16)</f>
        <v>305.97699999999992</v>
      </c>
      <c r="M16" s="379">
        <v>81.81</v>
      </c>
      <c r="N16" s="382">
        <v>223.46699999999996</v>
      </c>
      <c r="O16" s="372">
        <v>0.7</v>
      </c>
      <c r="Q16" s="202"/>
      <c r="S16" s="366"/>
    </row>
    <row r="17" spans="2:19" x14ac:dyDescent="0.2">
      <c r="B17" s="1541">
        <v>2002</v>
      </c>
      <c r="C17" s="1542">
        <f t="shared" ref="C17:C29" si="6">+D17+L17</f>
        <v>5068.0510000000004</v>
      </c>
      <c r="D17" s="1543">
        <f t="shared" si="4"/>
        <v>4841.7170000000006</v>
      </c>
      <c r="E17" s="1551">
        <v>2845.2130000000011</v>
      </c>
      <c r="F17" s="1552">
        <v>1996.5039999999997</v>
      </c>
      <c r="G17" s="1552"/>
      <c r="H17" s="1553"/>
      <c r="I17" s="1569"/>
      <c r="J17" s="1551"/>
      <c r="K17" s="1551"/>
      <c r="L17" s="1569">
        <f t="shared" si="5"/>
        <v>226.33399999999995</v>
      </c>
      <c r="M17" s="1551">
        <v>72.388999999999967</v>
      </c>
      <c r="N17" s="1552">
        <v>153.245</v>
      </c>
      <c r="O17" s="1579">
        <v>0.7</v>
      </c>
      <c r="Q17" s="202"/>
      <c r="S17" s="366"/>
    </row>
    <row r="18" spans="2:19" x14ac:dyDescent="0.2">
      <c r="B18" s="367">
        <v>2003</v>
      </c>
      <c r="C18" s="368">
        <f t="shared" si="6"/>
        <v>5095.1030000000001</v>
      </c>
      <c r="D18" s="369">
        <f t="shared" si="4"/>
        <v>4881.0070000000005</v>
      </c>
      <c r="E18" s="379">
        <v>2874.9160000000006</v>
      </c>
      <c r="F18" s="382">
        <v>2006.0909999999999</v>
      </c>
      <c r="G18" s="382"/>
      <c r="H18" s="381"/>
      <c r="I18" s="371"/>
      <c r="J18" s="379"/>
      <c r="K18" s="379"/>
      <c r="L18" s="371">
        <f t="shared" si="5"/>
        <v>214.09599999999992</v>
      </c>
      <c r="M18" s="379">
        <v>71.904999999999944</v>
      </c>
      <c r="N18" s="382">
        <v>141.49099999999999</v>
      </c>
      <c r="O18" s="372">
        <v>0.7</v>
      </c>
      <c r="Q18" s="202"/>
      <c r="S18" s="366"/>
    </row>
    <row r="19" spans="2:19" x14ac:dyDescent="0.2">
      <c r="B19" s="1541">
        <v>2004</v>
      </c>
      <c r="C19" s="1542">
        <f t="shared" si="6"/>
        <v>5096.0216000000019</v>
      </c>
      <c r="D19" s="1543">
        <f t="shared" si="4"/>
        <v>4898.7466000000022</v>
      </c>
      <c r="E19" s="1551">
        <v>2896.2306000000021</v>
      </c>
      <c r="F19" s="1552">
        <v>2002.5160000000001</v>
      </c>
      <c r="G19" s="1552"/>
      <c r="H19" s="1553"/>
      <c r="I19" s="1569"/>
      <c r="J19" s="1551"/>
      <c r="K19" s="1551"/>
      <c r="L19" s="1569">
        <f t="shared" si="5"/>
        <v>197.27499999999989</v>
      </c>
      <c r="M19" s="1551">
        <v>72.828999999999979</v>
      </c>
      <c r="N19" s="1552">
        <v>123.74599999999992</v>
      </c>
      <c r="O19" s="1579">
        <v>0.7</v>
      </c>
      <c r="Q19" s="202"/>
      <c r="S19" s="366"/>
    </row>
    <row r="20" spans="2:19" x14ac:dyDescent="0.2">
      <c r="B20" s="367">
        <v>2005</v>
      </c>
      <c r="C20" s="368">
        <f t="shared" si="6"/>
        <v>5220.6336000000001</v>
      </c>
      <c r="D20" s="369">
        <f t="shared" si="4"/>
        <v>5014.1686</v>
      </c>
      <c r="E20" s="379">
        <v>3043.1506000000004</v>
      </c>
      <c r="F20" s="382">
        <v>1971.0179999999996</v>
      </c>
      <c r="G20" s="382"/>
      <c r="H20" s="381"/>
      <c r="I20" s="371"/>
      <c r="J20" s="379"/>
      <c r="K20" s="379"/>
      <c r="L20" s="371">
        <f t="shared" si="5"/>
        <v>206.46499999999986</v>
      </c>
      <c r="M20" s="379">
        <v>76.04899999999995</v>
      </c>
      <c r="N20" s="382">
        <v>129.71599999999992</v>
      </c>
      <c r="O20" s="372">
        <v>0.7</v>
      </c>
      <c r="Q20" s="202"/>
      <c r="S20" s="366"/>
    </row>
    <row r="21" spans="2:19" x14ac:dyDescent="0.2">
      <c r="B21" s="1541">
        <v>2006</v>
      </c>
      <c r="C21" s="1542">
        <f t="shared" si="6"/>
        <v>5625.1416000000008</v>
      </c>
      <c r="D21" s="1543">
        <f t="shared" si="4"/>
        <v>5410.4616000000005</v>
      </c>
      <c r="E21" s="1551">
        <v>3053.2766000000001</v>
      </c>
      <c r="F21" s="1552">
        <v>2357.1849999999999</v>
      </c>
      <c r="G21" s="1552"/>
      <c r="H21" s="1553"/>
      <c r="I21" s="1569"/>
      <c r="J21" s="1551"/>
      <c r="K21" s="1551"/>
      <c r="L21" s="1569">
        <f>SUM(M21:O21)</f>
        <v>214.67999999999998</v>
      </c>
      <c r="M21" s="1551">
        <v>74.524000000000001</v>
      </c>
      <c r="N21" s="1552">
        <v>139.45599999999999</v>
      </c>
      <c r="O21" s="1579">
        <v>0.7</v>
      </c>
      <c r="Q21" s="202"/>
      <c r="S21" s="366"/>
    </row>
    <row r="22" spans="2:19" x14ac:dyDescent="0.2">
      <c r="B22" s="367">
        <v>2007</v>
      </c>
      <c r="C22" s="368">
        <f t="shared" si="6"/>
        <v>5989.7251999999999</v>
      </c>
      <c r="D22" s="369">
        <f t="shared" si="4"/>
        <v>5769.2542000000003</v>
      </c>
      <c r="E22" s="379">
        <v>3072.0132000000003</v>
      </c>
      <c r="F22" s="382">
        <v>2697.241</v>
      </c>
      <c r="G22" s="382"/>
      <c r="H22" s="381"/>
      <c r="I22" s="371"/>
      <c r="J22" s="379"/>
      <c r="K22" s="379"/>
      <c r="L22" s="371">
        <f t="shared" si="5"/>
        <v>220.47099999999983</v>
      </c>
      <c r="M22" s="379">
        <v>73.127999999999957</v>
      </c>
      <c r="N22" s="382">
        <v>146.64299999999989</v>
      </c>
      <c r="O22" s="372">
        <v>0.7</v>
      </c>
      <c r="Q22" s="202"/>
      <c r="S22" s="366"/>
    </row>
    <row r="23" spans="2:19" x14ac:dyDescent="0.2">
      <c r="B23" s="1541">
        <v>2008</v>
      </c>
      <c r="C23" s="1542">
        <f t="shared" si="6"/>
        <v>5996.9830000000029</v>
      </c>
      <c r="D23" s="1543">
        <f t="shared" si="4"/>
        <v>5755.247000000003</v>
      </c>
      <c r="E23" s="1551">
        <v>3079.568000000002</v>
      </c>
      <c r="F23" s="1552">
        <v>2675.679000000001</v>
      </c>
      <c r="G23" s="1552"/>
      <c r="H23" s="1553"/>
      <c r="I23" s="1569"/>
      <c r="J23" s="1551"/>
      <c r="K23" s="1551"/>
      <c r="L23" s="1569">
        <f t="shared" si="5"/>
        <v>241.73599999999988</v>
      </c>
      <c r="M23" s="1551">
        <v>72.469999999999942</v>
      </c>
      <c r="N23" s="1552">
        <v>168.56599999999995</v>
      </c>
      <c r="O23" s="1579">
        <v>0.7</v>
      </c>
      <c r="Q23" s="202"/>
      <c r="S23" s="366"/>
    </row>
    <row r="24" spans="2:19" x14ac:dyDescent="0.2">
      <c r="B24" s="367">
        <v>2009</v>
      </c>
      <c r="C24" s="368">
        <f t="shared" si="6"/>
        <v>6723.5160000000014</v>
      </c>
      <c r="D24" s="369">
        <f t="shared" si="4"/>
        <v>6491.4780000000019</v>
      </c>
      <c r="E24" s="379">
        <v>3121.6860000000015</v>
      </c>
      <c r="F24" s="382">
        <v>3369.7920000000004</v>
      </c>
      <c r="G24" s="382"/>
      <c r="H24" s="381"/>
      <c r="I24" s="371"/>
      <c r="J24" s="379"/>
      <c r="K24" s="379"/>
      <c r="L24" s="371">
        <f t="shared" si="5"/>
        <v>232.03799999999993</v>
      </c>
      <c r="M24" s="379">
        <v>61.44</v>
      </c>
      <c r="N24" s="382">
        <v>169.89799999999994</v>
      </c>
      <c r="O24" s="372">
        <v>0.7</v>
      </c>
      <c r="Q24" s="202"/>
      <c r="S24" s="366"/>
    </row>
    <row r="25" spans="2:19" x14ac:dyDescent="0.2">
      <c r="B25" s="1541">
        <v>2010</v>
      </c>
      <c r="C25" s="1542">
        <f t="shared" si="6"/>
        <v>7309.1659999999993</v>
      </c>
      <c r="D25" s="1543">
        <f t="shared" si="4"/>
        <v>7131.0879999999997</v>
      </c>
      <c r="E25" s="1551">
        <v>3291.4250000000002</v>
      </c>
      <c r="F25" s="1552">
        <v>3839.6629999999991</v>
      </c>
      <c r="G25" s="1552"/>
      <c r="H25" s="1553"/>
      <c r="I25" s="1569"/>
      <c r="J25" s="1551"/>
      <c r="K25" s="1551"/>
      <c r="L25" s="1569">
        <f t="shared" si="5"/>
        <v>178.07799999999995</v>
      </c>
      <c r="M25" s="1551">
        <v>53.37</v>
      </c>
      <c r="N25" s="1552">
        <v>124.00799999999995</v>
      </c>
      <c r="O25" s="1579">
        <v>0.7</v>
      </c>
      <c r="Q25" s="202"/>
      <c r="S25" s="366"/>
    </row>
    <row r="26" spans="2:19" x14ac:dyDescent="0.2">
      <c r="B26" s="383">
        <v>2011</v>
      </c>
      <c r="C26" s="368">
        <f t="shared" si="6"/>
        <v>7314.2370000000001</v>
      </c>
      <c r="D26" s="369">
        <f t="shared" si="4"/>
        <v>7142.3890000000001</v>
      </c>
      <c r="E26" s="379">
        <v>3310.1709999999998</v>
      </c>
      <c r="F26" s="382">
        <v>3832.2180000000003</v>
      </c>
      <c r="G26" s="382"/>
      <c r="H26" s="381"/>
      <c r="I26" s="371"/>
      <c r="J26" s="379"/>
      <c r="K26" s="379"/>
      <c r="L26" s="371">
        <f t="shared" si="5"/>
        <v>171.84800000000001</v>
      </c>
      <c r="M26" s="379">
        <v>46.888999999999996</v>
      </c>
      <c r="N26" s="382">
        <v>124.25900000000001</v>
      </c>
      <c r="O26" s="372">
        <v>0.7</v>
      </c>
      <c r="Q26" s="202"/>
      <c r="S26" s="366"/>
    </row>
    <row r="27" spans="2:19" x14ac:dyDescent="0.2">
      <c r="B27" s="1541">
        <v>2012</v>
      </c>
      <c r="C27" s="1542">
        <f t="shared" si="6"/>
        <v>8267.1709999999985</v>
      </c>
      <c r="D27" s="1543">
        <f t="shared" si="4"/>
        <v>8096.2529999999979</v>
      </c>
      <c r="E27" s="1551">
        <v>3333.9409999999989</v>
      </c>
      <c r="F27" s="1552">
        <v>4682.311999999999</v>
      </c>
      <c r="G27" s="1552">
        <v>80</v>
      </c>
      <c r="H27" s="1553"/>
      <c r="I27" s="1569"/>
      <c r="J27" s="1551"/>
      <c r="K27" s="1551"/>
      <c r="L27" s="1569">
        <f t="shared" si="5"/>
        <v>170.91799999999998</v>
      </c>
      <c r="M27" s="1551">
        <v>46.889000000000003</v>
      </c>
      <c r="N27" s="1552">
        <v>123.32899999999998</v>
      </c>
      <c r="O27" s="1579">
        <v>0.7</v>
      </c>
      <c r="Q27" s="202"/>
      <c r="S27" s="366"/>
    </row>
    <row r="28" spans="2:19" x14ac:dyDescent="0.2">
      <c r="B28" s="384">
        <v>2013</v>
      </c>
      <c r="C28" s="385">
        <f t="shared" si="6"/>
        <v>9634.6309999999994</v>
      </c>
      <c r="D28" s="386">
        <f t="shared" si="4"/>
        <v>9441.601999999999</v>
      </c>
      <c r="E28" s="387">
        <v>3402.8779999999997</v>
      </c>
      <c r="F28" s="388">
        <v>5958.7240000000002</v>
      </c>
      <c r="G28" s="388">
        <v>80</v>
      </c>
      <c r="H28" s="389"/>
      <c r="I28" s="390"/>
      <c r="J28" s="387"/>
      <c r="K28" s="387"/>
      <c r="L28" s="390">
        <f t="shared" si="5"/>
        <v>193.02899999999994</v>
      </c>
      <c r="M28" s="387">
        <v>47.668999999999997</v>
      </c>
      <c r="N28" s="388">
        <v>144.65999999999994</v>
      </c>
      <c r="O28" s="391">
        <v>0.7</v>
      </c>
      <c r="Q28" s="202"/>
      <c r="S28" s="366"/>
    </row>
    <row r="29" spans="2:19" x14ac:dyDescent="0.2">
      <c r="B29" s="1541">
        <v>2014</v>
      </c>
      <c r="C29" s="1542">
        <f t="shared" si="6"/>
        <v>9739.2480000000014</v>
      </c>
      <c r="D29" s="1543">
        <f t="shared" si="4"/>
        <v>9517.353000000001</v>
      </c>
      <c r="E29" s="1551">
        <v>3506.0219999999995</v>
      </c>
      <c r="F29" s="1552">
        <v>5773.331000000001</v>
      </c>
      <c r="G29" s="1552">
        <v>96</v>
      </c>
      <c r="H29" s="1553">
        <v>142</v>
      </c>
      <c r="I29" s="1569"/>
      <c r="J29" s="1551"/>
      <c r="K29" s="1551"/>
      <c r="L29" s="1569">
        <f t="shared" si="5"/>
        <v>221.89500000000007</v>
      </c>
      <c r="M29" s="1551">
        <v>52.247000000000007</v>
      </c>
      <c r="N29" s="1552">
        <v>168.94800000000006</v>
      </c>
      <c r="O29" s="1579">
        <v>0.7</v>
      </c>
      <c r="Q29" s="202"/>
      <c r="S29" s="366"/>
    </row>
    <row r="30" spans="2:19" x14ac:dyDescent="0.2">
      <c r="B30" s="392" t="s">
        <v>136</v>
      </c>
      <c r="C30" s="385">
        <f>+D30+L30</f>
        <v>10765.318000000003</v>
      </c>
      <c r="D30" s="386">
        <f>SUM(E30:H30)</f>
        <v>10542.723000000004</v>
      </c>
      <c r="E30" s="387">
        <v>4010.1920000000005</v>
      </c>
      <c r="F30" s="388">
        <v>6197.5310000000027</v>
      </c>
      <c r="G30" s="388">
        <v>96</v>
      </c>
      <c r="H30" s="389">
        <v>239</v>
      </c>
      <c r="I30" s="390"/>
      <c r="J30" s="387"/>
      <c r="K30" s="387"/>
      <c r="L30" s="390">
        <f t="shared" si="5"/>
        <v>222.59499999999994</v>
      </c>
      <c r="M30" s="387">
        <v>52.246999999999993</v>
      </c>
      <c r="N30" s="388">
        <v>169.64799999999997</v>
      </c>
      <c r="O30" s="391">
        <v>0.7</v>
      </c>
      <c r="Q30" s="202"/>
      <c r="S30" s="366"/>
    </row>
    <row r="31" spans="2:19" ht="13.5" thickBot="1" x14ac:dyDescent="0.25">
      <c r="B31" s="393"/>
      <c r="C31" s="385"/>
      <c r="D31" s="386"/>
      <c r="E31" s="387"/>
      <c r="F31" s="388"/>
      <c r="G31" s="388"/>
      <c r="H31" s="394"/>
      <c r="I31" s="390"/>
      <c r="J31" s="387"/>
      <c r="K31" s="387"/>
      <c r="L31" s="390"/>
      <c r="M31" s="387"/>
      <c r="N31" s="388"/>
      <c r="O31" s="394"/>
      <c r="Q31" s="202"/>
      <c r="S31" s="366"/>
    </row>
    <row r="32" spans="2:19" ht="21" customHeight="1" x14ac:dyDescent="0.2">
      <c r="B32" s="395" t="s">
        <v>137</v>
      </c>
      <c r="C32" s="396">
        <f>(C30/C29)-1</f>
        <v>0.10535413001085936</v>
      </c>
      <c r="D32" s="397">
        <f t="shared" ref="D32:F32" si="7">(D30/D29)-1</f>
        <v>0.10773688860757846</v>
      </c>
      <c r="E32" s="398">
        <f t="shared" si="7"/>
        <v>0.14380115127629001</v>
      </c>
      <c r="F32" s="398">
        <f t="shared" si="7"/>
        <v>7.3475780273121627E-2</v>
      </c>
      <c r="G32" s="398">
        <f t="shared" ref="D32:H32" si="8">(G30/G29)-1</f>
        <v>0</v>
      </c>
      <c r="H32" s="399">
        <f t="shared" si="8"/>
        <v>0.68309859154929575</v>
      </c>
      <c r="I32" s="400"/>
      <c r="J32" s="400"/>
      <c r="K32" s="401"/>
      <c r="L32" s="402">
        <f t="shared" ref="L32:N32" si="9">(L30/L29)-1</f>
        <v>3.1546452150785775E-3</v>
      </c>
      <c r="M32" s="403">
        <f t="shared" si="9"/>
        <v>0</v>
      </c>
      <c r="N32" s="404">
        <f t="shared" si="9"/>
        <v>4.1432866917625599E-3</v>
      </c>
      <c r="O32" s="405"/>
    </row>
    <row r="33" spans="2:25" ht="21" customHeight="1" x14ac:dyDescent="0.2">
      <c r="B33" s="1554" t="s">
        <v>138</v>
      </c>
      <c r="C33" s="1555">
        <f>((C30/C25)^(1/5))-1</f>
        <v>8.051750613633879E-2</v>
      </c>
      <c r="D33" s="1556">
        <f t="shared" ref="D33:F33" si="10">((D30/D25)^(1/5))-1</f>
        <v>8.1332858306390365E-2</v>
      </c>
      <c r="E33" s="1557">
        <f t="shared" si="10"/>
        <v>4.0294351872014911E-2</v>
      </c>
      <c r="F33" s="1557">
        <f t="shared" si="10"/>
        <v>0.10048751482743867</v>
      </c>
      <c r="G33" s="1558" t="s">
        <v>109</v>
      </c>
      <c r="H33" s="1559" t="s">
        <v>109</v>
      </c>
      <c r="I33" s="406"/>
      <c r="J33" s="406"/>
      <c r="K33" s="407"/>
      <c r="L33" s="1572">
        <f t="shared" ref="L33:N33" si="11">((L30/L25)^(1/5))-1</f>
        <v>4.5637203858133635E-2</v>
      </c>
      <c r="M33" s="1573">
        <f t="shared" si="11"/>
        <v>-4.2442311684633971E-3</v>
      </c>
      <c r="N33" s="1566">
        <f t="shared" si="11"/>
        <v>6.4681746053495415E-2</v>
      </c>
      <c r="O33" s="405"/>
      <c r="Q33" s="337"/>
      <c r="R33" s="337"/>
      <c r="S33" s="337"/>
      <c r="T33" s="337"/>
      <c r="U33" s="337"/>
      <c r="V33" s="337"/>
      <c r="W33" s="337"/>
      <c r="X33" s="337"/>
      <c r="Y33" s="337"/>
    </row>
    <row r="34" spans="2:25" ht="21" customHeight="1" x14ac:dyDescent="0.2">
      <c r="B34" s="408" t="s">
        <v>144</v>
      </c>
      <c r="C34" s="409">
        <f>(C30/C20)-1</f>
        <v>1.0620711631630311</v>
      </c>
      <c r="D34" s="410">
        <f t="shared" ref="D34:F34" si="12">(D30/D20)-1</f>
        <v>1.1025864587002525</v>
      </c>
      <c r="E34" s="411">
        <f t="shared" si="12"/>
        <v>0.31777638609144088</v>
      </c>
      <c r="F34" s="411">
        <f t="shared" si="12"/>
        <v>2.1443299858245859</v>
      </c>
      <c r="G34" s="412" t="s">
        <v>109</v>
      </c>
      <c r="H34" s="413" t="s">
        <v>109</v>
      </c>
      <c r="I34" s="406"/>
      <c r="J34" s="406"/>
      <c r="K34" s="407"/>
      <c r="L34" s="414">
        <f t="shared" ref="L34:N34" si="13">(L30/L20)-1</f>
        <v>7.8124621606568079E-2</v>
      </c>
      <c r="M34" s="414">
        <f t="shared" si="13"/>
        <v>-0.31298241922970682</v>
      </c>
      <c r="N34" s="414">
        <f t="shared" si="13"/>
        <v>0.30784174658484753</v>
      </c>
      <c r="O34" s="405"/>
      <c r="Q34" s="337"/>
      <c r="R34" s="337"/>
      <c r="S34" s="337"/>
      <c r="T34" s="337"/>
      <c r="U34" s="337"/>
      <c r="V34" s="337"/>
      <c r="W34" s="337"/>
      <c r="X34" s="337"/>
      <c r="Y34" s="337"/>
    </row>
    <row r="35" spans="2:25" ht="21" customHeight="1" thickBot="1" x14ac:dyDescent="0.25">
      <c r="B35" s="1560" t="s">
        <v>140</v>
      </c>
      <c r="C35" s="1561">
        <f>((C30/C20)^(1/10))-1</f>
        <v>7.5054211565914963E-2</v>
      </c>
      <c r="D35" s="1562">
        <f t="shared" ref="D35:F35" si="14">((D30/D20)^(1/10))-1</f>
        <v>7.7148017125028723E-2</v>
      </c>
      <c r="E35" s="1563">
        <f t="shared" si="14"/>
        <v>2.7978832651149421E-2</v>
      </c>
      <c r="F35" s="1563">
        <f t="shared" si="14"/>
        <v>0.12138001450972657</v>
      </c>
      <c r="G35" s="1564" t="s">
        <v>109</v>
      </c>
      <c r="H35" s="1565" t="s">
        <v>109</v>
      </c>
      <c r="I35" s="406"/>
      <c r="J35" s="406"/>
      <c r="K35" s="415"/>
      <c r="L35" s="1578">
        <f t="shared" ref="L35:N35" si="15">((L30/L20)^(1/10))-1</f>
        <v>7.5506706532557644E-3</v>
      </c>
      <c r="M35" s="1575">
        <f t="shared" si="15"/>
        <v>-3.6843665891256205E-2</v>
      </c>
      <c r="N35" s="1575">
        <f t="shared" si="15"/>
        <v>2.7201203604859669E-2</v>
      </c>
      <c r="O35" s="405"/>
      <c r="Q35" s="337"/>
      <c r="R35" s="337"/>
      <c r="S35" s="337"/>
      <c r="T35" s="337"/>
      <c r="U35" s="337"/>
      <c r="V35" s="337"/>
      <c r="W35" s="337"/>
      <c r="X35" s="337"/>
      <c r="Y35" s="337"/>
    </row>
    <row r="36" spans="2:25" x14ac:dyDescent="0.2">
      <c r="B36" s="319"/>
      <c r="C36" s="416"/>
      <c r="D36" s="417"/>
      <c r="I36" s="418"/>
      <c r="J36" s="419"/>
      <c r="K36" s="419"/>
      <c r="L36" s="416"/>
      <c r="Q36" s="337"/>
      <c r="R36" s="337"/>
      <c r="S36" s="337"/>
      <c r="T36" s="337"/>
      <c r="U36" s="337"/>
      <c r="V36" s="337"/>
      <c r="W36" s="337"/>
      <c r="X36" s="337"/>
      <c r="Y36" s="337"/>
    </row>
    <row r="37" spans="2:25" x14ac:dyDescent="0.2">
      <c r="B37" s="320" t="s">
        <v>320</v>
      </c>
      <c r="Q37" s="337"/>
      <c r="R37" s="337"/>
      <c r="S37" s="337"/>
      <c r="T37" s="337"/>
      <c r="U37" s="337"/>
      <c r="V37" s="337"/>
      <c r="W37" s="337"/>
      <c r="X37" s="337"/>
      <c r="Y37" s="337"/>
    </row>
    <row r="38" spans="2:25" x14ac:dyDescent="0.2">
      <c r="B38" s="349"/>
      <c r="Q38" s="337"/>
      <c r="R38" s="337"/>
      <c r="S38" s="337"/>
      <c r="T38" s="337"/>
      <c r="U38" s="337"/>
      <c r="V38" s="337"/>
      <c r="W38" s="337"/>
      <c r="X38" s="337"/>
      <c r="Y38" s="337"/>
    </row>
    <row r="39" spans="2:25" x14ac:dyDescent="0.2">
      <c r="J39" s="201"/>
      <c r="K39" s="201"/>
      <c r="Q39" s="337"/>
      <c r="R39" s="337"/>
      <c r="S39" s="420"/>
      <c r="T39" s="420"/>
      <c r="U39" s="420"/>
      <c r="V39" s="337"/>
      <c r="W39" s="337"/>
      <c r="X39" s="337"/>
      <c r="Y39" s="337"/>
    </row>
    <row r="40" spans="2:25" x14ac:dyDescent="0.2">
      <c r="E40" s="202"/>
      <c r="F40" s="202"/>
      <c r="G40" s="202"/>
      <c r="H40" s="202"/>
      <c r="J40" s="201"/>
      <c r="K40" s="201"/>
      <c r="Q40" s="337"/>
      <c r="R40" s="337"/>
      <c r="S40" s="420"/>
      <c r="T40" s="420"/>
      <c r="U40" s="420"/>
      <c r="V40" s="337"/>
      <c r="W40" s="337"/>
      <c r="X40" s="337"/>
      <c r="Y40" s="337"/>
    </row>
    <row r="41" spans="2:25" x14ac:dyDescent="0.2">
      <c r="K41" s="201"/>
      <c r="Q41" s="337"/>
      <c r="R41" s="337"/>
      <c r="S41" s="420"/>
      <c r="T41" s="421"/>
      <c r="U41" s="421"/>
      <c r="V41" s="337"/>
      <c r="W41" s="337"/>
      <c r="X41" s="337"/>
      <c r="Y41" s="337"/>
    </row>
    <row r="42" spans="2:25" x14ac:dyDescent="0.2">
      <c r="I42" s="202"/>
      <c r="Q42" s="337"/>
      <c r="R42" s="337"/>
      <c r="S42" s="420"/>
      <c r="T42" s="420"/>
      <c r="U42" s="420"/>
      <c r="V42" s="337"/>
      <c r="W42" s="337"/>
      <c r="X42" s="337"/>
      <c r="Y42" s="337"/>
    </row>
    <row r="43" spans="2:25" x14ac:dyDescent="0.2">
      <c r="I43" s="202"/>
      <c r="Q43" s="337"/>
      <c r="R43" s="337"/>
      <c r="S43" s="337"/>
      <c r="T43" s="337"/>
      <c r="U43" s="337"/>
      <c r="V43" s="337"/>
      <c r="W43" s="337"/>
      <c r="X43" s="337"/>
      <c r="Y43" s="337"/>
    </row>
    <row r="44" spans="2:25" x14ac:dyDescent="0.2">
      <c r="Q44" s="337"/>
      <c r="R44" s="337"/>
      <c r="S44" s="337"/>
      <c r="T44" s="337"/>
      <c r="U44" s="337"/>
      <c r="V44" s="337"/>
      <c r="W44" s="337"/>
      <c r="X44" s="337"/>
      <c r="Y44" s="337"/>
    </row>
    <row r="45" spans="2:25" x14ac:dyDescent="0.2">
      <c r="Q45" s="337"/>
      <c r="R45" s="337"/>
      <c r="S45" s="337"/>
      <c r="T45" s="337"/>
      <c r="U45" s="337"/>
      <c r="V45" s="337"/>
      <c r="W45" s="337"/>
      <c r="X45" s="337"/>
      <c r="Y45" s="337"/>
    </row>
    <row r="46" spans="2:25" x14ac:dyDescent="0.2">
      <c r="Q46" s="337"/>
      <c r="R46" s="337"/>
      <c r="S46" s="337"/>
      <c r="T46" s="337"/>
      <c r="U46" s="337"/>
      <c r="V46" s="337"/>
      <c r="W46" s="337"/>
      <c r="X46" s="337"/>
      <c r="Y46" s="337"/>
    </row>
    <row r="47" spans="2:25" ht="15.75" x14ac:dyDescent="0.25">
      <c r="B47" s="350" t="s">
        <v>208</v>
      </c>
      <c r="Q47" s="337"/>
      <c r="R47" s="337"/>
      <c r="S47" s="337"/>
      <c r="T47" s="337"/>
      <c r="U47" s="337"/>
      <c r="V47" s="337"/>
      <c r="W47" s="337"/>
      <c r="X47" s="337"/>
      <c r="Y47" s="337"/>
    </row>
    <row r="48" spans="2:25" x14ac:dyDescent="0.2">
      <c r="B48" s="349"/>
      <c r="Q48" s="337"/>
      <c r="R48" s="337"/>
      <c r="S48" s="420"/>
      <c r="T48" s="420"/>
      <c r="U48" s="420"/>
      <c r="V48" s="337"/>
      <c r="W48" s="337"/>
      <c r="X48" s="337"/>
      <c r="Y48" s="337"/>
    </row>
    <row r="49" spans="2:25" ht="13.5" thickBot="1" x14ac:dyDescent="0.25">
      <c r="B49" s="349"/>
      <c r="Q49" s="337"/>
      <c r="R49" s="337"/>
      <c r="S49" s="420"/>
      <c r="T49" s="420"/>
      <c r="U49" s="420"/>
      <c r="V49" s="337"/>
      <c r="W49" s="337"/>
      <c r="X49" s="337"/>
      <c r="Y49" s="337"/>
    </row>
    <row r="50" spans="2:25" ht="15.75" thickBot="1" x14ac:dyDescent="0.3">
      <c r="B50" s="351" t="s">
        <v>132</v>
      </c>
      <c r="C50" s="422" t="s">
        <v>199</v>
      </c>
      <c r="D50" s="1361" t="s">
        <v>200</v>
      </c>
      <c r="E50" s="1362"/>
      <c r="F50" s="1363"/>
      <c r="G50" s="1361" t="s">
        <v>201</v>
      </c>
      <c r="H50" s="1362"/>
      <c r="I50" s="1363"/>
      <c r="J50" s="1366" t="s">
        <v>202</v>
      </c>
      <c r="K50" s="1370"/>
      <c r="L50" s="1371"/>
      <c r="N50" s="423"/>
      <c r="Q50" s="337"/>
      <c r="R50" s="337"/>
      <c r="S50" s="420"/>
      <c r="T50" s="420"/>
      <c r="U50" s="420"/>
      <c r="V50" s="337"/>
      <c r="W50" s="337"/>
      <c r="X50" s="337"/>
      <c r="Y50" s="337"/>
    </row>
    <row r="51" spans="2:25" ht="13.5" thickBot="1" x14ac:dyDescent="0.25">
      <c r="B51" s="353"/>
      <c r="C51" s="357"/>
      <c r="D51" s="357" t="s">
        <v>203</v>
      </c>
      <c r="E51" s="356" t="s">
        <v>204</v>
      </c>
      <c r="F51" s="357" t="s">
        <v>205</v>
      </c>
      <c r="G51" s="357" t="s">
        <v>203</v>
      </c>
      <c r="H51" s="357" t="s">
        <v>204</v>
      </c>
      <c r="I51" s="356" t="s">
        <v>205</v>
      </c>
      <c r="J51" s="357" t="s">
        <v>203</v>
      </c>
      <c r="K51" s="357" t="s">
        <v>204</v>
      </c>
      <c r="L51" s="354" t="s">
        <v>205</v>
      </c>
      <c r="O51" s="163"/>
      <c r="Q51" s="337"/>
      <c r="R51" s="337"/>
      <c r="S51" s="337"/>
      <c r="T51" s="337"/>
      <c r="U51" s="337"/>
      <c r="V51" s="337"/>
      <c r="W51" s="337"/>
      <c r="X51" s="337"/>
      <c r="Y51" s="337"/>
    </row>
    <row r="52" spans="2:25" x14ac:dyDescent="0.2">
      <c r="B52" s="358"/>
      <c r="C52" s="359"/>
      <c r="D52" s="360"/>
      <c r="E52" s="361"/>
      <c r="F52" s="361"/>
      <c r="G52" s="359"/>
      <c r="H52" s="364"/>
      <c r="I52" s="364"/>
      <c r="J52" s="359"/>
      <c r="K52" s="364"/>
      <c r="L52" s="424"/>
      <c r="O52" s="163"/>
      <c r="P52" s="202"/>
      <c r="Q52" s="337"/>
      <c r="R52" s="337"/>
      <c r="S52" s="337"/>
      <c r="T52" s="337"/>
      <c r="U52" s="337"/>
      <c r="V52" s="337"/>
      <c r="W52" s="337"/>
      <c r="X52" s="337"/>
      <c r="Y52" s="337"/>
    </row>
    <row r="53" spans="2:25" x14ac:dyDescent="0.2">
      <c r="B53" s="1541">
        <v>1995</v>
      </c>
      <c r="C53" s="1542">
        <f t="shared" ref="C53:C58" si="16">+D53+G53+J53</f>
        <v>1276</v>
      </c>
      <c r="D53" s="1543">
        <f t="shared" ref="D53:D58" si="17">SUM(E53:F53)</f>
        <v>380.07</v>
      </c>
      <c r="E53" s="1544">
        <v>196.31</v>
      </c>
      <c r="F53" s="1513">
        <v>183.76</v>
      </c>
      <c r="G53" s="1569">
        <f t="shared" ref="G53:G58" si="18">SUM(H53:I53)</f>
        <v>230.02</v>
      </c>
      <c r="H53" s="1544">
        <v>0</v>
      </c>
      <c r="I53" s="1513">
        <v>230.02</v>
      </c>
      <c r="J53" s="1569">
        <f t="shared" ref="J53:J58" si="19">SUM(K53:O53)</f>
        <v>665.91</v>
      </c>
      <c r="K53" s="1545">
        <f>72.66+20.4+0.03</f>
        <v>93.09</v>
      </c>
      <c r="L53" s="1570">
        <f>197.266+357.6+17.954</f>
        <v>572.81999999999994</v>
      </c>
      <c r="O53" s="425"/>
      <c r="P53" s="202"/>
      <c r="Q53" s="421"/>
      <c r="R53" s="426"/>
      <c r="S53" s="337"/>
      <c r="T53" s="427"/>
      <c r="U53" s="337"/>
      <c r="V53" s="337"/>
      <c r="W53" s="337"/>
      <c r="X53" s="337"/>
      <c r="Y53" s="337"/>
    </row>
    <row r="54" spans="2:25" x14ac:dyDescent="0.2">
      <c r="B54" s="367">
        <v>1996</v>
      </c>
      <c r="C54" s="368">
        <f t="shared" si="16"/>
        <v>1309.7239999999999</v>
      </c>
      <c r="D54" s="369">
        <f t="shared" si="17"/>
        <v>383.87</v>
      </c>
      <c r="E54" s="370">
        <v>196.31</v>
      </c>
      <c r="F54" s="284">
        <v>187.56</v>
      </c>
      <c r="G54" s="371">
        <f t="shared" si="18"/>
        <v>230.02</v>
      </c>
      <c r="H54" s="370">
        <v>0</v>
      </c>
      <c r="I54" s="284">
        <v>230.02</v>
      </c>
      <c r="J54" s="371">
        <f t="shared" si="19"/>
        <v>695.83399999999995</v>
      </c>
      <c r="K54" s="286">
        <f>96.23</f>
        <v>96.23</v>
      </c>
      <c r="L54" s="428">
        <v>599.60399999999993</v>
      </c>
      <c r="O54" s="425"/>
      <c r="P54" s="202"/>
      <c r="Q54" s="421"/>
      <c r="R54" s="426"/>
      <c r="S54" s="337"/>
      <c r="T54" s="337"/>
      <c r="U54" s="337"/>
      <c r="V54" s="337"/>
      <c r="W54" s="337"/>
      <c r="X54" s="337"/>
      <c r="Y54" s="337"/>
    </row>
    <row r="55" spans="2:25" x14ac:dyDescent="0.2">
      <c r="B55" s="1541">
        <v>1997</v>
      </c>
      <c r="C55" s="1542">
        <f t="shared" si="16"/>
        <v>867.47699999999986</v>
      </c>
      <c r="D55" s="1543">
        <f t="shared" si="17"/>
        <v>174.036</v>
      </c>
      <c r="E55" s="1544">
        <v>12.91</v>
      </c>
      <c r="F55" s="1513">
        <v>161.126</v>
      </c>
      <c r="G55" s="1569">
        <f t="shared" si="18"/>
        <v>69.38</v>
      </c>
      <c r="H55" s="1544">
        <v>0</v>
      </c>
      <c r="I55" s="1513">
        <v>69.38</v>
      </c>
      <c r="J55" s="1569">
        <f t="shared" si="19"/>
        <v>624.06099999999992</v>
      </c>
      <c r="K55" s="1545">
        <v>88.564999999999998</v>
      </c>
      <c r="L55" s="1570">
        <v>535.49599999999998</v>
      </c>
      <c r="O55" s="429"/>
      <c r="P55" s="202"/>
      <c r="Q55" s="421"/>
      <c r="R55" s="426"/>
      <c r="S55" s="337"/>
      <c r="T55" s="337"/>
      <c r="U55" s="337"/>
      <c r="V55" s="337"/>
      <c r="W55" s="337"/>
      <c r="X55" s="337"/>
      <c r="Y55" s="337"/>
    </row>
    <row r="56" spans="2:25" x14ac:dyDescent="0.2">
      <c r="B56" s="367">
        <v>1998</v>
      </c>
      <c r="C56" s="368">
        <f t="shared" si="16"/>
        <v>883.01200000000006</v>
      </c>
      <c r="D56" s="369">
        <f t="shared" si="17"/>
        <v>130.136</v>
      </c>
      <c r="E56" s="370">
        <v>12.91</v>
      </c>
      <c r="F56" s="284">
        <v>117.226</v>
      </c>
      <c r="G56" s="371">
        <f t="shared" si="18"/>
        <v>50.36</v>
      </c>
      <c r="H56" s="370">
        <v>0</v>
      </c>
      <c r="I56" s="284">
        <v>50.36</v>
      </c>
      <c r="J56" s="371">
        <f t="shared" si="19"/>
        <v>702.51600000000008</v>
      </c>
      <c r="K56" s="286">
        <v>91.734999999999999</v>
      </c>
      <c r="L56" s="428">
        <v>610.78100000000006</v>
      </c>
      <c r="O56" s="429"/>
      <c r="P56" s="202"/>
      <c r="Q56" s="421"/>
      <c r="R56" s="426"/>
      <c r="S56" s="337"/>
      <c r="T56" s="337"/>
      <c r="U56" s="337"/>
      <c r="V56" s="337"/>
      <c r="W56" s="337"/>
      <c r="X56" s="337"/>
      <c r="Y56" s="337"/>
    </row>
    <row r="57" spans="2:25" x14ac:dyDescent="0.2">
      <c r="B57" s="1541">
        <v>1999</v>
      </c>
      <c r="C57" s="1542">
        <f t="shared" si="16"/>
        <v>914.18499999999995</v>
      </c>
      <c r="D57" s="1543">
        <f t="shared" si="17"/>
        <v>86.16</v>
      </c>
      <c r="E57" s="1544">
        <v>12.91</v>
      </c>
      <c r="F57" s="1513">
        <v>73.25</v>
      </c>
      <c r="G57" s="1569">
        <f t="shared" si="18"/>
        <v>47.75</v>
      </c>
      <c r="H57" s="1544">
        <v>0</v>
      </c>
      <c r="I57" s="1513">
        <v>47.75</v>
      </c>
      <c r="J57" s="1569">
        <f t="shared" si="19"/>
        <v>780.27499999999998</v>
      </c>
      <c r="K57" s="1545">
        <v>73.240999999999985</v>
      </c>
      <c r="L57" s="1570">
        <v>707.03399999999999</v>
      </c>
      <c r="O57" s="429"/>
      <c r="P57" s="202"/>
      <c r="Q57" s="421"/>
      <c r="R57" s="426"/>
      <c r="S57" s="337"/>
      <c r="T57" s="337"/>
      <c r="U57" s="337"/>
      <c r="V57" s="337"/>
      <c r="W57" s="337"/>
      <c r="X57" s="337"/>
      <c r="Y57" s="337"/>
    </row>
    <row r="58" spans="2:25" x14ac:dyDescent="0.2">
      <c r="B58" s="367">
        <v>2000</v>
      </c>
      <c r="C58" s="368">
        <f t="shared" si="16"/>
        <v>917.33800000000008</v>
      </c>
      <c r="D58" s="369">
        <f t="shared" si="17"/>
        <v>82.47</v>
      </c>
      <c r="E58" s="370">
        <v>12.91</v>
      </c>
      <c r="F58" s="284">
        <v>69.56</v>
      </c>
      <c r="G58" s="371">
        <f t="shared" si="18"/>
        <v>61.15</v>
      </c>
      <c r="H58" s="370">
        <v>0</v>
      </c>
      <c r="I58" s="284">
        <v>61.15</v>
      </c>
      <c r="J58" s="371">
        <f t="shared" si="19"/>
        <v>773.71800000000007</v>
      </c>
      <c r="K58" s="286">
        <v>64.655000000000001</v>
      </c>
      <c r="L58" s="428">
        <v>709.0630000000001</v>
      </c>
      <c r="N58" s="202"/>
      <c r="O58" s="429"/>
      <c r="P58" s="202"/>
      <c r="Q58" s="421"/>
      <c r="R58" s="426"/>
      <c r="S58" s="337"/>
      <c r="T58" s="337"/>
      <c r="U58" s="337"/>
      <c r="V58" s="337"/>
      <c r="W58" s="337"/>
      <c r="X58" s="337"/>
      <c r="Y58" s="337"/>
    </row>
    <row r="59" spans="2:25" ht="12.75" customHeight="1" x14ac:dyDescent="0.35">
      <c r="B59" s="1429"/>
      <c r="C59" s="373"/>
      <c r="D59" s="430"/>
      <c r="E59" s="375"/>
      <c r="F59" s="431"/>
      <c r="G59" s="376"/>
      <c r="H59" s="375"/>
      <c r="I59" s="375"/>
      <c r="J59" s="376"/>
      <c r="K59" s="375"/>
      <c r="L59" s="432"/>
      <c r="O59" s="433"/>
      <c r="Q59" s="337"/>
      <c r="R59" s="426"/>
      <c r="S59" s="337"/>
      <c r="T59" s="337"/>
      <c r="U59" s="337"/>
      <c r="V59" s="337"/>
      <c r="W59" s="337"/>
      <c r="X59" s="337"/>
      <c r="Y59" s="337"/>
    </row>
    <row r="60" spans="2:25" x14ac:dyDescent="0.2">
      <c r="B60" s="367"/>
      <c r="C60" s="373"/>
      <c r="D60" s="1359" t="s">
        <v>207</v>
      </c>
      <c r="E60" s="1360"/>
      <c r="F60" s="1360"/>
      <c r="G60" s="376"/>
      <c r="H60" s="375"/>
      <c r="I60" s="375"/>
      <c r="J60" s="376"/>
      <c r="K60" s="375"/>
      <c r="L60" s="432"/>
      <c r="O60" s="433"/>
      <c r="Q60" s="337"/>
      <c r="R60" s="426"/>
      <c r="S60" s="337"/>
      <c r="T60" s="337"/>
      <c r="U60" s="337"/>
      <c r="V60" s="337"/>
      <c r="W60" s="337"/>
      <c r="X60" s="337"/>
      <c r="Y60" s="337"/>
    </row>
    <row r="61" spans="2:25" x14ac:dyDescent="0.2">
      <c r="B61" s="367">
        <v>2001</v>
      </c>
      <c r="C61" s="368">
        <f t="shared" ref="C61:C74" si="20">+D61+J61</f>
        <v>855.87900000000002</v>
      </c>
      <c r="D61" s="369">
        <f t="shared" ref="D61:D73" si="21">SUM(E61:F61)</f>
        <v>134.809</v>
      </c>
      <c r="E61" s="379">
        <v>12.91</v>
      </c>
      <c r="F61" s="434">
        <v>121.89899999999999</v>
      </c>
      <c r="G61" s="371"/>
      <c r="H61" s="379"/>
      <c r="I61" s="379"/>
      <c r="J61" s="371">
        <f t="shared" ref="J61:J75" si="22">SUM(K61:O61)</f>
        <v>721.07</v>
      </c>
      <c r="K61" s="379">
        <v>63.984999999999999</v>
      </c>
      <c r="L61" s="435">
        <v>657.08500000000004</v>
      </c>
      <c r="O61" s="429"/>
      <c r="Q61" s="337"/>
      <c r="R61" s="426"/>
      <c r="S61" s="337"/>
      <c r="T61" s="337"/>
      <c r="U61" s="337"/>
      <c r="V61" s="337"/>
      <c r="W61" s="337"/>
      <c r="X61" s="337"/>
      <c r="Y61" s="337"/>
    </row>
    <row r="62" spans="2:25" x14ac:dyDescent="0.2">
      <c r="B62" s="1541">
        <v>2002</v>
      </c>
      <c r="C62" s="1542">
        <f t="shared" si="20"/>
        <v>867.48199999999974</v>
      </c>
      <c r="D62" s="1543">
        <f t="shared" si="21"/>
        <v>131.839</v>
      </c>
      <c r="E62" s="1551">
        <v>12.91</v>
      </c>
      <c r="F62" s="1551">
        <v>118.92899999999999</v>
      </c>
      <c r="G62" s="1569"/>
      <c r="H62" s="1551"/>
      <c r="I62" s="1551"/>
      <c r="J62" s="1569">
        <f t="shared" si="22"/>
        <v>735.6429999999998</v>
      </c>
      <c r="K62" s="1551">
        <v>65.958999999999975</v>
      </c>
      <c r="L62" s="1571">
        <v>669.68399999999986</v>
      </c>
      <c r="O62" s="429"/>
      <c r="Q62" s="337"/>
      <c r="R62" s="337"/>
      <c r="S62" s="337"/>
      <c r="T62" s="337"/>
      <c r="U62" s="337"/>
      <c r="V62" s="337"/>
      <c r="W62" s="337"/>
      <c r="X62" s="337"/>
      <c r="Y62" s="337"/>
    </row>
    <row r="63" spans="2:25" x14ac:dyDescent="0.2">
      <c r="B63" s="367">
        <v>2003</v>
      </c>
      <c r="C63" s="368">
        <f t="shared" si="20"/>
        <v>874.96</v>
      </c>
      <c r="D63" s="369">
        <f t="shared" si="21"/>
        <v>131.74900000000002</v>
      </c>
      <c r="E63" s="379">
        <v>12.91</v>
      </c>
      <c r="F63" s="379">
        <v>118.83900000000001</v>
      </c>
      <c r="G63" s="371"/>
      <c r="H63" s="379"/>
      <c r="I63" s="379"/>
      <c r="J63" s="371">
        <f t="shared" si="22"/>
        <v>743.21100000000001</v>
      </c>
      <c r="K63" s="379">
        <v>72.575999999999993</v>
      </c>
      <c r="L63" s="435">
        <v>670.63499999999999</v>
      </c>
      <c r="O63" s="429"/>
      <c r="Q63" s="337"/>
      <c r="R63" s="337"/>
      <c r="S63" s="337"/>
      <c r="T63" s="337"/>
      <c r="U63" s="337"/>
      <c r="V63" s="337"/>
      <c r="W63" s="337"/>
      <c r="X63" s="337"/>
      <c r="Y63" s="337"/>
    </row>
    <row r="64" spans="2:25" x14ac:dyDescent="0.2">
      <c r="B64" s="1541">
        <v>2004</v>
      </c>
      <c r="C64" s="1542">
        <f t="shared" si="20"/>
        <v>920.29700000000003</v>
      </c>
      <c r="D64" s="1543">
        <f t="shared" si="21"/>
        <v>161.499</v>
      </c>
      <c r="E64" s="1551">
        <v>12.91</v>
      </c>
      <c r="F64" s="1551">
        <v>148.589</v>
      </c>
      <c r="G64" s="1569"/>
      <c r="H64" s="1551"/>
      <c r="I64" s="1551"/>
      <c r="J64" s="1569">
        <f t="shared" si="22"/>
        <v>758.798</v>
      </c>
      <c r="K64" s="1551">
        <v>73.897999999999968</v>
      </c>
      <c r="L64" s="1571">
        <v>684.9</v>
      </c>
      <c r="O64" s="429"/>
      <c r="Q64" s="337"/>
      <c r="R64" s="337"/>
      <c r="S64" s="337"/>
      <c r="T64" s="337"/>
      <c r="U64" s="337"/>
      <c r="V64" s="337"/>
      <c r="W64" s="337"/>
      <c r="X64" s="337"/>
      <c r="Y64" s="337"/>
    </row>
    <row r="65" spans="2:25" x14ac:dyDescent="0.2">
      <c r="B65" s="367">
        <v>2005</v>
      </c>
      <c r="C65" s="368">
        <f t="shared" si="20"/>
        <v>979.89199999999994</v>
      </c>
      <c r="D65" s="369">
        <f t="shared" si="21"/>
        <v>179.03300000000002</v>
      </c>
      <c r="E65" s="379">
        <v>14.114000000000001</v>
      </c>
      <c r="F65" s="379">
        <v>164.91900000000001</v>
      </c>
      <c r="G65" s="371"/>
      <c r="H65" s="379"/>
      <c r="I65" s="379"/>
      <c r="J65" s="371">
        <f t="shared" si="22"/>
        <v>800.85899999999992</v>
      </c>
      <c r="K65" s="379">
        <v>73.747999999999976</v>
      </c>
      <c r="L65" s="435">
        <v>727.11099999999999</v>
      </c>
      <c r="O65" s="429"/>
      <c r="Q65" s="337"/>
      <c r="R65" s="337"/>
      <c r="S65" s="337"/>
      <c r="T65" s="337"/>
      <c r="U65" s="337"/>
      <c r="V65" s="337"/>
      <c r="W65" s="337"/>
      <c r="X65" s="337"/>
      <c r="Y65" s="337"/>
    </row>
    <row r="66" spans="2:25" x14ac:dyDescent="0.2">
      <c r="B66" s="1541">
        <v>2006</v>
      </c>
      <c r="C66" s="1542">
        <f t="shared" si="20"/>
        <v>1033.0019999999997</v>
      </c>
      <c r="D66" s="1543">
        <f>SUM(E66:F66)</f>
        <v>185.02</v>
      </c>
      <c r="E66" s="1551">
        <v>14.114000000000001</v>
      </c>
      <c r="F66" s="1551">
        <v>170.90600000000001</v>
      </c>
      <c r="G66" s="1569"/>
      <c r="H66" s="1551"/>
      <c r="I66" s="1551"/>
      <c r="J66" s="1569">
        <f t="shared" si="22"/>
        <v>847.98199999999974</v>
      </c>
      <c r="K66" s="1551">
        <v>74.087999999999994</v>
      </c>
      <c r="L66" s="1571">
        <v>773.89399999999978</v>
      </c>
      <c r="O66" s="429"/>
      <c r="Q66" s="337"/>
      <c r="R66" s="337"/>
      <c r="S66" s="337"/>
      <c r="T66" s="337"/>
      <c r="U66" s="337"/>
      <c r="V66" s="337"/>
      <c r="W66" s="337"/>
      <c r="X66" s="337"/>
      <c r="Y66" s="337"/>
    </row>
    <row r="67" spans="2:25" x14ac:dyDescent="0.2">
      <c r="B67" s="367">
        <v>2007</v>
      </c>
      <c r="C67" s="368">
        <f t="shared" si="20"/>
        <v>1037.7919999999999</v>
      </c>
      <c r="D67" s="369">
        <f t="shared" si="21"/>
        <v>182.75000000000003</v>
      </c>
      <c r="E67" s="379">
        <v>13.704000000000001</v>
      </c>
      <c r="F67" s="379">
        <v>169.04600000000002</v>
      </c>
      <c r="G67" s="371"/>
      <c r="H67" s="379"/>
      <c r="I67" s="379"/>
      <c r="J67" s="371">
        <f t="shared" si="22"/>
        <v>855.04199999999992</v>
      </c>
      <c r="K67" s="379">
        <v>74.753</v>
      </c>
      <c r="L67" s="435">
        <v>780.28899999999987</v>
      </c>
      <c r="O67" s="429"/>
      <c r="Q67" s="337"/>
      <c r="R67" s="337"/>
      <c r="S67" s="337"/>
      <c r="T67" s="337"/>
      <c r="U67" s="337"/>
      <c r="V67" s="337"/>
      <c r="W67" s="337"/>
      <c r="X67" s="337"/>
      <c r="Y67" s="337"/>
    </row>
    <row r="68" spans="2:25" x14ac:dyDescent="0.2">
      <c r="B68" s="1541">
        <v>2008</v>
      </c>
      <c r="C68" s="1542">
        <f t="shared" si="20"/>
        <v>1160.9520000000007</v>
      </c>
      <c r="D68" s="1543">
        <f t="shared" si="21"/>
        <v>182.16</v>
      </c>
      <c r="E68" s="1551">
        <v>13.704000000000001</v>
      </c>
      <c r="F68" s="1551">
        <v>168.45599999999999</v>
      </c>
      <c r="G68" s="1569"/>
      <c r="H68" s="1551"/>
      <c r="I68" s="1551"/>
      <c r="J68" s="1569">
        <f t="shared" si="22"/>
        <v>978.79200000000071</v>
      </c>
      <c r="K68" s="1551">
        <v>76.283999999999978</v>
      </c>
      <c r="L68" s="1571">
        <v>902.50800000000072</v>
      </c>
      <c r="O68" s="429"/>
      <c r="Q68" s="337"/>
      <c r="R68" s="337"/>
      <c r="S68" s="337"/>
      <c r="T68" s="337"/>
      <c r="U68" s="337"/>
      <c r="V68" s="337"/>
      <c r="W68" s="337"/>
      <c r="X68" s="337"/>
      <c r="Y68" s="337"/>
    </row>
    <row r="69" spans="2:25" x14ac:dyDescent="0.2">
      <c r="B69" s="367">
        <v>2009</v>
      </c>
      <c r="C69" s="368">
        <f t="shared" si="20"/>
        <v>1262.9800000000002</v>
      </c>
      <c r="D69" s="369">
        <f t="shared" si="21"/>
        <v>187.75500000000005</v>
      </c>
      <c r="E69" s="379">
        <v>13.704000000000001</v>
      </c>
      <c r="F69" s="379">
        <v>174.05100000000004</v>
      </c>
      <c r="G69" s="371"/>
      <c r="H69" s="379"/>
      <c r="I69" s="379"/>
      <c r="J69" s="371">
        <f t="shared" si="22"/>
        <v>1075.2250000000001</v>
      </c>
      <c r="K69" s="379">
        <v>80.633999999999986</v>
      </c>
      <c r="L69" s="435">
        <v>994.59100000000012</v>
      </c>
      <c r="O69" s="429"/>
      <c r="Q69" s="337"/>
      <c r="R69" s="337"/>
      <c r="S69" s="337"/>
      <c r="T69" s="337"/>
      <c r="U69" s="337"/>
      <c r="V69" s="337"/>
      <c r="W69" s="337"/>
      <c r="X69" s="337"/>
      <c r="Y69" s="337"/>
    </row>
    <row r="70" spans="2:25" x14ac:dyDescent="0.2">
      <c r="B70" s="1541">
        <v>2010</v>
      </c>
      <c r="C70" s="1542">
        <f t="shared" si="20"/>
        <v>1303.3909999999998</v>
      </c>
      <c r="D70" s="1543">
        <f t="shared" si="21"/>
        <v>200.02500000000001</v>
      </c>
      <c r="E70" s="1551">
        <v>13.704000000000001</v>
      </c>
      <c r="F70" s="1551">
        <v>186.321</v>
      </c>
      <c r="G70" s="1569"/>
      <c r="H70" s="1551"/>
      <c r="I70" s="1551"/>
      <c r="J70" s="1569">
        <f t="shared" si="22"/>
        <v>1103.3659999999998</v>
      </c>
      <c r="K70" s="1551">
        <v>79.103000000000009</v>
      </c>
      <c r="L70" s="1571">
        <v>1024.2629999999997</v>
      </c>
      <c r="O70" s="429"/>
      <c r="Q70" s="337"/>
      <c r="R70" s="337"/>
      <c r="S70" s="337"/>
      <c r="T70" s="337"/>
      <c r="U70" s="337"/>
      <c r="V70" s="337"/>
      <c r="W70" s="337"/>
      <c r="X70" s="337"/>
      <c r="Y70" s="337"/>
    </row>
    <row r="71" spans="2:25" x14ac:dyDescent="0.2">
      <c r="B71" s="383">
        <v>2011</v>
      </c>
      <c r="C71" s="385">
        <f t="shared" si="20"/>
        <v>1377.087</v>
      </c>
      <c r="D71" s="386">
        <f t="shared" si="21"/>
        <v>199.05100000000002</v>
      </c>
      <c r="E71" s="387">
        <v>12.5</v>
      </c>
      <c r="F71" s="387">
        <v>186.55100000000002</v>
      </c>
      <c r="G71" s="390"/>
      <c r="H71" s="387"/>
      <c r="I71" s="387"/>
      <c r="J71" s="390">
        <f t="shared" si="22"/>
        <v>1178.0360000000001</v>
      </c>
      <c r="K71" s="387">
        <v>81.393000000000001</v>
      </c>
      <c r="L71" s="436">
        <v>1096.643</v>
      </c>
      <c r="O71" s="429"/>
      <c r="Q71" s="337"/>
      <c r="R71" s="337"/>
      <c r="S71" s="337"/>
      <c r="T71" s="337"/>
      <c r="U71" s="337"/>
      <c r="V71" s="337"/>
      <c r="W71" s="337"/>
      <c r="X71" s="337"/>
      <c r="Y71" s="337"/>
    </row>
    <row r="72" spans="2:25" x14ac:dyDescent="0.2">
      <c r="B72" s="1541">
        <v>2012</v>
      </c>
      <c r="C72" s="1542">
        <f t="shared" si="20"/>
        <v>1431.9260000000006</v>
      </c>
      <c r="D72" s="1543">
        <f t="shared" si="21"/>
        <v>195.82100000000005</v>
      </c>
      <c r="E72" s="1551">
        <v>12.899999999999999</v>
      </c>
      <c r="F72" s="1551">
        <v>182.92100000000005</v>
      </c>
      <c r="G72" s="1569"/>
      <c r="H72" s="1551"/>
      <c r="I72" s="1551"/>
      <c r="J72" s="1569">
        <f t="shared" si="22"/>
        <v>1236.1050000000005</v>
      </c>
      <c r="K72" s="1551">
        <v>90.243999999999986</v>
      </c>
      <c r="L72" s="1571">
        <v>1145.8610000000006</v>
      </c>
      <c r="O72" s="429"/>
      <c r="Q72" s="337"/>
      <c r="R72" s="337"/>
      <c r="S72" s="337"/>
      <c r="T72" s="337"/>
      <c r="U72" s="337"/>
      <c r="V72" s="337"/>
      <c r="W72" s="337"/>
      <c r="X72" s="337"/>
      <c r="Y72" s="337"/>
    </row>
    <row r="73" spans="2:25" x14ac:dyDescent="0.2">
      <c r="B73" s="384">
        <v>2013</v>
      </c>
      <c r="C73" s="385">
        <f t="shared" si="20"/>
        <v>1416.0879999999997</v>
      </c>
      <c r="D73" s="386">
        <f t="shared" si="21"/>
        <v>192.32100000000003</v>
      </c>
      <c r="E73" s="387">
        <v>12.899999999999999</v>
      </c>
      <c r="F73" s="387">
        <v>179.42100000000002</v>
      </c>
      <c r="G73" s="390"/>
      <c r="H73" s="387"/>
      <c r="I73" s="387"/>
      <c r="J73" s="390">
        <f t="shared" si="22"/>
        <v>1223.7669999999998</v>
      </c>
      <c r="K73" s="387">
        <v>92.735000000000014</v>
      </c>
      <c r="L73" s="436">
        <v>1131.0319999999999</v>
      </c>
      <c r="O73" s="429"/>
      <c r="Q73" s="337"/>
      <c r="R73" s="337"/>
      <c r="S73" s="337"/>
      <c r="T73" s="337"/>
      <c r="U73" s="337"/>
      <c r="V73" s="337"/>
      <c r="W73" s="337"/>
      <c r="X73" s="337"/>
      <c r="Y73" s="337"/>
    </row>
    <row r="74" spans="2:25" x14ac:dyDescent="0.2">
      <c r="B74" s="1541">
        <v>2014</v>
      </c>
      <c r="C74" s="1542">
        <f t="shared" si="20"/>
        <v>1463.3709999999996</v>
      </c>
      <c r="D74" s="1543">
        <f>SUM(E74:F74)</f>
        <v>190.22699999999998</v>
      </c>
      <c r="E74" s="1551">
        <v>12.899999999999999</v>
      </c>
      <c r="F74" s="1551">
        <v>177.32699999999997</v>
      </c>
      <c r="G74" s="1569"/>
      <c r="H74" s="1551"/>
      <c r="I74" s="1551"/>
      <c r="J74" s="1569">
        <f t="shared" si="22"/>
        <v>1273.1439999999996</v>
      </c>
      <c r="K74" s="1551">
        <v>90.696000000000012</v>
      </c>
      <c r="L74" s="1571">
        <v>1182.4479999999996</v>
      </c>
      <c r="O74" s="429"/>
      <c r="Q74" s="337"/>
      <c r="R74" s="337"/>
      <c r="S74" s="337"/>
      <c r="T74" s="337"/>
      <c r="U74" s="337"/>
      <c r="V74" s="337"/>
      <c r="W74" s="337"/>
      <c r="X74" s="337"/>
      <c r="Y74" s="337"/>
    </row>
    <row r="75" spans="2:25" x14ac:dyDescent="0.2">
      <c r="B75" s="392" t="s">
        <v>136</v>
      </c>
      <c r="C75" s="385">
        <f>+D75+J75</f>
        <v>1486.3029999999994</v>
      </c>
      <c r="D75" s="386">
        <f>SUM(E75:F75)</f>
        <v>205.07699999999997</v>
      </c>
      <c r="E75" s="387">
        <v>12.899999999999999</v>
      </c>
      <c r="F75" s="387">
        <v>192.17699999999996</v>
      </c>
      <c r="G75" s="390"/>
      <c r="H75" s="387"/>
      <c r="I75" s="387"/>
      <c r="J75" s="390">
        <f t="shared" si="22"/>
        <v>1281.2259999999994</v>
      </c>
      <c r="K75" s="387">
        <v>90.696000000000012</v>
      </c>
      <c r="L75" s="436">
        <v>1190.5299999999995</v>
      </c>
      <c r="O75" s="429"/>
      <c r="Q75" s="337"/>
      <c r="R75" s="337"/>
      <c r="S75" s="337"/>
      <c r="T75" s="337"/>
      <c r="U75" s="337"/>
      <c r="V75" s="337"/>
      <c r="W75" s="337"/>
      <c r="X75" s="337"/>
      <c r="Y75" s="337"/>
    </row>
    <row r="76" spans="2:25" ht="13.5" thickBot="1" x14ac:dyDescent="0.25">
      <c r="B76" s="393"/>
      <c r="C76" s="385"/>
      <c r="D76" s="386"/>
      <c r="E76" s="387"/>
      <c r="F76" s="387"/>
      <c r="G76" s="437"/>
      <c r="H76" s="387"/>
      <c r="I76" s="387"/>
      <c r="J76" s="390"/>
      <c r="K76" s="387"/>
      <c r="L76" s="436"/>
      <c r="O76" s="429"/>
      <c r="Q76" s="337"/>
      <c r="R76" s="337"/>
      <c r="S76" s="337"/>
      <c r="T76" s="337"/>
      <c r="U76" s="337"/>
      <c r="V76" s="337"/>
      <c r="W76" s="337"/>
      <c r="X76" s="337"/>
      <c r="Y76" s="337"/>
    </row>
    <row r="77" spans="2:25" ht="21" customHeight="1" x14ac:dyDescent="0.2">
      <c r="B77" s="395" t="s">
        <v>137</v>
      </c>
      <c r="C77" s="396">
        <f>(C75/C74)-1</f>
        <v>1.5670667247061676E-2</v>
      </c>
      <c r="D77" s="397">
        <f t="shared" ref="D77:F77" si="23">(D75/D74)-1</f>
        <v>7.8064628049645979E-2</v>
      </c>
      <c r="E77" s="398">
        <f t="shared" si="23"/>
        <v>0</v>
      </c>
      <c r="F77" s="404">
        <f t="shared" si="23"/>
        <v>8.374359234634321E-2</v>
      </c>
      <c r="G77" s="438"/>
      <c r="H77" s="400"/>
      <c r="I77" s="400"/>
      <c r="J77" s="402">
        <f t="shared" ref="J77:L77" si="24">(J75/J74)-1</f>
        <v>6.3480643195112929E-3</v>
      </c>
      <c r="K77" s="403">
        <f t="shared" si="24"/>
        <v>0</v>
      </c>
      <c r="L77" s="404">
        <f t="shared" si="24"/>
        <v>6.8349728698426926E-3</v>
      </c>
      <c r="O77" s="439"/>
      <c r="Q77" s="337"/>
      <c r="R77" s="337"/>
      <c r="S77" s="337"/>
      <c r="T77" s="337"/>
      <c r="U77" s="337"/>
      <c r="V77" s="337"/>
      <c r="W77" s="337"/>
      <c r="X77" s="337"/>
      <c r="Y77" s="337"/>
    </row>
    <row r="78" spans="2:25" ht="21" customHeight="1" x14ac:dyDescent="0.2">
      <c r="B78" s="1554" t="s">
        <v>138</v>
      </c>
      <c r="C78" s="1555">
        <f>((C75/C70)^(1/5))-1</f>
        <v>2.6612451298471118E-2</v>
      </c>
      <c r="D78" s="1556">
        <f t="shared" ref="D78:F78" si="25">((D75/D70)^(1/5))-1</f>
        <v>5.0010958685644535E-3</v>
      </c>
      <c r="E78" s="1557">
        <f t="shared" si="25"/>
        <v>-1.2019274404200586E-2</v>
      </c>
      <c r="F78" s="1566">
        <f t="shared" si="25"/>
        <v>6.2083584001779712E-3</v>
      </c>
      <c r="G78" s="406"/>
      <c r="H78" s="406"/>
      <c r="I78" s="406"/>
      <c r="J78" s="1572">
        <f t="shared" ref="J78:L78" si="26">((J75/J70)^(1/5))-1</f>
        <v>3.0341586764832451E-2</v>
      </c>
      <c r="K78" s="1573">
        <f t="shared" si="26"/>
        <v>2.7730004291862898E-2</v>
      </c>
      <c r="L78" s="1566">
        <f t="shared" si="26"/>
        <v>3.0542179187648788E-2</v>
      </c>
      <c r="O78" s="439"/>
      <c r="Q78" s="337"/>
      <c r="R78" s="337"/>
      <c r="S78" s="337"/>
      <c r="T78" s="337"/>
      <c r="U78" s="337"/>
      <c r="V78" s="337"/>
      <c r="W78" s="337"/>
      <c r="X78" s="337"/>
      <c r="Y78" s="337"/>
    </row>
    <row r="79" spans="2:25" ht="20.25" customHeight="1" x14ac:dyDescent="0.2">
      <c r="B79" s="408" t="s">
        <v>144</v>
      </c>
      <c r="C79" s="409">
        <f>(C75/C65)-1</f>
        <v>0.51680287215325715</v>
      </c>
      <c r="D79" s="410">
        <f t="shared" ref="D79:F79" si="27">(D75/D65)-1</f>
        <v>0.14547038814073354</v>
      </c>
      <c r="E79" s="411">
        <f t="shared" si="27"/>
        <v>-8.6013886920788041E-2</v>
      </c>
      <c r="F79" s="440">
        <f t="shared" si="27"/>
        <v>0.16528113801320621</v>
      </c>
      <c r="G79" s="406"/>
      <c r="H79" s="406"/>
      <c r="I79" s="406"/>
      <c r="J79" s="441">
        <f t="shared" ref="J79:L79" si="28">(J75/J65)-1</f>
        <v>0.59981469896698369</v>
      </c>
      <c r="K79" s="414">
        <f t="shared" si="28"/>
        <v>0.22980962195585031</v>
      </c>
      <c r="L79" s="440">
        <f t="shared" si="28"/>
        <v>0.63734285411718372</v>
      </c>
      <c r="O79" s="439"/>
      <c r="Q79" s="337"/>
      <c r="R79" s="337"/>
      <c r="S79" s="337"/>
      <c r="T79" s="337"/>
      <c r="U79" s="337"/>
      <c r="V79" s="337"/>
      <c r="W79" s="337"/>
      <c r="X79" s="337"/>
      <c r="Y79" s="337"/>
    </row>
    <row r="80" spans="2:25" ht="21" customHeight="1" thickBot="1" x14ac:dyDescent="0.25">
      <c r="B80" s="1560" t="s">
        <v>140</v>
      </c>
      <c r="C80" s="1561">
        <f>((C75/C65)^(1/10))-1</f>
        <v>4.2540449698146965E-2</v>
      </c>
      <c r="D80" s="1562">
        <f t="shared" ref="D80:F80" si="29">((D75/D65)^(1/10))-1</f>
        <v>1.3674185233426783E-2</v>
      </c>
      <c r="E80" s="1567">
        <f t="shared" si="29"/>
        <v>-8.9536651765586006E-3</v>
      </c>
      <c r="F80" s="1568">
        <f t="shared" si="29"/>
        <v>1.5413824031584422E-2</v>
      </c>
      <c r="G80" s="406"/>
      <c r="H80" s="406"/>
      <c r="I80" s="406"/>
      <c r="J80" s="1574">
        <f t="shared" ref="J80:L80" si="30">((J75/J65)^(1/10))-1</f>
        <v>4.8110250201201854E-2</v>
      </c>
      <c r="K80" s="1575">
        <f t="shared" si="30"/>
        <v>2.090137480395815E-2</v>
      </c>
      <c r="L80" s="1568">
        <f t="shared" si="30"/>
        <v>5.0543313421976599E-2</v>
      </c>
      <c r="O80" s="439"/>
      <c r="Q80" s="337"/>
      <c r="R80" s="337"/>
      <c r="S80" s="337"/>
      <c r="T80" s="337"/>
      <c r="U80" s="337"/>
      <c r="V80" s="337"/>
      <c r="W80" s="337"/>
      <c r="X80" s="337"/>
      <c r="Y80" s="337"/>
    </row>
    <row r="81" spans="2:25" x14ac:dyDescent="0.2">
      <c r="B81" s="319"/>
      <c r="C81" s="416"/>
      <c r="D81" s="417"/>
      <c r="I81" s="418"/>
      <c r="J81" s="419"/>
      <c r="K81" s="419"/>
      <c r="L81" s="416"/>
      <c r="Q81" s="337"/>
      <c r="R81" s="337"/>
      <c r="S81" s="337"/>
      <c r="T81" s="337"/>
      <c r="U81" s="337"/>
      <c r="V81" s="337"/>
      <c r="W81" s="337"/>
      <c r="X81" s="337"/>
      <c r="Y81" s="337"/>
    </row>
    <row r="82" spans="2:25" x14ac:dyDescent="0.2">
      <c r="B82" s="320" t="s">
        <v>320</v>
      </c>
      <c r="Q82" s="337"/>
      <c r="R82" s="337"/>
      <c r="S82" s="337"/>
      <c r="T82" s="337"/>
      <c r="U82" s="337"/>
      <c r="V82" s="337"/>
      <c r="W82" s="337"/>
      <c r="X82" s="337"/>
      <c r="Y82" s="337"/>
    </row>
    <row r="83" spans="2:25" x14ac:dyDescent="0.2">
      <c r="B83" s="349"/>
      <c r="Q83" s="337"/>
      <c r="R83" s="337"/>
      <c r="S83" s="337"/>
      <c r="T83" s="337"/>
      <c r="U83" s="337"/>
      <c r="V83" s="337"/>
      <c r="W83" s="337"/>
      <c r="X83" s="337"/>
      <c r="Y83" s="337"/>
    </row>
    <row r="84" spans="2:25" x14ac:dyDescent="0.2">
      <c r="Q84" s="337"/>
      <c r="R84" s="337"/>
      <c r="S84" s="337"/>
      <c r="T84" s="337"/>
      <c r="U84" s="337"/>
      <c r="V84" s="337"/>
      <c r="W84" s="337"/>
      <c r="X84" s="337"/>
      <c r="Y84" s="337"/>
    </row>
    <row r="85" spans="2:25" x14ac:dyDescent="0.2">
      <c r="E85" s="202"/>
      <c r="F85" s="202"/>
      <c r="G85" s="202"/>
      <c r="H85" s="202"/>
      <c r="Q85" s="337"/>
      <c r="R85" s="337"/>
      <c r="S85" s="337"/>
      <c r="T85" s="337"/>
      <c r="U85" s="337"/>
      <c r="V85" s="337"/>
      <c r="W85" s="337"/>
      <c r="X85" s="337"/>
      <c r="Y85" s="337"/>
    </row>
    <row r="86" spans="2:25" x14ac:dyDescent="0.2">
      <c r="Q86" s="337"/>
      <c r="R86" s="337"/>
      <c r="S86" s="337"/>
      <c r="T86" s="337"/>
      <c r="U86" s="337"/>
      <c r="V86" s="337"/>
      <c r="W86" s="337"/>
      <c r="X86" s="337"/>
      <c r="Y86" s="337"/>
    </row>
    <row r="87" spans="2:25" x14ac:dyDescent="0.2">
      <c r="D87" s="202"/>
      <c r="E87" s="202"/>
      <c r="F87" s="202"/>
      <c r="G87" s="202"/>
      <c r="H87" s="202"/>
      <c r="Q87" s="337"/>
      <c r="R87" s="337"/>
      <c r="S87" s="337"/>
      <c r="T87" s="337"/>
      <c r="U87" s="337"/>
      <c r="V87" s="337"/>
      <c r="W87" s="337"/>
      <c r="X87" s="337"/>
      <c r="Y87" s="337"/>
    </row>
    <row r="88" spans="2:25" x14ac:dyDescent="0.2">
      <c r="D88" s="202"/>
      <c r="E88" s="202"/>
      <c r="F88" s="202"/>
      <c r="G88" s="202"/>
      <c r="H88" s="202"/>
      <c r="Q88" s="337"/>
      <c r="R88" s="337"/>
      <c r="S88" s="337"/>
      <c r="T88" s="337"/>
      <c r="U88" s="337"/>
      <c r="V88" s="337"/>
      <c r="W88" s="337"/>
      <c r="X88" s="337"/>
      <c r="Y88" s="337"/>
    </row>
    <row r="89" spans="2:25" x14ac:dyDescent="0.2">
      <c r="D89" s="202"/>
      <c r="E89" s="202"/>
      <c r="F89" s="202"/>
      <c r="G89" s="202"/>
      <c r="H89" s="202"/>
    </row>
    <row r="90" spans="2:25" x14ac:dyDescent="0.2">
      <c r="D90" s="202"/>
      <c r="E90" s="202"/>
      <c r="F90" s="202"/>
      <c r="G90" s="202"/>
      <c r="H90" s="202"/>
    </row>
  </sheetData>
  <autoFilter ref="B2:B90"/>
  <mergeCells count="8">
    <mergeCell ref="D60:F60"/>
    <mergeCell ref="D5:H5"/>
    <mergeCell ref="I5:K5"/>
    <mergeCell ref="L5:O5"/>
    <mergeCell ref="D15:H15"/>
    <mergeCell ref="D50:F50"/>
    <mergeCell ref="G50:I50"/>
    <mergeCell ref="J50:L50"/>
  </mergeCells>
  <pageMargins left="0.47244094488188981" right="0.35433070866141736" top="0.51181102362204722" bottom="0.39370078740157483" header="0" footer="0"/>
  <pageSetup paperSize="9" scale="48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2"/>
  <sheetViews>
    <sheetView view="pageBreakPreview" topLeftCell="A73" zoomScaleNormal="100" zoomScaleSheetLayoutView="100" workbookViewId="0">
      <selection activeCell="T31" sqref="T31"/>
    </sheetView>
  </sheetViews>
  <sheetFormatPr baseColWidth="10" defaultRowHeight="12.75" x14ac:dyDescent="0.2"/>
  <cols>
    <col min="1" max="1" width="5.7109375" style="157" customWidth="1"/>
    <col min="2" max="2" width="21.7109375" style="157" customWidth="1"/>
    <col min="3" max="3" width="11.85546875" style="157" customWidth="1"/>
    <col min="4" max="4" width="9.140625" style="157" bestFit="1" customWidth="1"/>
    <col min="5" max="6" width="8.5703125" style="157" customWidth="1"/>
    <col min="7" max="7" width="8" style="157" customWidth="1"/>
    <col min="8" max="8" width="11.140625" style="157" customWidth="1"/>
    <col min="9" max="9" width="11.7109375" style="157" customWidth="1"/>
    <col min="10" max="11" width="9.28515625" style="157" customWidth="1"/>
    <col min="12" max="12" width="7.28515625" style="157" customWidth="1"/>
    <col min="13" max="13" width="9.28515625" style="157" customWidth="1"/>
    <col min="14" max="14" width="9.85546875" style="157" customWidth="1"/>
    <col min="15" max="15" width="8.7109375" style="157" customWidth="1"/>
    <col min="16" max="256" width="11.42578125" style="157"/>
    <col min="257" max="257" width="5.7109375" style="157" customWidth="1"/>
    <col min="258" max="258" width="21.7109375" style="157" customWidth="1"/>
    <col min="259" max="259" width="11.85546875" style="157" customWidth="1"/>
    <col min="260" max="260" width="9.140625" style="157" bestFit="1" customWidth="1"/>
    <col min="261" max="262" width="8.5703125" style="157" customWidth="1"/>
    <col min="263" max="263" width="8" style="157" customWidth="1"/>
    <col min="264" max="264" width="11.140625" style="157" customWidth="1"/>
    <col min="265" max="265" width="11.7109375" style="157" customWidth="1"/>
    <col min="266" max="267" width="9.28515625" style="157" customWidth="1"/>
    <col min="268" max="268" width="7.28515625" style="157" customWidth="1"/>
    <col min="269" max="269" width="9.28515625" style="157" customWidth="1"/>
    <col min="270" max="270" width="9.85546875" style="157" customWidth="1"/>
    <col min="271" max="271" width="8.7109375" style="157" customWidth="1"/>
    <col min="272" max="512" width="11.42578125" style="157"/>
    <col min="513" max="513" width="5.7109375" style="157" customWidth="1"/>
    <col min="514" max="514" width="21.7109375" style="157" customWidth="1"/>
    <col min="515" max="515" width="11.85546875" style="157" customWidth="1"/>
    <col min="516" max="516" width="9.140625" style="157" bestFit="1" customWidth="1"/>
    <col min="517" max="518" width="8.5703125" style="157" customWidth="1"/>
    <col min="519" max="519" width="8" style="157" customWidth="1"/>
    <col min="520" max="520" width="11.140625" style="157" customWidth="1"/>
    <col min="521" max="521" width="11.7109375" style="157" customWidth="1"/>
    <col min="522" max="523" width="9.28515625" style="157" customWidth="1"/>
    <col min="524" max="524" width="7.28515625" style="157" customWidth="1"/>
    <col min="525" max="525" width="9.28515625" style="157" customWidth="1"/>
    <col min="526" max="526" width="9.85546875" style="157" customWidth="1"/>
    <col min="527" max="527" width="8.7109375" style="157" customWidth="1"/>
    <col min="528" max="768" width="11.42578125" style="157"/>
    <col min="769" max="769" width="5.7109375" style="157" customWidth="1"/>
    <col min="770" max="770" width="21.7109375" style="157" customWidth="1"/>
    <col min="771" max="771" width="11.85546875" style="157" customWidth="1"/>
    <col min="772" max="772" width="9.140625" style="157" bestFit="1" customWidth="1"/>
    <col min="773" max="774" width="8.5703125" style="157" customWidth="1"/>
    <col min="775" max="775" width="8" style="157" customWidth="1"/>
    <col min="776" max="776" width="11.140625" style="157" customWidth="1"/>
    <col min="777" max="777" width="11.7109375" style="157" customWidth="1"/>
    <col min="778" max="779" width="9.28515625" style="157" customWidth="1"/>
    <col min="780" max="780" width="7.28515625" style="157" customWidth="1"/>
    <col min="781" max="781" width="9.28515625" style="157" customWidth="1"/>
    <col min="782" max="782" width="9.85546875" style="157" customWidth="1"/>
    <col min="783" max="783" width="8.7109375" style="157" customWidth="1"/>
    <col min="784" max="1024" width="11.42578125" style="157"/>
    <col min="1025" max="1025" width="5.7109375" style="157" customWidth="1"/>
    <col min="1026" max="1026" width="21.7109375" style="157" customWidth="1"/>
    <col min="1027" max="1027" width="11.85546875" style="157" customWidth="1"/>
    <col min="1028" max="1028" width="9.140625" style="157" bestFit="1" customWidth="1"/>
    <col min="1029" max="1030" width="8.5703125" style="157" customWidth="1"/>
    <col min="1031" max="1031" width="8" style="157" customWidth="1"/>
    <col min="1032" max="1032" width="11.140625" style="157" customWidth="1"/>
    <col min="1033" max="1033" width="11.7109375" style="157" customWidth="1"/>
    <col min="1034" max="1035" width="9.28515625" style="157" customWidth="1"/>
    <col min="1036" max="1036" width="7.28515625" style="157" customWidth="1"/>
    <col min="1037" max="1037" width="9.28515625" style="157" customWidth="1"/>
    <col min="1038" max="1038" width="9.85546875" style="157" customWidth="1"/>
    <col min="1039" max="1039" width="8.7109375" style="157" customWidth="1"/>
    <col min="1040" max="1280" width="11.42578125" style="157"/>
    <col min="1281" max="1281" width="5.7109375" style="157" customWidth="1"/>
    <col min="1282" max="1282" width="21.7109375" style="157" customWidth="1"/>
    <col min="1283" max="1283" width="11.85546875" style="157" customWidth="1"/>
    <col min="1284" max="1284" width="9.140625" style="157" bestFit="1" customWidth="1"/>
    <col min="1285" max="1286" width="8.5703125" style="157" customWidth="1"/>
    <col min="1287" max="1287" width="8" style="157" customWidth="1"/>
    <col min="1288" max="1288" width="11.140625" style="157" customWidth="1"/>
    <col min="1289" max="1289" width="11.7109375" style="157" customWidth="1"/>
    <col min="1290" max="1291" width="9.28515625" style="157" customWidth="1"/>
    <col min="1292" max="1292" width="7.28515625" style="157" customWidth="1"/>
    <col min="1293" max="1293" width="9.28515625" style="157" customWidth="1"/>
    <col min="1294" max="1294" width="9.85546875" style="157" customWidth="1"/>
    <col min="1295" max="1295" width="8.7109375" style="157" customWidth="1"/>
    <col min="1296" max="1536" width="11.42578125" style="157"/>
    <col min="1537" max="1537" width="5.7109375" style="157" customWidth="1"/>
    <col min="1538" max="1538" width="21.7109375" style="157" customWidth="1"/>
    <col min="1539" max="1539" width="11.85546875" style="157" customWidth="1"/>
    <col min="1540" max="1540" width="9.140625" style="157" bestFit="1" customWidth="1"/>
    <col min="1541" max="1542" width="8.5703125" style="157" customWidth="1"/>
    <col min="1543" max="1543" width="8" style="157" customWidth="1"/>
    <col min="1544" max="1544" width="11.140625" style="157" customWidth="1"/>
    <col min="1545" max="1545" width="11.7109375" style="157" customWidth="1"/>
    <col min="1546" max="1547" width="9.28515625" style="157" customWidth="1"/>
    <col min="1548" max="1548" width="7.28515625" style="157" customWidth="1"/>
    <col min="1549" max="1549" width="9.28515625" style="157" customWidth="1"/>
    <col min="1550" max="1550" width="9.85546875" style="157" customWidth="1"/>
    <col min="1551" max="1551" width="8.7109375" style="157" customWidth="1"/>
    <col min="1552" max="1792" width="11.42578125" style="157"/>
    <col min="1793" max="1793" width="5.7109375" style="157" customWidth="1"/>
    <col min="1794" max="1794" width="21.7109375" style="157" customWidth="1"/>
    <col min="1795" max="1795" width="11.85546875" style="157" customWidth="1"/>
    <col min="1796" max="1796" width="9.140625" style="157" bestFit="1" customWidth="1"/>
    <col min="1797" max="1798" width="8.5703125" style="157" customWidth="1"/>
    <col min="1799" max="1799" width="8" style="157" customWidth="1"/>
    <col min="1800" max="1800" width="11.140625" style="157" customWidth="1"/>
    <col min="1801" max="1801" width="11.7109375" style="157" customWidth="1"/>
    <col min="1802" max="1803" width="9.28515625" style="157" customWidth="1"/>
    <col min="1804" max="1804" width="7.28515625" style="157" customWidth="1"/>
    <col min="1805" max="1805" width="9.28515625" style="157" customWidth="1"/>
    <col min="1806" max="1806" width="9.85546875" style="157" customWidth="1"/>
    <col min="1807" max="1807" width="8.7109375" style="157" customWidth="1"/>
    <col min="1808" max="2048" width="11.42578125" style="157"/>
    <col min="2049" max="2049" width="5.7109375" style="157" customWidth="1"/>
    <col min="2050" max="2050" width="21.7109375" style="157" customWidth="1"/>
    <col min="2051" max="2051" width="11.85546875" style="157" customWidth="1"/>
    <col min="2052" max="2052" width="9.140625" style="157" bestFit="1" customWidth="1"/>
    <col min="2053" max="2054" width="8.5703125" style="157" customWidth="1"/>
    <col min="2055" max="2055" width="8" style="157" customWidth="1"/>
    <col min="2056" max="2056" width="11.140625" style="157" customWidth="1"/>
    <col min="2057" max="2057" width="11.7109375" style="157" customWidth="1"/>
    <col min="2058" max="2059" width="9.28515625" style="157" customWidth="1"/>
    <col min="2060" max="2060" width="7.28515625" style="157" customWidth="1"/>
    <col min="2061" max="2061" width="9.28515625" style="157" customWidth="1"/>
    <col min="2062" max="2062" width="9.85546875" style="157" customWidth="1"/>
    <col min="2063" max="2063" width="8.7109375" style="157" customWidth="1"/>
    <col min="2064" max="2304" width="11.42578125" style="157"/>
    <col min="2305" max="2305" width="5.7109375" style="157" customWidth="1"/>
    <col min="2306" max="2306" width="21.7109375" style="157" customWidth="1"/>
    <col min="2307" max="2307" width="11.85546875" style="157" customWidth="1"/>
    <col min="2308" max="2308" width="9.140625" style="157" bestFit="1" customWidth="1"/>
    <col min="2309" max="2310" width="8.5703125" style="157" customWidth="1"/>
    <col min="2311" max="2311" width="8" style="157" customWidth="1"/>
    <col min="2312" max="2312" width="11.140625" style="157" customWidth="1"/>
    <col min="2313" max="2313" width="11.7109375" style="157" customWidth="1"/>
    <col min="2314" max="2315" width="9.28515625" style="157" customWidth="1"/>
    <col min="2316" max="2316" width="7.28515625" style="157" customWidth="1"/>
    <col min="2317" max="2317" width="9.28515625" style="157" customWidth="1"/>
    <col min="2318" max="2318" width="9.85546875" style="157" customWidth="1"/>
    <col min="2319" max="2319" width="8.7109375" style="157" customWidth="1"/>
    <col min="2320" max="2560" width="11.42578125" style="157"/>
    <col min="2561" max="2561" width="5.7109375" style="157" customWidth="1"/>
    <col min="2562" max="2562" width="21.7109375" style="157" customWidth="1"/>
    <col min="2563" max="2563" width="11.85546875" style="157" customWidth="1"/>
    <col min="2564" max="2564" width="9.140625" style="157" bestFit="1" customWidth="1"/>
    <col min="2565" max="2566" width="8.5703125" style="157" customWidth="1"/>
    <col min="2567" max="2567" width="8" style="157" customWidth="1"/>
    <col min="2568" max="2568" width="11.140625" style="157" customWidth="1"/>
    <col min="2569" max="2569" width="11.7109375" style="157" customWidth="1"/>
    <col min="2570" max="2571" width="9.28515625" style="157" customWidth="1"/>
    <col min="2572" max="2572" width="7.28515625" style="157" customWidth="1"/>
    <col min="2573" max="2573" width="9.28515625" style="157" customWidth="1"/>
    <col min="2574" max="2574" width="9.85546875" style="157" customWidth="1"/>
    <col min="2575" max="2575" width="8.7109375" style="157" customWidth="1"/>
    <col min="2576" max="2816" width="11.42578125" style="157"/>
    <col min="2817" max="2817" width="5.7109375" style="157" customWidth="1"/>
    <col min="2818" max="2818" width="21.7109375" style="157" customWidth="1"/>
    <col min="2819" max="2819" width="11.85546875" style="157" customWidth="1"/>
    <col min="2820" max="2820" width="9.140625" style="157" bestFit="1" customWidth="1"/>
    <col min="2821" max="2822" width="8.5703125" style="157" customWidth="1"/>
    <col min="2823" max="2823" width="8" style="157" customWidth="1"/>
    <col min="2824" max="2824" width="11.140625" style="157" customWidth="1"/>
    <col min="2825" max="2825" width="11.7109375" style="157" customWidth="1"/>
    <col min="2826" max="2827" width="9.28515625" style="157" customWidth="1"/>
    <col min="2828" max="2828" width="7.28515625" style="157" customWidth="1"/>
    <col min="2829" max="2829" width="9.28515625" style="157" customWidth="1"/>
    <col min="2830" max="2830" width="9.85546875" style="157" customWidth="1"/>
    <col min="2831" max="2831" width="8.7109375" style="157" customWidth="1"/>
    <col min="2832" max="3072" width="11.42578125" style="157"/>
    <col min="3073" max="3073" width="5.7109375" style="157" customWidth="1"/>
    <col min="3074" max="3074" width="21.7109375" style="157" customWidth="1"/>
    <col min="3075" max="3075" width="11.85546875" style="157" customWidth="1"/>
    <col min="3076" max="3076" width="9.140625" style="157" bestFit="1" customWidth="1"/>
    <col min="3077" max="3078" width="8.5703125" style="157" customWidth="1"/>
    <col min="3079" max="3079" width="8" style="157" customWidth="1"/>
    <col min="3080" max="3080" width="11.140625" style="157" customWidth="1"/>
    <col min="3081" max="3081" width="11.7109375" style="157" customWidth="1"/>
    <col min="3082" max="3083" width="9.28515625" style="157" customWidth="1"/>
    <col min="3084" max="3084" width="7.28515625" style="157" customWidth="1"/>
    <col min="3085" max="3085" width="9.28515625" style="157" customWidth="1"/>
    <col min="3086" max="3086" width="9.85546875" style="157" customWidth="1"/>
    <col min="3087" max="3087" width="8.7109375" style="157" customWidth="1"/>
    <col min="3088" max="3328" width="11.42578125" style="157"/>
    <col min="3329" max="3329" width="5.7109375" style="157" customWidth="1"/>
    <col min="3330" max="3330" width="21.7109375" style="157" customWidth="1"/>
    <col min="3331" max="3331" width="11.85546875" style="157" customWidth="1"/>
    <col min="3332" max="3332" width="9.140625" style="157" bestFit="1" customWidth="1"/>
    <col min="3333" max="3334" width="8.5703125" style="157" customWidth="1"/>
    <col min="3335" max="3335" width="8" style="157" customWidth="1"/>
    <col min="3336" max="3336" width="11.140625" style="157" customWidth="1"/>
    <col min="3337" max="3337" width="11.7109375" style="157" customWidth="1"/>
    <col min="3338" max="3339" width="9.28515625" style="157" customWidth="1"/>
    <col min="3340" max="3340" width="7.28515625" style="157" customWidth="1"/>
    <col min="3341" max="3341" width="9.28515625" style="157" customWidth="1"/>
    <col min="3342" max="3342" width="9.85546875" style="157" customWidth="1"/>
    <col min="3343" max="3343" width="8.7109375" style="157" customWidth="1"/>
    <col min="3344" max="3584" width="11.42578125" style="157"/>
    <col min="3585" max="3585" width="5.7109375" style="157" customWidth="1"/>
    <col min="3586" max="3586" width="21.7109375" style="157" customWidth="1"/>
    <col min="3587" max="3587" width="11.85546875" style="157" customWidth="1"/>
    <col min="3588" max="3588" width="9.140625" style="157" bestFit="1" customWidth="1"/>
    <col min="3589" max="3590" width="8.5703125" style="157" customWidth="1"/>
    <col min="3591" max="3591" width="8" style="157" customWidth="1"/>
    <col min="3592" max="3592" width="11.140625" style="157" customWidth="1"/>
    <col min="3593" max="3593" width="11.7109375" style="157" customWidth="1"/>
    <col min="3594" max="3595" width="9.28515625" style="157" customWidth="1"/>
    <col min="3596" max="3596" width="7.28515625" style="157" customWidth="1"/>
    <col min="3597" max="3597" width="9.28515625" style="157" customWidth="1"/>
    <col min="3598" max="3598" width="9.85546875" style="157" customWidth="1"/>
    <col min="3599" max="3599" width="8.7109375" style="157" customWidth="1"/>
    <col min="3600" max="3840" width="11.42578125" style="157"/>
    <col min="3841" max="3841" width="5.7109375" style="157" customWidth="1"/>
    <col min="3842" max="3842" width="21.7109375" style="157" customWidth="1"/>
    <col min="3843" max="3843" width="11.85546875" style="157" customWidth="1"/>
    <col min="3844" max="3844" width="9.140625" style="157" bestFit="1" customWidth="1"/>
    <col min="3845" max="3846" width="8.5703125" style="157" customWidth="1"/>
    <col min="3847" max="3847" width="8" style="157" customWidth="1"/>
    <col min="3848" max="3848" width="11.140625" style="157" customWidth="1"/>
    <col min="3849" max="3849" width="11.7109375" style="157" customWidth="1"/>
    <col min="3850" max="3851" width="9.28515625" style="157" customWidth="1"/>
    <col min="3852" max="3852" width="7.28515625" style="157" customWidth="1"/>
    <col min="3853" max="3853" width="9.28515625" style="157" customWidth="1"/>
    <col min="3854" max="3854" width="9.85546875" style="157" customWidth="1"/>
    <col min="3855" max="3855" width="8.7109375" style="157" customWidth="1"/>
    <col min="3856" max="4096" width="11.42578125" style="157"/>
    <col min="4097" max="4097" width="5.7109375" style="157" customWidth="1"/>
    <col min="4098" max="4098" width="21.7109375" style="157" customWidth="1"/>
    <col min="4099" max="4099" width="11.85546875" style="157" customWidth="1"/>
    <col min="4100" max="4100" width="9.140625" style="157" bestFit="1" customWidth="1"/>
    <col min="4101" max="4102" width="8.5703125" style="157" customWidth="1"/>
    <col min="4103" max="4103" width="8" style="157" customWidth="1"/>
    <col min="4104" max="4104" width="11.140625" style="157" customWidth="1"/>
    <col min="4105" max="4105" width="11.7109375" style="157" customWidth="1"/>
    <col min="4106" max="4107" width="9.28515625" style="157" customWidth="1"/>
    <col min="4108" max="4108" width="7.28515625" style="157" customWidth="1"/>
    <col min="4109" max="4109" width="9.28515625" style="157" customWidth="1"/>
    <col min="4110" max="4110" width="9.85546875" style="157" customWidth="1"/>
    <col min="4111" max="4111" width="8.7109375" style="157" customWidth="1"/>
    <col min="4112" max="4352" width="11.42578125" style="157"/>
    <col min="4353" max="4353" width="5.7109375" style="157" customWidth="1"/>
    <col min="4354" max="4354" width="21.7109375" style="157" customWidth="1"/>
    <col min="4355" max="4355" width="11.85546875" style="157" customWidth="1"/>
    <col min="4356" max="4356" width="9.140625" style="157" bestFit="1" customWidth="1"/>
    <col min="4357" max="4358" width="8.5703125" style="157" customWidth="1"/>
    <col min="4359" max="4359" width="8" style="157" customWidth="1"/>
    <col min="4360" max="4360" width="11.140625" style="157" customWidth="1"/>
    <col min="4361" max="4361" width="11.7109375" style="157" customWidth="1"/>
    <col min="4362" max="4363" width="9.28515625" style="157" customWidth="1"/>
    <col min="4364" max="4364" width="7.28515625" style="157" customWidth="1"/>
    <col min="4365" max="4365" width="9.28515625" style="157" customWidth="1"/>
    <col min="4366" max="4366" width="9.85546875" style="157" customWidth="1"/>
    <col min="4367" max="4367" width="8.7109375" style="157" customWidth="1"/>
    <col min="4368" max="4608" width="11.42578125" style="157"/>
    <col min="4609" max="4609" width="5.7109375" style="157" customWidth="1"/>
    <col min="4610" max="4610" width="21.7109375" style="157" customWidth="1"/>
    <col min="4611" max="4611" width="11.85546875" style="157" customWidth="1"/>
    <col min="4612" max="4612" width="9.140625" style="157" bestFit="1" customWidth="1"/>
    <col min="4613" max="4614" width="8.5703125" style="157" customWidth="1"/>
    <col min="4615" max="4615" width="8" style="157" customWidth="1"/>
    <col min="4616" max="4616" width="11.140625" style="157" customWidth="1"/>
    <col min="4617" max="4617" width="11.7109375" style="157" customWidth="1"/>
    <col min="4618" max="4619" width="9.28515625" style="157" customWidth="1"/>
    <col min="4620" max="4620" width="7.28515625" style="157" customWidth="1"/>
    <col min="4621" max="4621" width="9.28515625" style="157" customWidth="1"/>
    <col min="4622" max="4622" width="9.85546875" style="157" customWidth="1"/>
    <col min="4623" max="4623" width="8.7109375" style="157" customWidth="1"/>
    <col min="4624" max="4864" width="11.42578125" style="157"/>
    <col min="4865" max="4865" width="5.7109375" style="157" customWidth="1"/>
    <col min="4866" max="4866" width="21.7109375" style="157" customWidth="1"/>
    <col min="4867" max="4867" width="11.85546875" style="157" customWidth="1"/>
    <col min="4868" max="4868" width="9.140625" style="157" bestFit="1" customWidth="1"/>
    <col min="4869" max="4870" width="8.5703125" style="157" customWidth="1"/>
    <col min="4871" max="4871" width="8" style="157" customWidth="1"/>
    <col min="4872" max="4872" width="11.140625" style="157" customWidth="1"/>
    <col min="4873" max="4873" width="11.7109375" style="157" customWidth="1"/>
    <col min="4874" max="4875" width="9.28515625" style="157" customWidth="1"/>
    <col min="4876" max="4876" width="7.28515625" style="157" customWidth="1"/>
    <col min="4877" max="4877" width="9.28515625" style="157" customWidth="1"/>
    <col min="4878" max="4878" width="9.85546875" style="157" customWidth="1"/>
    <col min="4879" max="4879" width="8.7109375" style="157" customWidth="1"/>
    <col min="4880" max="5120" width="11.42578125" style="157"/>
    <col min="5121" max="5121" width="5.7109375" style="157" customWidth="1"/>
    <col min="5122" max="5122" width="21.7109375" style="157" customWidth="1"/>
    <col min="5123" max="5123" width="11.85546875" style="157" customWidth="1"/>
    <col min="5124" max="5124" width="9.140625" style="157" bestFit="1" customWidth="1"/>
    <col min="5125" max="5126" width="8.5703125" style="157" customWidth="1"/>
    <col min="5127" max="5127" width="8" style="157" customWidth="1"/>
    <col min="5128" max="5128" width="11.140625" style="157" customWidth="1"/>
    <col min="5129" max="5129" width="11.7109375" style="157" customWidth="1"/>
    <col min="5130" max="5131" width="9.28515625" style="157" customWidth="1"/>
    <col min="5132" max="5132" width="7.28515625" style="157" customWidth="1"/>
    <col min="5133" max="5133" width="9.28515625" style="157" customWidth="1"/>
    <col min="5134" max="5134" width="9.85546875" style="157" customWidth="1"/>
    <col min="5135" max="5135" width="8.7109375" style="157" customWidth="1"/>
    <col min="5136" max="5376" width="11.42578125" style="157"/>
    <col min="5377" max="5377" width="5.7109375" style="157" customWidth="1"/>
    <col min="5378" max="5378" width="21.7109375" style="157" customWidth="1"/>
    <col min="5379" max="5379" width="11.85546875" style="157" customWidth="1"/>
    <col min="5380" max="5380" width="9.140625" style="157" bestFit="1" customWidth="1"/>
    <col min="5381" max="5382" width="8.5703125" style="157" customWidth="1"/>
    <col min="5383" max="5383" width="8" style="157" customWidth="1"/>
    <col min="5384" max="5384" width="11.140625" style="157" customWidth="1"/>
    <col min="5385" max="5385" width="11.7109375" style="157" customWidth="1"/>
    <col min="5386" max="5387" width="9.28515625" style="157" customWidth="1"/>
    <col min="5388" max="5388" width="7.28515625" style="157" customWidth="1"/>
    <col min="5389" max="5389" width="9.28515625" style="157" customWidth="1"/>
    <col min="5390" max="5390" width="9.85546875" style="157" customWidth="1"/>
    <col min="5391" max="5391" width="8.7109375" style="157" customWidth="1"/>
    <col min="5392" max="5632" width="11.42578125" style="157"/>
    <col min="5633" max="5633" width="5.7109375" style="157" customWidth="1"/>
    <col min="5634" max="5634" width="21.7109375" style="157" customWidth="1"/>
    <col min="5635" max="5635" width="11.85546875" style="157" customWidth="1"/>
    <col min="5636" max="5636" width="9.140625" style="157" bestFit="1" customWidth="1"/>
    <col min="5637" max="5638" width="8.5703125" style="157" customWidth="1"/>
    <col min="5639" max="5639" width="8" style="157" customWidth="1"/>
    <col min="5640" max="5640" width="11.140625" style="157" customWidth="1"/>
    <col min="5641" max="5641" width="11.7109375" style="157" customWidth="1"/>
    <col min="5642" max="5643" width="9.28515625" style="157" customWidth="1"/>
    <col min="5644" max="5644" width="7.28515625" style="157" customWidth="1"/>
    <col min="5645" max="5645" width="9.28515625" style="157" customWidth="1"/>
    <col min="5646" max="5646" width="9.85546875" style="157" customWidth="1"/>
    <col min="5647" max="5647" width="8.7109375" style="157" customWidth="1"/>
    <col min="5648" max="5888" width="11.42578125" style="157"/>
    <col min="5889" max="5889" width="5.7109375" style="157" customWidth="1"/>
    <col min="5890" max="5890" width="21.7109375" style="157" customWidth="1"/>
    <col min="5891" max="5891" width="11.85546875" style="157" customWidth="1"/>
    <col min="5892" max="5892" width="9.140625" style="157" bestFit="1" customWidth="1"/>
    <col min="5893" max="5894" width="8.5703125" style="157" customWidth="1"/>
    <col min="5895" max="5895" width="8" style="157" customWidth="1"/>
    <col min="5896" max="5896" width="11.140625" style="157" customWidth="1"/>
    <col min="5897" max="5897" width="11.7109375" style="157" customWidth="1"/>
    <col min="5898" max="5899" width="9.28515625" style="157" customWidth="1"/>
    <col min="5900" max="5900" width="7.28515625" style="157" customWidth="1"/>
    <col min="5901" max="5901" width="9.28515625" style="157" customWidth="1"/>
    <col min="5902" max="5902" width="9.85546875" style="157" customWidth="1"/>
    <col min="5903" max="5903" width="8.7109375" style="157" customWidth="1"/>
    <col min="5904" max="6144" width="11.42578125" style="157"/>
    <col min="6145" max="6145" width="5.7109375" style="157" customWidth="1"/>
    <col min="6146" max="6146" width="21.7109375" style="157" customWidth="1"/>
    <col min="6147" max="6147" width="11.85546875" style="157" customWidth="1"/>
    <col min="6148" max="6148" width="9.140625" style="157" bestFit="1" customWidth="1"/>
    <col min="6149" max="6150" width="8.5703125" style="157" customWidth="1"/>
    <col min="6151" max="6151" width="8" style="157" customWidth="1"/>
    <col min="6152" max="6152" width="11.140625" style="157" customWidth="1"/>
    <col min="6153" max="6153" width="11.7109375" style="157" customWidth="1"/>
    <col min="6154" max="6155" width="9.28515625" style="157" customWidth="1"/>
    <col min="6156" max="6156" width="7.28515625" style="157" customWidth="1"/>
    <col min="6157" max="6157" width="9.28515625" style="157" customWidth="1"/>
    <col min="6158" max="6158" width="9.85546875" style="157" customWidth="1"/>
    <col min="6159" max="6159" width="8.7109375" style="157" customWidth="1"/>
    <col min="6160" max="6400" width="11.42578125" style="157"/>
    <col min="6401" max="6401" width="5.7109375" style="157" customWidth="1"/>
    <col min="6402" max="6402" width="21.7109375" style="157" customWidth="1"/>
    <col min="6403" max="6403" width="11.85546875" style="157" customWidth="1"/>
    <col min="6404" max="6404" width="9.140625" style="157" bestFit="1" customWidth="1"/>
    <col min="6405" max="6406" width="8.5703125" style="157" customWidth="1"/>
    <col min="6407" max="6407" width="8" style="157" customWidth="1"/>
    <col min="6408" max="6408" width="11.140625" style="157" customWidth="1"/>
    <col min="6409" max="6409" width="11.7109375" style="157" customWidth="1"/>
    <col min="6410" max="6411" width="9.28515625" style="157" customWidth="1"/>
    <col min="6412" max="6412" width="7.28515625" style="157" customWidth="1"/>
    <col min="6413" max="6413" width="9.28515625" style="157" customWidth="1"/>
    <col min="6414" max="6414" width="9.85546875" style="157" customWidth="1"/>
    <col min="6415" max="6415" width="8.7109375" style="157" customWidth="1"/>
    <col min="6416" max="6656" width="11.42578125" style="157"/>
    <col min="6657" max="6657" width="5.7109375" style="157" customWidth="1"/>
    <col min="6658" max="6658" width="21.7109375" style="157" customWidth="1"/>
    <col min="6659" max="6659" width="11.85546875" style="157" customWidth="1"/>
    <col min="6660" max="6660" width="9.140625" style="157" bestFit="1" customWidth="1"/>
    <col min="6661" max="6662" width="8.5703125" style="157" customWidth="1"/>
    <col min="6663" max="6663" width="8" style="157" customWidth="1"/>
    <col min="6664" max="6664" width="11.140625" style="157" customWidth="1"/>
    <col min="6665" max="6665" width="11.7109375" style="157" customWidth="1"/>
    <col min="6666" max="6667" width="9.28515625" style="157" customWidth="1"/>
    <col min="6668" max="6668" width="7.28515625" style="157" customWidth="1"/>
    <col min="6669" max="6669" width="9.28515625" style="157" customWidth="1"/>
    <col min="6670" max="6670" width="9.85546875" style="157" customWidth="1"/>
    <col min="6671" max="6671" width="8.7109375" style="157" customWidth="1"/>
    <col min="6672" max="6912" width="11.42578125" style="157"/>
    <col min="6913" max="6913" width="5.7109375" style="157" customWidth="1"/>
    <col min="6914" max="6914" width="21.7109375" style="157" customWidth="1"/>
    <col min="6915" max="6915" width="11.85546875" style="157" customWidth="1"/>
    <col min="6916" max="6916" width="9.140625" style="157" bestFit="1" customWidth="1"/>
    <col min="6917" max="6918" width="8.5703125" style="157" customWidth="1"/>
    <col min="6919" max="6919" width="8" style="157" customWidth="1"/>
    <col min="6920" max="6920" width="11.140625" style="157" customWidth="1"/>
    <col min="6921" max="6921" width="11.7109375" style="157" customWidth="1"/>
    <col min="6922" max="6923" width="9.28515625" style="157" customWidth="1"/>
    <col min="6924" max="6924" width="7.28515625" style="157" customWidth="1"/>
    <col min="6925" max="6925" width="9.28515625" style="157" customWidth="1"/>
    <col min="6926" max="6926" width="9.85546875" style="157" customWidth="1"/>
    <col min="6927" max="6927" width="8.7109375" style="157" customWidth="1"/>
    <col min="6928" max="7168" width="11.42578125" style="157"/>
    <col min="7169" max="7169" width="5.7109375" style="157" customWidth="1"/>
    <col min="7170" max="7170" width="21.7109375" style="157" customWidth="1"/>
    <col min="7171" max="7171" width="11.85546875" style="157" customWidth="1"/>
    <col min="7172" max="7172" width="9.140625" style="157" bestFit="1" customWidth="1"/>
    <col min="7173" max="7174" width="8.5703125" style="157" customWidth="1"/>
    <col min="7175" max="7175" width="8" style="157" customWidth="1"/>
    <col min="7176" max="7176" width="11.140625" style="157" customWidth="1"/>
    <col min="7177" max="7177" width="11.7109375" style="157" customWidth="1"/>
    <col min="7178" max="7179" width="9.28515625" style="157" customWidth="1"/>
    <col min="7180" max="7180" width="7.28515625" style="157" customWidth="1"/>
    <col min="7181" max="7181" width="9.28515625" style="157" customWidth="1"/>
    <col min="7182" max="7182" width="9.85546875" style="157" customWidth="1"/>
    <col min="7183" max="7183" width="8.7109375" style="157" customWidth="1"/>
    <col min="7184" max="7424" width="11.42578125" style="157"/>
    <col min="7425" max="7425" width="5.7109375" style="157" customWidth="1"/>
    <col min="7426" max="7426" width="21.7109375" style="157" customWidth="1"/>
    <col min="7427" max="7427" width="11.85546875" style="157" customWidth="1"/>
    <col min="7428" max="7428" width="9.140625" style="157" bestFit="1" customWidth="1"/>
    <col min="7429" max="7430" width="8.5703125" style="157" customWidth="1"/>
    <col min="7431" max="7431" width="8" style="157" customWidth="1"/>
    <col min="7432" max="7432" width="11.140625" style="157" customWidth="1"/>
    <col min="7433" max="7433" width="11.7109375" style="157" customWidth="1"/>
    <col min="7434" max="7435" width="9.28515625" style="157" customWidth="1"/>
    <col min="7436" max="7436" width="7.28515625" style="157" customWidth="1"/>
    <col min="7437" max="7437" width="9.28515625" style="157" customWidth="1"/>
    <col min="7438" max="7438" width="9.85546875" style="157" customWidth="1"/>
    <col min="7439" max="7439" width="8.7109375" style="157" customWidth="1"/>
    <col min="7440" max="7680" width="11.42578125" style="157"/>
    <col min="7681" max="7681" width="5.7109375" style="157" customWidth="1"/>
    <col min="7682" max="7682" width="21.7109375" style="157" customWidth="1"/>
    <col min="7683" max="7683" width="11.85546875" style="157" customWidth="1"/>
    <col min="7684" max="7684" width="9.140625" style="157" bestFit="1" customWidth="1"/>
    <col min="7685" max="7686" width="8.5703125" style="157" customWidth="1"/>
    <col min="7687" max="7687" width="8" style="157" customWidth="1"/>
    <col min="7688" max="7688" width="11.140625" style="157" customWidth="1"/>
    <col min="7689" max="7689" width="11.7109375" style="157" customWidth="1"/>
    <col min="7690" max="7691" width="9.28515625" style="157" customWidth="1"/>
    <col min="7692" max="7692" width="7.28515625" style="157" customWidth="1"/>
    <col min="7693" max="7693" width="9.28515625" style="157" customWidth="1"/>
    <col min="7694" max="7694" width="9.85546875" style="157" customWidth="1"/>
    <col min="7695" max="7695" width="8.7109375" style="157" customWidth="1"/>
    <col min="7696" max="7936" width="11.42578125" style="157"/>
    <col min="7937" max="7937" width="5.7109375" style="157" customWidth="1"/>
    <col min="7938" max="7938" width="21.7109375" style="157" customWidth="1"/>
    <col min="7939" max="7939" width="11.85546875" style="157" customWidth="1"/>
    <col min="7940" max="7940" width="9.140625" style="157" bestFit="1" customWidth="1"/>
    <col min="7941" max="7942" width="8.5703125" style="157" customWidth="1"/>
    <col min="7943" max="7943" width="8" style="157" customWidth="1"/>
    <col min="7944" max="7944" width="11.140625" style="157" customWidth="1"/>
    <col min="7945" max="7945" width="11.7109375" style="157" customWidth="1"/>
    <col min="7946" max="7947" width="9.28515625" style="157" customWidth="1"/>
    <col min="7948" max="7948" width="7.28515625" style="157" customWidth="1"/>
    <col min="7949" max="7949" width="9.28515625" style="157" customWidth="1"/>
    <col min="7950" max="7950" width="9.85546875" style="157" customWidth="1"/>
    <col min="7951" max="7951" width="8.7109375" style="157" customWidth="1"/>
    <col min="7952" max="8192" width="11.42578125" style="157"/>
    <col min="8193" max="8193" width="5.7109375" style="157" customWidth="1"/>
    <col min="8194" max="8194" width="21.7109375" style="157" customWidth="1"/>
    <col min="8195" max="8195" width="11.85546875" style="157" customWidth="1"/>
    <col min="8196" max="8196" width="9.140625" style="157" bestFit="1" customWidth="1"/>
    <col min="8197" max="8198" width="8.5703125" style="157" customWidth="1"/>
    <col min="8199" max="8199" width="8" style="157" customWidth="1"/>
    <col min="8200" max="8200" width="11.140625" style="157" customWidth="1"/>
    <col min="8201" max="8201" width="11.7109375" style="157" customWidth="1"/>
    <col min="8202" max="8203" width="9.28515625" style="157" customWidth="1"/>
    <col min="8204" max="8204" width="7.28515625" style="157" customWidth="1"/>
    <col min="8205" max="8205" width="9.28515625" style="157" customWidth="1"/>
    <col min="8206" max="8206" width="9.85546875" style="157" customWidth="1"/>
    <col min="8207" max="8207" width="8.7109375" style="157" customWidth="1"/>
    <col min="8208" max="8448" width="11.42578125" style="157"/>
    <col min="8449" max="8449" width="5.7109375" style="157" customWidth="1"/>
    <col min="8450" max="8450" width="21.7109375" style="157" customWidth="1"/>
    <col min="8451" max="8451" width="11.85546875" style="157" customWidth="1"/>
    <col min="8452" max="8452" width="9.140625" style="157" bestFit="1" customWidth="1"/>
    <col min="8453" max="8454" width="8.5703125" style="157" customWidth="1"/>
    <col min="8455" max="8455" width="8" style="157" customWidth="1"/>
    <col min="8456" max="8456" width="11.140625" style="157" customWidth="1"/>
    <col min="8457" max="8457" width="11.7109375" style="157" customWidth="1"/>
    <col min="8458" max="8459" width="9.28515625" style="157" customWidth="1"/>
    <col min="8460" max="8460" width="7.28515625" style="157" customWidth="1"/>
    <col min="8461" max="8461" width="9.28515625" style="157" customWidth="1"/>
    <col min="8462" max="8462" width="9.85546875" style="157" customWidth="1"/>
    <col min="8463" max="8463" width="8.7109375" style="157" customWidth="1"/>
    <col min="8464" max="8704" width="11.42578125" style="157"/>
    <col min="8705" max="8705" width="5.7109375" style="157" customWidth="1"/>
    <col min="8706" max="8706" width="21.7109375" style="157" customWidth="1"/>
    <col min="8707" max="8707" width="11.85546875" style="157" customWidth="1"/>
    <col min="8708" max="8708" width="9.140625" style="157" bestFit="1" customWidth="1"/>
    <col min="8709" max="8710" width="8.5703125" style="157" customWidth="1"/>
    <col min="8711" max="8711" width="8" style="157" customWidth="1"/>
    <col min="8712" max="8712" width="11.140625" style="157" customWidth="1"/>
    <col min="8713" max="8713" width="11.7109375" style="157" customWidth="1"/>
    <col min="8714" max="8715" width="9.28515625" style="157" customWidth="1"/>
    <col min="8716" max="8716" width="7.28515625" style="157" customWidth="1"/>
    <col min="8717" max="8717" width="9.28515625" style="157" customWidth="1"/>
    <col min="8718" max="8718" width="9.85546875" style="157" customWidth="1"/>
    <col min="8719" max="8719" width="8.7109375" style="157" customWidth="1"/>
    <col min="8720" max="8960" width="11.42578125" style="157"/>
    <col min="8961" max="8961" width="5.7109375" style="157" customWidth="1"/>
    <col min="8962" max="8962" width="21.7109375" style="157" customWidth="1"/>
    <col min="8963" max="8963" width="11.85546875" style="157" customWidth="1"/>
    <col min="8964" max="8964" width="9.140625" style="157" bestFit="1" customWidth="1"/>
    <col min="8965" max="8966" width="8.5703125" style="157" customWidth="1"/>
    <col min="8967" max="8967" width="8" style="157" customWidth="1"/>
    <col min="8968" max="8968" width="11.140625" style="157" customWidth="1"/>
    <col min="8969" max="8969" width="11.7109375" style="157" customWidth="1"/>
    <col min="8970" max="8971" width="9.28515625" style="157" customWidth="1"/>
    <col min="8972" max="8972" width="7.28515625" style="157" customWidth="1"/>
    <col min="8973" max="8973" width="9.28515625" style="157" customWidth="1"/>
    <col min="8974" max="8974" width="9.85546875" style="157" customWidth="1"/>
    <col min="8975" max="8975" width="8.7109375" style="157" customWidth="1"/>
    <col min="8976" max="9216" width="11.42578125" style="157"/>
    <col min="9217" max="9217" width="5.7109375" style="157" customWidth="1"/>
    <col min="9218" max="9218" width="21.7109375" style="157" customWidth="1"/>
    <col min="9219" max="9219" width="11.85546875" style="157" customWidth="1"/>
    <col min="9220" max="9220" width="9.140625" style="157" bestFit="1" customWidth="1"/>
    <col min="9221" max="9222" width="8.5703125" style="157" customWidth="1"/>
    <col min="9223" max="9223" width="8" style="157" customWidth="1"/>
    <col min="9224" max="9224" width="11.140625" style="157" customWidth="1"/>
    <col min="9225" max="9225" width="11.7109375" style="157" customWidth="1"/>
    <col min="9226" max="9227" width="9.28515625" style="157" customWidth="1"/>
    <col min="9228" max="9228" width="7.28515625" style="157" customWidth="1"/>
    <col min="9229" max="9229" width="9.28515625" style="157" customWidth="1"/>
    <col min="9230" max="9230" width="9.85546875" style="157" customWidth="1"/>
    <col min="9231" max="9231" width="8.7109375" style="157" customWidth="1"/>
    <col min="9232" max="9472" width="11.42578125" style="157"/>
    <col min="9473" max="9473" width="5.7109375" style="157" customWidth="1"/>
    <col min="9474" max="9474" width="21.7109375" style="157" customWidth="1"/>
    <col min="9475" max="9475" width="11.85546875" style="157" customWidth="1"/>
    <col min="9476" max="9476" width="9.140625" style="157" bestFit="1" customWidth="1"/>
    <col min="9477" max="9478" width="8.5703125" style="157" customWidth="1"/>
    <col min="9479" max="9479" width="8" style="157" customWidth="1"/>
    <col min="9480" max="9480" width="11.140625" style="157" customWidth="1"/>
    <col min="9481" max="9481" width="11.7109375" style="157" customWidth="1"/>
    <col min="9482" max="9483" width="9.28515625" style="157" customWidth="1"/>
    <col min="9484" max="9484" width="7.28515625" style="157" customWidth="1"/>
    <col min="9485" max="9485" width="9.28515625" style="157" customWidth="1"/>
    <col min="9486" max="9486" width="9.85546875" style="157" customWidth="1"/>
    <col min="9487" max="9487" width="8.7109375" style="157" customWidth="1"/>
    <col min="9488" max="9728" width="11.42578125" style="157"/>
    <col min="9729" max="9729" width="5.7109375" style="157" customWidth="1"/>
    <col min="9730" max="9730" width="21.7109375" style="157" customWidth="1"/>
    <col min="9731" max="9731" width="11.85546875" style="157" customWidth="1"/>
    <col min="9732" max="9732" width="9.140625" style="157" bestFit="1" customWidth="1"/>
    <col min="9733" max="9734" width="8.5703125" style="157" customWidth="1"/>
    <col min="9735" max="9735" width="8" style="157" customWidth="1"/>
    <col min="9736" max="9736" width="11.140625" style="157" customWidth="1"/>
    <col min="9737" max="9737" width="11.7109375" style="157" customWidth="1"/>
    <col min="9738" max="9739" width="9.28515625" style="157" customWidth="1"/>
    <col min="9740" max="9740" width="7.28515625" style="157" customWidth="1"/>
    <col min="9741" max="9741" width="9.28515625" style="157" customWidth="1"/>
    <col min="9742" max="9742" width="9.85546875" style="157" customWidth="1"/>
    <col min="9743" max="9743" width="8.7109375" style="157" customWidth="1"/>
    <col min="9744" max="9984" width="11.42578125" style="157"/>
    <col min="9985" max="9985" width="5.7109375" style="157" customWidth="1"/>
    <col min="9986" max="9986" width="21.7109375" style="157" customWidth="1"/>
    <col min="9987" max="9987" width="11.85546875" style="157" customWidth="1"/>
    <col min="9988" max="9988" width="9.140625" style="157" bestFit="1" customWidth="1"/>
    <col min="9989" max="9990" width="8.5703125" style="157" customWidth="1"/>
    <col min="9991" max="9991" width="8" style="157" customWidth="1"/>
    <col min="9992" max="9992" width="11.140625" style="157" customWidth="1"/>
    <col min="9993" max="9993" width="11.7109375" style="157" customWidth="1"/>
    <col min="9994" max="9995" width="9.28515625" style="157" customWidth="1"/>
    <col min="9996" max="9996" width="7.28515625" style="157" customWidth="1"/>
    <col min="9997" max="9997" width="9.28515625" style="157" customWidth="1"/>
    <col min="9998" max="9998" width="9.85546875" style="157" customWidth="1"/>
    <col min="9999" max="9999" width="8.7109375" style="157" customWidth="1"/>
    <col min="10000" max="10240" width="11.42578125" style="157"/>
    <col min="10241" max="10241" width="5.7109375" style="157" customWidth="1"/>
    <col min="10242" max="10242" width="21.7109375" style="157" customWidth="1"/>
    <col min="10243" max="10243" width="11.85546875" style="157" customWidth="1"/>
    <col min="10244" max="10244" width="9.140625" style="157" bestFit="1" customWidth="1"/>
    <col min="10245" max="10246" width="8.5703125" style="157" customWidth="1"/>
    <col min="10247" max="10247" width="8" style="157" customWidth="1"/>
    <col min="10248" max="10248" width="11.140625" style="157" customWidth="1"/>
    <col min="10249" max="10249" width="11.7109375" style="157" customWidth="1"/>
    <col min="10250" max="10251" width="9.28515625" style="157" customWidth="1"/>
    <col min="10252" max="10252" width="7.28515625" style="157" customWidth="1"/>
    <col min="10253" max="10253" width="9.28515625" style="157" customWidth="1"/>
    <col min="10254" max="10254" width="9.85546875" style="157" customWidth="1"/>
    <col min="10255" max="10255" width="8.7109375" style="157" customWidth="1"/>
    <col min="10256" max="10496" width="11.42578125" style="157"/>
    <col min="10497" max="10497" width="5.7109375" style="157" customWidth="1"/>
    <col min="10498" max="10498" width="21.7109375" style="157" customWidth="1"/>
    <col min="10499" max="10499" width="11.85546875" style="157" customWidth="1"/>
    <col min="10500" max="10500" width="9.140625" style="157" bestFit="1" customWidth="1"/>
    <col min="10501" max="10502" width="8.5703125" style="157" customWidth="1"/>
    <col min="10503" max="10503" width="8" style="157" customWidth="1"/>
    <col min="10504" max="10504" width="11.140625" style="157" customWidth="1"/>
    <col min="10505" max="10505" width="11.7109375" style="157" customWidth="1"/>
    <col min="10506" max="10507" width="9.28515625" style="157" customWidth="1"/>
    <col min="10508" max="10508" width="7.28515625" style="157" customWidth="1"/>
    <col min="10509" max="10509" width="9.28515625" style="157" customWidth="1"/>
    <col min="10510" max="10510" width="9.85546875" style="157" customWidth="1"/>
    <col min="10511" max="10511" width="8.7109375" style="157" customWidth="1"/>
    <col min="10512" max="10752" width="11.42578125" style="157"/>
    <col min="10753" max="10753" width="5.7109375" style="157" customWidth="1"/>
    <col min="10754" max="10754" width="21.7109375" style="157" customWidth="1"/>
    <col min="10755" max="10755" width="11.85546875" style="157" customWidth="1"/>
    <col min="10756" max="10756" width="9.140625" style="157" bestFit="1" customWidth="1"/>
    <col min="10757" max="10758" width="8.5703125" style="157" customWidth="1"/>
    <col min="10759" max="10759" width="8" style="157" customWidth="1"/>
    <col min="10760" max="10760" width="11.140625" style="157" customWidth="1"/>
    <col min="10761" max="10761" width="11.7109375" style="157" customWidth="1"/>
    <col min="10762" max="10763" width="9.28515625" style="157" customWidth="1"/>
    <col min="10764" max="10764" width="7.28515625" style="157" customWidth="1"/>
    <col min="10765" max="10765" width="9.28515625" style="157" customWidth="1"/>
    <col min="10766" max="10766" width="9.85546875" style="157" customWidth="1"/>
    <col min="10767" max="10767" width="8.7109375" style="157" customWidth="1"/>
    <col min="10768" max="11008" width="11.42578125" style="157"/>
    <col min="11009" max="11009" width="5.7109375" style="157" customWidth="1"/>
    <col min="11010" max="11010" width="21.7109375" style="157" customWidth="1"/>
    <col min="11011" max="11011" width="11.85546875" style="157" customWidth="1"/>
    <col min="11012" max="11012" width="9.140625" style="157" bestFit="1" customWidth="1"/>
    <col min="11013" max="11014" width="8.5703125" style="157" customWidth="1"/>
    <col min="11015" max="11015" width="8" style="157" customWidth="1"/>
    <col min="11016" max="11016" width="11.140625" style="157" customWidth="1"/>
    <col min="11017" max="11017" width="11.7109375" style="157" customWidth="1"/>
    <col min="11018" max="11019" width="9.28515625" style="157" customWidth="1"/>
    <col min="11020" max="11020" width="7.28515625" style="157" customWidth="1"/>
    <col min="11021" max="11021" width="9.28515625" style="157" customWidth="1"/>
    <col min="11022" max="11022" width="9.85546875" style="157" customWidth="1"/>
    <col min="11023" max="11023" width="8.7109375" style="157" customWidth="1"/>
    <col min="11024" max="11264" width="11.42578125" style="157"/>
    <col min="11265" max="11265" width="5.7109375" style="157" customWidth="1"/>
    <col min="11266" max="11266" width="21.7109375" style="157" customWidth="1"/>
    <col min="11267" max="11267" width="11.85546875" style="157" customWidth="1"/>
    <col min="11268" max="11268" width="9.140625" style="157" bestFit="1" customWidth="1"/>
    <col min="11269" max="11270" width="8.5703125" style="157" customWidth="1"/>
    <col min="11271" max="11271" width="8" style="157" customWidth="1"/>
    <col min="11272" max="11272" width="11.140625" style="157" customWidth="1"/>
    <col min="11273" max="11273" width="11.7109375" style="157" customWidth="1"/>
    <col min="11274" max="11275" width="9.28515625" style="157" customWidth="1"/>
    <col min="11276" max="11276" width="7.28515625" style="157" customWidth="1"/>
    <col min="11277" max="11277" width="9.28515625" style="157" customWidth="1"/>
    <col min="11278" max="11278" width="9.85546875" style="157" customWidth="1"/>
    <col min="11279" max="11279" width="8.7109375" style="157" customWidth="1"/>
    <col min="11280" max="11520" width="11.42578125" style="157"/>
    <col min="11521" max="11521" width="5.7109375" style="157" customWidth="1"/>
    <col min="11522" max="11522" width="21.7109375" style="157" customWidth="1"/>
    <col min="11523" max="11523" width="11.85546875" style="157" customWidth="1"/>
    <col min="11524" max="11524" width="9.140625" style="157" bestFit="1" customWidth="1"/>
    <col min="11525" max="11526" width="8.5703125" style="157" customWidth="1"/>
    <col min="11527" max="11527" width="8" style="157" customWidth="1"/>
    <col min="11528" max="11528" width="11.140625" style="157" customWidth="1"/>
    <col min="11529" max="11529" width="11.7109375" style="157" customWidth="1"/>
    <col min="11530" max="11531" width="9.28515625" style="157" customWidth="1"/>
    <col min="11532" max="11532" width="7.28515625" style="157" customWidth="1"/>
    <col min="11533" max="11533" width="9.28515625" style="157" customWidth="1"/>
    <col min="11534" max="11534" width="9.85546875" style="157" customWidth="1"/>
    <col min="11535" max="11535" width="8.7109375" style="157" customWidth="1"/>
    <col min="11536" max="11776" width="11.42578125" style="157"/>
    <col min="11777" max="11777" width="5.7109375" style="157" customWidth="1"/>
    <col min="11778" max="11778" width="21.7109375" style="157" customWidth="1"/>
    <col min="11779" max="11779" width="11.85546875" style="157" customWidth="1"/>
    <col min="11780" max="11780" width="9.140625" style="157" bestFit="1" customWidth="1"/>
    <col min="11781" max="11782" width="8.5703125" style="157" customWidth="1"/>
    <col min="11783" max="11783" width="8" style="157" customWidth="1"/>
    <col min="11784" max="11784" width="11.140625" style="157" customWidth="1"/>
    <col min="11785" max="11785" width="11.7109375" style="157" customWidth="1"/>
    <col min="11786" max="11787" width="9.28515625" style="157" customWidth="1"/>
    <col min="11788" max="11788" width="7.28515625" style="157" customWidth="1"/>
    <col min="11789" max="11789" width="9.28515625" style="157" customWidth="1"/>
    <col min="11790" max="11790" width="9.85546875" style="157" customWidth="1"/>
    <col min="11791" max="11791" width="8.7109375" style="157" customWidth="1"/>
    <col min="11792" max="12032" width="11.42578125" style="157"/>
    <col min="12033" max="12033" width="5.7109375" style="157" customWidth="1"/>
    <col min="12034" max="12034" width="21.7109375" style="157" customWidth="1"/>
    <col min="12035" max="12035" width="11.85546875" style="157" customWidth="1"/>
    <col min="12036" max="12036" width="9.140625" style="157" bestFit="1" customWidth="1"/>
    <col min="12037" max="12038" width="8.5703125" style="157" customWidth="1"/>
    <col min="12039" max="12039" width="8" style="157" customWidth="1"/>
    <col min="12040" max="12040" width="11.140625" style="157" customWidth="1"/>
    <col min="12041" max="12041" width="11.7109375" style="157" customWidth="1"/>
    <col min="12042" max="12043" width="9.28515625" style="157" customWidth="1"/>
    <col min="12044" max="12044" width="7.28515625" style="157" customWidth="1"/>
    <col min="12045" max="12045" width="9.28515625" style="157" customWidth="1"/>
    <col min="12046" max="12046" width="9.85546875" style="157" customWidth="1"/>
    <col min="12047" max="12047" width="8.7109375" style="157" customWidth="1"/>
    <col min="12048" max="12288" width="11.42578125" style="157"/>
    <col min="12289" max="12289" width="5.7109375" style="157" customWidth="1"/>
    <col min="12290" max="12290" width="21.7109375" style="157" customWidth="1"/>
    <col min="12291" max="12291" width="11.85546875" style="157" customWidth="1"/>
    <col min="12292" max="12292" width="9.140625" style="157" bestFit="1" customWidth="1"/>
    <col min="12293" max="12294" width="8.5703125" style="157" customWidth="1"/>
    <col min="12295" max="12295" width="8" style="157" customWidth="1"/>
    <col min="12296" max="12296" width="11.140625" style="157" customWidth="1"/>
    <col min="12297" max="12297" width="11.7109375" style="157" customWidth="1"/>
    <col min="12298" max="12299" width="9.28515625" style="157" customWidth="1"/>
    <col min="12300" max="12300" width="7.28515625" style="157" customWidth="1"/>
    <col min="12301" max="12301" width="9.28515625" style="157" customWidth="1"/>
    <col min="12302" max="12302" width="9.85546875" style="157" customWidth="1"/>
    <col min="12303" max="12303" width="8.7109375" style="157" customWidth="1"/>
    <col min="12304" max="12544" width="11.42578125" style="157"/>
    <col min="12545" max="12545" width="5.7109375" style="157" customWidth="1"/>
    <col min="12546" max="12546" width="21.7109375" style="157" customWidth="1"/>
    <col min="12547" max="12547" width="11.85546875" style="157" customWidth="1"/>
    <col min="12548" max="12548" width="9.140625" style="157" bestFit="1" customWidth="1"/>
    <col min="12549" max="12550" width="8.5703125" style="157" customWidth="1"/>
    <col min="12551" max="12551" width="8" style="157" customWidth="1"/>
    <col min="12552" max="12552" width="11.140625" style="157" customWidth="1"/>
    <col min="12553" max="12553" width="11.7109375" style="157" customWidth="1"/>
    <col min="12554" max="12555" width="9.28515625" style="157" customWidth="1"/>
    <col min="12556" max="12556" width="7.28515625" style="157" customWidth="1"/>
    <col min="12557" max="12557" width="9.28515625" style="157" customWidth="1"/>
    <col min="12558" max="12558" width="9.85546875" style="157" customWidth="1"/>
    <col min="12559" max="12559" width="8.7109375" style="157" customWidth="1"/>
    <col min="12560" max="12800" width="11.42578125" style="157"/>
    <col min="12801" max="12801" width="5.7109375" style="157" customWidth="1"/>
    <col min="12802" max="12802" width="21.7109375" style="157" customWidth="1"/>
    <col min="12803" max="12803" width="11.85546875" style="157" customWidth="1"/>
    <col min="12804" max="12804" width="9.140625" style="157" bestFit="1" customWidth="1"/>
    <col min="12805" max="12806" width="8.5703125" style="157" customWidth="1"/>
    <col min="12807" max="12807" width="8" style="157" customWidth="1"/>
    <col min="12808" max="12808" width="11.140625" style="157" customWidth="1"/>
    <col min="12809" max="12809" width="11.7109375" style="157" customWidth="1"/>
    <col min="12810" max="12811" width="9.28515625" style="157" customWidth="1"/>
    <col min="12812" max="12812" width="7.28515625" style="157" customWidth="1"/>
    <col min="12813" max="12813" width="9.28515625" style="157" customWidth="1"/>
    <col min="12814" max="12814" width="9.85546875" style="157" customWidth="1"/>
    <col min="12815" max="12815" width="8.7109375" style="157" customWidth="1"/>
    <col min="12816" max="13056" width="11.42578125" style="157"/>
    <col min="13057" max="13057" width="5.7109375" style="157" customWidth="1"/>
    <col min="13058" max="13058" width="21.7109375" style="157" customWidth="1"/>
    <col min="13059" max="13059" width="11.85546875" style="157" customWidth="1"/>
    <col min="13060" max="13060" width="9.140625" style="157" bestFit="1" customWidth="1"/>
    <col min="13061" max="13062" width="8.5703125" style="157" customWidth="1"/>
    <col min="13063" max="13063" width="8" style="157" customWidth="1"/>
    <col min="13064" max="13064" width="11.140625" style="157" customWidth="1"/>
    <col min="13065" max="13065" width="11.7109375" style="157" customWidth="1"/>
    <col min="13066" max="13067" width="9.28515625" style="157" customWidth="1"/>
    <col min="13068" max="13068" width="7.28515625" style="157" customWidth="1"/>
    <col min="13069" max="13069" width="9.28515625" style="157" customWidth="1"/>
    <col min="13070" max="13070" width="9.85546875" style="157" customWidth="1"/>
    <col min="13071" max="13071" width="8.7109375" style="157" customWidth="1"/>
    <col min="13072" max="13312" width="11.42578125" style="157"/>
    <col min="13313" max="13313" width="5.7109375" style="157" customWidth="1"/>
    <col min="13314" max="13314" width="21.7109375" style="157" customWidth="1"/>
    <col min="13315" max="13315" width="11.85546875" style="157" customWidth="1"/>
    <col min="13316" max="13316" width="9.140625" style="157" bestFit="1" customWidth="1"/>
    <col min="13317" max="13318" width="8.5703125" style="157" customWidth="1"/>
    <col min="13319" max="13319" width="8" style="157" customWidth="1"/>
    <col min="13320" max="13320" width="11.140625" style="157" customWidth="1"/>
    <col min="13321" max="13321" width="11.7109375" style="157" customWidth="1"/>
    <col min="13322" max="13323" width="9.28515625" style="157" customWidth="1"/>
    <col min="13324" max="13324" width="7.28515625" style="157" customWidth="1"/>
    <col min="13325" max="13325" width="9.28515625" style="157" customWidth="1"/>
    <col min="13326" max="13326" width="9.85546875" style="157" customWidth="1"/>
    <col min="13327" max="13327" width="8.7109375" style="157" customWidth="1"/>
    <col min="13328" max="13568" width="11.42578125" style="157"/>
    <col min="13569" max="13569" width="5.7109375" style="157" customWidth="1"/>
    <col min="13570" max="13570" width="21.7109375" style="157" customWidth="1"/>
    <col min="13571" max="13571" width="11.85546875" style="157" customWidth="1"/>
    <col min="13572" max="13572" width="9.140625" style="157" bestFit="1" customWidth="1"/>
    <col min="13573" max="13574" width="8.5703125" style="157" customWidth="1"/>
    <col min="13575" max="13575" width="8" style="157" customWidth="1"/>
    <col min="13576" max="13576" width="11.140625" style="157" customWidth="1"/>
    <col min="13577" max="13577" width="11.7109375" style="157" customWidth="1"/>
    <col min="13578" max="13579" width="9.28515625" style="157" customWidth="1"/>
    <col min="13580" max="13580" width="7.28515625" style="157" customWidth="1"/>
    <col min="13581" max="13581" width="9.28515625" style="157" customWidth="1"/>
    <col min="13582" max="13582" width="9.85546875" style="157" customWidth="1"/>
    <col min="13583" max="13583" width="8.7109375" style="157" customWidth="1"/>
    <col min="13584" max="13824" width="11.42578125" style="157"/>
    <col min="13825" max="13825" width="5.7109375" style="157" customWidth="1"/>
    <col min="13826" max="13826" width="21.7109375" style="157" customWidth="1"/>
    <col min="13827" max="13827" width="11.85546875" style="157" customWidth="1"/>
    <col min="13828" max="13828" width="9.140625" style="157" bestFit="1" customWidth="1"/>
    <col min="13829" max="13830" width="8.5703125" style="157" customWidth="1"/>
    <col min="13831" max="13831" width="8" style="157" customWidth="1"/>
    <col min="13832" max="13832" width="11.140625" style="157" customWidth="1"/>
    <col min="13833" max="13833" width="11.7109375" style="157" customWidth="1"/>
    <col min="13834" max="13835" width="9.28515625" style="157" customWidth="1"/>
    <col min="13836" max="13836" width="7.28515625" style="157" customWidth="1"/>
    <col min="13837" max="13837" width="9.28515625" style="157" customWidth="1"/>
    <col min="13838" max="13838" width="9.85546875" style="157" customWidth="1"/>
    <col min="13839" max="13839" width="8.7109375" style="157" customWidth="1"/>
    <col min="13840" max="14080" width="11.42578125" style="157"/>
    <col min="14081" max="14081" width="5.7109375" style="157" customWidth="1"/>
    <col min="14082" max="14082" width="21.7109375" style="157" customWidth="1"/>
    <col min="14083" max="14083" width="11.85546875" style="157" customWidth="1"/>
    <col min="14084" max="14084" width="9.140625" style="157" bestFit="1" customWidth="1"/>
    <col min="14085" max="14086" width="8.5703125" style="157" customWidth="1"/>
    <col min="14087" max="14087" width="8" style="157" customWidth="1"/>
    <col min="14088" max="14088" width="11.140625" style="157" customWidth="1"/>
    <col min="14089" max="14089" width="11.7109375" style="157" customWidth="1"/>
    <col min="14090" max="14091" width="9.28515625" style="157" customWidth="1"/>
    <col min="14092" max="14092" width="7.28515625" style="157" customWidth="1"/>
    <col min="14093" max="14093" width="9.28515625" style="157" customWidth="1"/>
    <col min="14094" max="14094" width="9.85546875" style="157" customWidth="1"/>
    <col min="14095" max="14095" width="8.7109375" style="157" customWidth="1"/>
    <col min="14096" max="14336" width="11.42578125" style="157"/>
    <col min="14337" max="14337" width="5.7109375" style="157" customWidth="1"/>
    <col min="14338" max="14338" width="21.7109375" style="157" customWidth="1"/>
    <col min="14339" max="14339" width="11.85546875" style="157" customWidth="1"/>
    <col min="14340" max="14340" width="9.140625" style="157" bestFit="1" customWidth="1"/>
    <col min="14341" max="14342" width="8.5703125" style="157" customWidth="1"/>
    <col min="14343" max="14343" width="8" style="157" customWidth="1"/>
    <col min="14344" max="14344" width="11.140625" style="157" customWidth="1"/>
    <col min="14345" max="14345" width="11.7109375" style="157" customWidth="1"/>
    <col min="14346" max="14347" width="9.28515625" style="157" customWidth="1"/>
    <col min="14348" max="14348" width="7.28515625" style="157" customWidth="1"/>
    <col min="14349" max="14349" width="9.28515625" style="157" customWidth="1"/>
    <col min="14350" max="14350" width="9.85546875" style="157" customWidth="1"/>
    <col min="14351" max="14351" width="8.7109375" style="157" customWidth="1"/>
    <col min="14352" max="14592" width="11.42578125" style="157"/>
    <col min="14593" max="14593" width="5.7109375" style="157" customWidth="1"/>
    <col min="14594" max="14594" width="21.7109375" style="157" customWidth="1"/>
    <col min="14595" max="14595" width="11.85546875" style="157" customWidth="1"/>
    <col min="14596" max="14596" width="9.140625" style="157" bestFit="1" customWidth="1"/>
    <col min="14597" max="14598" width="8.5703125" style="157" customWidth="1"/>
    <col min="14599" max="14599" width="8" style="157" customWidth="1"/>
    <col min="14600" max="14600" width="11.140625" style="157" customWidth="1"/>
    <col min="14601" max="14601" width="11.7109375" style="157" customWidth="1"/>
    <col min="14602" max="14603" width="9.28515625" style="157" customWidth="1"/>
    <col min="14604" max="14604" width="7.28515625" style="157" customWidth="1"/>
    <col min="14605" max="14605" width="9.28515625" style="157" customWidth="1"/>
    <col min="14606" max="14606" width="9.85546875" style="157" customWidth="1"/>
    <col min="14607" max="14607" width="8.7109375" style="157" customWidth="1"/>
    <col min="14608" max="14848" width="11.42578125" style="157"/>
    <col min="14849" max="14849" width="5.7109375" style="157" customWidth="1"/>
    <col min="14850" max="14850" width="21.7109375" style="157" customWidth="1"/>
    <col min="14851" max="14851" width="11.85546875" style="157" customWidth="1"/>
    <col min="14852" max="14852" width="9.140625" style="157" bestFit="1" customWidth="1"/>
    <col min="14853" max="14854" width="8.5703125" style="157" customWidth="1"/>
    <col min="14855" max="14855" width="8" style="157" customWidth="1"/>
    <col min="14856" max="14856" width="11.140625" style="157" customWidth="1"/>
    <col min="14857" max="14857" width="11.7109375" style="157" customWidth="1"/>
    <col min="14858" max="14859" width="9.28515625" style="157" customWidth="1"/>
    <col min="14860" max="14860" width="7.28515625" style="157" customWidth="1"/>
    <col min="14861" max="14861" width="9.28515625" style="157" customWidth="1"/>
    <col min="14862" max="14862" width="9.85546875" style="157" customWidth="1"/>
    <col min="14863" max="14863" width="8.7109375" style="157" customWidth="1"/>
    <col min="14864" max="15104" width="11.42578125" style="157"/>
    <col min="15105" max="15105" width="5.7109375" style="157" customWidth="1"/>
    <col min="15106" max="15106" width="21.7109375" style="157" customWidth="1"/>
    <col min="15107" max="15107" width="11.85546875" style="157" customWidth="1"/>
    <col min="15108" max="15108" width="9.140625" style="157" bestFit="1" customWidth="1"/>
    <col min="15109" max="15110" width="8.5703125" style="157" customWidth="1"/>
    <col min="15111" max="15111" width="8" style="157" customWidth="1"/>
    <col min="15112" max="15112" width="11.140625" style="157" customWidth="1"/>
    <col min="15113" max="15113" width="11.7109375" style="157" customWidth="1"/>
    <col min="15114" max="15115" width="9.28515625" style="157" customWidth="1"/>
    <col min="15116" max="15116" width="7.28515625" style="157" customWidth="1"/>
    <col min="15117" max="15117" width="9.28515625" style="157" customWidth="1"/>
    <col min="15118" max="15118" width="9.85546875" style="157" customWidth="1"/>
    <col min="15119" max="15119" width="8.7109375" style="157" customWidth="1"/>
    <col min="15120" max="15360" width="11.42578125" style="157"/>
    <col min="15361" max="15361" width="5.7109375" style="157" customWidth="1"/>
    <col min="15362" max="15362" width="21.7109375" style="157" customWidth="1"/>
    <col min="15363" max="15363" width="11.85546875" style="157" customWidth="1"/>
    <col min="15364" max="15364" width="9.140625" style="157" bestFit="1" customWidth="1"/>
    <col min="15365" max="15366" width="8.5703125" style="157" customWidth="1"/>
    <col min="15367" max="15367" width="8" style="157" customWidth="1"/>
    <col min="15368" max="15368" width="11.140625" style="157" customWidth="1"/>
    <col min="15369" max="15369" width="11.7109375" style="157" customWidth="1"/>
    <col min="15370" max="15371" width="9.28515625" style="157" customWidth="1"/>
    <col min="15372" max="15372" width="7.28515625" style="157" customWidth="1"/>
    <col min="15373" max="15373" width="9.28515625" style="157" customWidth="1"/>
    <col min="15374" max="15374" width="9.85546875" style="157" customWidth="1"/>
    <col min="15375" max="15375" width="8.7109375" style="157" customWidth="1"/>
    <col min="15376" max="15616" width="11.42578125" style="157"/>
    <col min="15617" max="15617" width="5.7109375" style="157" customWidth="1"/>
    <col min="15618" max="15618" width="21.7109375" style="157" customWidth="1"/>
    <col min="15619" max="15619" width="11.85546875" style="157" customWidth="1"/>
    <col min="15620" max="15620" width="9.140625" style="157" bestFit="1" customWidth="1"/>
    <col min="15621" max="15622" width="8.5703125" style="157" customWidth="1"/>
    <col min="15623" max="15623" width="8" style="157" customWidth="1"/>
    <col min="15624" max="15624" width="11.140625" style="157" customWidth="1"/>
    <col min="15625" max="15625" width="11.7109375" style="157" customWidth="1"/>
    <col min="15626" max="15627" width="9.28515625" style="157" customWidth="1"/>
    <col min="15628" max="15628" width="7.28515625" style="157" customWidth="1"/>
    <col min="15629" max="15629" width="9.28515625" style="157" customWidth="1"/>
    <col min="15630" max="15630" width="9.85546875" style="157" customWidth="1"/>
    <col min="15631" max="15631" width="8.7109375" style="157" customWidth="1"/>
    <col min="15632" max="15872" width="11.42578125" style="157"/>
    <col min="15873" max="15873" width="5.7109375" style="157" customWidth="1"/>
    <col min="15874" max="15874" width="21.7109375" style="157" customWidth="1"/>
    <col min="15875" max="15875" width="11.85546875" style="157" customWidth="1"/>
    <col min="15876" max="15876" width="9.140625" style="157" bestFit="1" customWidth="1"/>
    <col min="15877" max="15878" width="8.5703125" style="157" customWidth="1"/>
    <col min="15879" max="15879" width="8" style="157" customWidth="1"/>
    <col min="15880" max="15880" width="11.140625" style="157" customWidth="1"/>
    <col min="15881" max="15881" width="11.7109375" style="157" customWidth="1"/>
    <col min="15882" max="15883" width="9.28515625" style="157" customWidth="1"/>
    <col min="15884" max="15884" width="7.28515625" style="157" customWidth="1"/>
    <col min="15885" max="15885" width="9.28515625" style="157" customWidth="1"/>
    <col min="15886" max="15886" width="9.85546875" style="157" customWidth="1"/>
    <col min="15887" max="15887" width="8.7109375" style="157" customWidth="1"/>
    <col min="15888" max="16128" width="11.42578125" style="157"/>
    <col min="16129" max="16129" width="5.7109375" style="157" customWidth="1"/>
    <col min="16130" max="16130" width="21.7109375" style="157" customWidth="1"/>
    <col min="16131" max="16131" width="11.85546875" style="157" customWidth="1"/>
    <col min="16132" max="16132" width="9.140625" style="157" bestFit="1" customWidth="1"/>
    <col min="16133" max="16134" width="8.5703125" style="157" customWidth="1"/>
    <col min="16135" max="16135" width="8" style="157" customWidth="1"/>
    <col min="16136" max="16136" width="11.140625" style="157" customWidth="1"/>
    <col min="16137" max="16137" width="11.7109375" style="157" customWidth="1"/>
    <col min="16138" max="16139" width="9.28515625" style="157" customWidth="1"/>
    <col min="16140" max="16140" width="7.28515625" style="157" customWidth="1"/>
    <col min="16141" max="16141" width="9.28515625" style="157" customWidth="1"/>
    <col min="16142" max="16142" width="9.85546875" style="157" customWidth="1"/>
    <col min="16143" max="16143" width="8.7109375" style="157" customWidth="1"/>
    <col min="16144" max="16384" width="11.42578125" style="157"/>
  </cols>
  <sheetData>
    <row r="1" spans="1:22" ht="20.25" x14ac:dyDescent="0.3">
      <c r="B1" s="1372"/>
      <c r="C1" s="1372"/>
      <c r="D1" s="1372"/>
      <c r="E1" s="1372"/>
      <c r="F1" s="1372"/>
      <c r="G1" s="1372"/>
      <c r="H1" s="1372"/>
      <c r="I1" s="1372"/>
      <c r="J1" s="1372"/>
      <c r="K1" s="1372"/>
      <c r="L1" s="1372"/>
      <c r="M1" s="1372"/>
      <c r="N1" s="1372"/>
      <c r="O1" s="1372"/>
    </row>
    <row r="2" spans="1:22" ht="20.25" x14ac:dyDescent="0.3">
      <c r="A2" s="158" t="s">
        <v>209</v>
      </c>
    </row>
    <row r="3" spans="1:22" ht="15" x14ac:dyDescent="0.25">
      <c r="C3" s="160"/>
      <c r="D3" s="160"/>
      <c r="E3" s="160"/>
      <c r="F3" s="160"/>
      <c r="G3" s="160"/>
      <c r="H3" s="160"/>
      <c r="I3" s="160"/>
      <c r="J3" s="265"/>
      <c r="K3" s="265"/>
      <c r="L3" s="161"/>
      <c r="M3" s="161"/>
      <c r="N3" s="161"/>
      <c r="O3" s="161"/>
    </row>
    <row r="4" spans="1:22" ht="18" x14ac:dyDescent="0.25">
      <c r="B4" s="159" t="s">
        <v>210</v>
      </c>
      <c r="C4" s="266"/>
      <c r="D4" s="266"/>
      <c r="E4" s="266"/>
      <c r="F4" s="266"/>
      <c r="G4" s="266"/>
      <c r="H4" s="266"/>
    </row>
    <row r="5" spans="1:22" ht="13.5" thickBot="1" x14ac:dyDescent="0.25"/>
    <row r="6" spans="1:22" ht="15.75" customHeight="1" x14ac:dyDescent="0.2">
      <c r="B6" s="267"/>
      <c r="C6" s="268"/>
      <c r="D6" s="269" t="s">
        <v>151</v>
      </c>
      <c r="E6" s="270"/>
      <c r="F6" s="270"/>
      <c r="G6" s="270"/>
      <c r="H6" s="269" t="s">
        <v>180</v>
      </c>
      <c r="I6" s="270"/>
      <c r="J6" s="271"/>
      <c r="K6" s="271"/>
      <c r="L6" s="271"/>
      <c r="M6" s="269" t="s">
        <v>181</v>
      </c>
      <c r="N6" s="272"/>
      <c r="O6" s="273"/>
      <c r="R6" s="157" t="s">
        <v>151</v>
      </c>
      <c r="S6" s="157" t="s">
        <v>182</v>
      </c>
      <c r="T6" s="157" t="s">
        <v>183</v>
      </c>
      <c r="U6" s="190" t="s">
        <v>184</v>
      </c>
      <c r="V6" s="190" t="s">
        <v>206</v>
      </c>
    </row>
    <row r="7" spans="1:22" ht="13.5" thickBot="1" x14ac:dyDescent="0.25">
      <c r="B7" s="274" t="s">
        <v>132</v>
      </c>
      <c r="C7" s="275" t="s">
        <v>151</v>
      </c>
      <c r="D7" s="276" t="s">
        <v>186</v>
      </c>
      <c r="E7" s="277" t="s">
        <v>187</v>
      </c>
      <c r="F7" s="277" t="s">
        <v>184</v>
      </c>
      <c r="G7" s="277" t="s">
        <v>185</v>
      </c>
      <c r="H7" s="278" t="s">
        <v>151</v>
      </c>
      <c r="I7" s="277" t="s">
        <v>186</v>
      </c>
      <c r="J7" s="277" t="s">
        <v>187</v>
      </c>
      <c r="K7" s="277" t="s">
        <v>184</v>
      </c>
      <c r="L7" s="277" t="s">
        <v>185</v>
      </c>
      <c r="M7" s="278" t="s">
        <v>151</v>
      </c>
      <c r="N7" s="279" t="s">
        <v>186</v>
      </c>
      <c r="O7" s="280" t="s">
        <v>187</v>
      </c>
      <c r="Q7" s="157">
        <v>1995</v>
      </c>
      <c r="R7" s="203">
        <f t="shared" ref="R7:T22" si="0">C9</f>
        <v>4075.4080000000004</v>
      </c>
      <c r="S7" s="203">
        <f t="shared" si="0"/>
        <v>2474.8850000000002</v>
      </c>
      <c r="T7" s="203">
        <f t="shared" si="0"/>
        <v>1600.5229999999999</v>
      </c>
    </row>
    <row r="8" spans="1:22" x14ac:dyDescent="0.2">
      <c r="B8" s="281"/>
      <c r="C8" s="282"/>
      <c r="D8" s="283"/>
      <c r="E8" s="284"/>
      <c r="F8" s="284"/>
      <c r="G8" s="285"/>
      <c r="H8" s="286"/>
      <c r="I8" s="284"/>
      <c r="J8" s="284"/>
      <c r="K8" s="284"/>
      <c r="L8" s="285"/>
      <c r="M8" s="283"/>
      <c r="N8" s="287"/>
      <c r="O8" s="288"/>
      <c r="Q8" s="157">
        <v>1996</v>
      </c>
      <c r="R8" s="203">
        <f t="shared" si="0"/>
        <v>4003.201</v>
      </c>
      <c r="S8" s="203">
        <f t="shared" si="0"/>
        <v>2201.877</v>
      </c>
      <c r="T8" s="203">
        <f t="shared" si="0"/>
        <v>1801.0740000000001</v>
      </c>
    </row>
    <row r="9" spans="1:22" x14ac:dyDescent="0.2">
      <c r="B9" s="1510">
        <v>1995</v>
      </c>
      <c r="C9" s="1581">
        <f t="shared" ref="C9:C24" si="1">SUM(D9:G9)</f>
        <v>4075.4080000000004</v>
      </c>
      <c r="D9" s="1582">
        <f t="shared" ref="D9:E24" si="2">SUM(I9,N9)</f>
        <v>2474.8850000000002</v>
      </c>
      <c r="E9" s="1583">
        <f t="shared" si="2"/>
        <v>1600.5229999999999</v>
      </c>
      <c r="F9" s="1583"/>
      <c r="G9" s="1584"/>
      <c r="H9" s="1582">
        <f t="shared" ref="H9:H23" si="3">SUM(I9:L9)</f>
        <v>3195.3919999999998</v>
      </c>
      <c r="I9" s="1582">
        <f>+[3]Desagregado!E9+[3]Desagregado!J9+[3]Desagregado!M9</f>
        <v>2205.915</v>
      </c>
      <c r="J9" s="1585">
        <f>+[3]Desagregado!F9+[3]Desagregado!K9+[3]Desagregado!N9</f>
        <v>989.47699999999998</v>
      </c>
      <c r="K9" s="1586"/>
      <c r="L9" s="1584"/>
      <c r="M9" s="1582">
        <f t="shared" ref="M9:M24" si="4">SUM(N9:O9)</f>
        <v>880.01599999999996</v>
      </c>
      <c r="N9" s="1583">
        <f>+[3]Desagregado!E53+[3]Desagregado!H53+[3]Desagregado!K53</f>
        <v>268.97000000000003</v>
      </c>
      <c r="O9" s="1587">
        <f>+[3]Desagregado!F53+[3]Desagregado!I53+[3]Desagregado!L53</f>
        <v>611.04599999999994</v>
      </c>
      <c r="Q9" s="157">
        <v>1997</v>
      </c>
      <c r="R9" s="203">
        <f t="shared" si="0"/>
        <v>4581.0190000000002</v>
      </c>
      <c r="S9" s="203">
        <f t="shared" si="0"/>
        <v>2210.904</v>
      </c>
      <c r="T9" s="203">
        <f t="shared" si="0"/>
        <v>2369.8649999999998</v>
      </c>
    </row>
    <row r="10" spans="1:22" x14ac:dyDescent="0.2">
      <c r="B10" s="289">
        <v>1996</v>
      </c>
      <c r="C10" s="443">
        <f t="shared" si="1"/>
        <v>4003.201</v>
      </c>
      <c r="D10" s="444">
        <f t="shared" si="2"/>
        <v>2201.877</v>
      </c>
      <c r="E10" s="442">
        <f t="shared" si="2"/>
        <v>1801.0740000000001</v>
      </c>
      <c r="F10" s="442"/>
      <c r="G10" s="445">
        <v>0.25</v>
      </c>
      <c r="H10" s="444">
        <f t="shared" si="3"/>
        <v>2879.5010000000002</v>
      </c>
      <c r="I10" s="444">
        <f>+[3]Desagregado!E10+[3]Desagregado!J10+[3]Desagregado!M10</f>
        <v>1924.8510000000001</v>
      </c>
      <c r="J10" s="442">
        <f>+[3]Desagregado!F10+[3]Desagregado!K10+[3]Desagregado!N10</f>
        <v>954.4</v>
      </c>
      <c r="K10" s="442"/>
      <c r="L10" s="442">
        <v>0.25</v>
      </c>
      <c r="M10" s="444">
        <f t="shared" si="4"/>
        <v>1123.7</v>
      </c>
      <c r="N10" s="446">
        <f>+[3]Desagregado!E54+[3]Desagregado!H54+[3]Desagregado!K54</f>
        <v>277.02600000000001</v>
      </c>
      <c r="O10" s="447">
        <f>+[3]Desagregado!F54+[3]Desagregado!I54+[3]Desagregado!L54</f>
        <v>846.67400000000009</v>
      </c>
      <c r="Q10" s="157">
        <v>1998</v>
      </c>
      <c r="R10" s="203">
        <f t="shared" si="0"/>
        <v>4781.6309999999994</v>
      </c>
      <c r="S10" s="203">
        <f t="shared" si="0"/>
        <v>2116.8689999999997</v>
      </c>
      <c r="T10" s="203">
        <f t="shared" si="0"/>
        <v>2664.5119999999997</v>
      </c>
    </row>
    <row r="11" spans="1:22" x14ac:dyDescent="0.2">
      <c r="B11" s="1510">
        <v>1997</v>
      </c>
      <c r="C11" s="1581">
        <f t="shared" si="1"/>
        <v>4581.0190000000002</v>
      </c>
      <c r="D11" s="1582">
        <f t="shared" si="2"/>
        <v>2210.904</v>
      </c>
      <c r="E11" s="1585">
        <f t="shared" si="2"/>
        <v>2369.8649999999998</v>
      </c>
      <c r="F11" s="1585"/>
      <c r="G11" s="1588">
        <v>0.25</v>
      </c>
      <c r="H11" s="1582">
        <f t="shared" si="3"/>
        <v>3826.8329999999996</v>
      </c>
      <c r="I11" s="1582">
        <f>+[3]Desagregado!E11+[3]Desagregado!J11+[3]Desagregado!M11</f>
        <v>2120.1709999999998</v>
      </c>
      <c r="J11" s="1585">
        <f>+[3]Desagregado!F11+[3]Desagregado!K11+[3]Desagregado!N11</f>
        <v>1706.4119999999998</v>
      </c>
      <c r="K11" s="1585"/>
      <c r="L11" s="1585">
        <v>0.25</v>
      </c>
      <c r="M11" s="1582">
        <f t="shared" si="4"/>
        <v>754.18599999999992</v>
      </c>
      <c r="N11" s="1583">
        <f>+[3]Desagregado!E55+[3]Desagregado!H55+[3]Desagregado!K55</f>
        <v>90.733000000000004</v>
      </c>
      <c r="O11" s="1587">
        <f>+[3]Desagregado!F55+[3]Desagregado!I55+[3]Desagregado!L55</f>
        <v>663.45299999999997</v>
      </c>
      <c r="Q11" s="157">
        <v>1999</v>
      </c>
      <c r="R11" s="203">
        <f t="shared" si="0"/>
        <v>5116.1559999999999</v>
      </c>
      <c r="S11" s="203">
        <f t="shared" si="0"/>
        <v>2318.1080000000002</v>
      </c>
      <c r="T11" s="203">
        <f t="shared" si="0"/>
        <v>2797.348</v>
      </c>
    </row>
    <row r="12" spans="1:22" x14ac:dyDescent="0.2">
      <c r="B12" s="289">
        <v>1998</v>
      </c>
      <c r="C12" s="443">
        <f t="shared" si="1"/>
        <v>4781.6309999999994</v>
      </c>
      <c r="D12" s="444">
        <f t="shared" si="2"/>
        <v>2116.8689999999997</v>
      </c>
      <c r="E12" s="442">
        <f t="shared" si="2"/>
        <v>2664.5119999999997</v>
      </c>
      <c r="F12" s="442"/>
      <c r="G12" s="445">
        <v>0.25</v>
      </c>
      <c r="H12" s="444">
        <f t="shared" si="3"/>
        <v>4020.8509999999997</v>
      </c>
      <c r="I12" s="448">
        <f>+[3]Desagregado!E12+[3]Desagregado!J12+[3]Desagregado!M12</f>
        <v>2022.9019999999998</v>
      </c>
      <c r="J12" s="446">
        <f>+[3]Desagregado!F12+[3]Desagregado!K12+[3]Desagregado!N12</f>
        <v>1997.6489999999999</v>
      </c>
      <c r="K12" s="446"/>
      <c r="L12" s="442">
        <v>0.3</v>
      </c>
      <c r="M12" s="444">
        <f t="shared" si="4"/>
        <v>760.82999999999993</v>
      </c>
      <c r="N12" s="446">
        <f>+[3]Desagregado!E56+[3]Desagregado!H56+[3]Desagregado!K56</f>
        <v>93.967000000000013</v>
      </c>
      <c r="O12" s="447">
        <f>+[3]Desagregado!F56+[3]Desagregado!I56+[3]Desagregado!L56</f>
        <v>666.86299999999994</v>
      </c>
      <c r="Q12" s="157">
        <v>2000</v>
      </c>
      <c r="R12" s="203">
        <f t="shared" si="0"/>
        <v>5554.8460000000005</v>
      </c>
      <c r="S12" s="203">
        <f t="shared" si="0"/>
        <v>2650.8950000000004</v>
      </c>
      <c r="T12" s="203">
        <f t="shared" si="0"/>
        <v>2903.2510000000002</v>
      </c>
    </row>
    <row r="13" spans="1:22" x14ac:dyDescent="0.2">
      <c r="B13" s="1510">
        <v>1999</v>
      </c>
      <c r="C13" s="1581">
        <f t="shared" si="1"/>
        <v>5116.1559999999999</v>
      </c>
      <c r="D13" s="1582">
        <f t="shared" si="2"/>
        <v>2318.1080000000002</v>
      </c>
      <c r="E13" s="1585">
        <f t="shared" si="2"/>
        <v>2797.348</v>
      </c>
      <c r="F13" s="1585"/>
      <c r="G13" s="1588">
        <v>0.7</v>
      </c>
      <c r="H13" s="1582">
        <f t="shared" si="3"/>
        <v>4317.9289999999992</v>
      </c>
      <c r="I13" s="1586">
        <f>+[3]Desagregado!E13+[3]Desagregado!J13+[3]Desagregado!M13</f>
        <v>2242.625</v>
      </c>
      <c r="J13" s="1585">
        <f>+[3]Desagregado!F13+[3]Desagregado!K13+[3]Desagregado!N13</f>
        <v>2074.6039999999998</v>
      </c>
      <c r="K13" s="1585"/>
      <c r="L13" s="1585">
        <v>0.7</v>
      </c>
      <c r="M13" s="1582">
        <f t="shared" si="4"/>
        <v>798.22699999999998</v>
      </c>
      <c r="N13" s="1583">
        <f>+[3]Desagregado!E57+[3]Desagregado!H57+[3]Desagregado!K57</f>
        <v>75.48299999999999</v>
      </c>
      <c r="O13" s="1587">
        <f>+[3]Desagregado!F57+[3]Desagregado!I57+[3]Desagregado!L57</f>
        <v>722.74400000000003</v>
      </c>
      <c r="Q13" s="157">
        <v>2001</v>
      </c>
      <c r="R13" s="203">
        <f t="shared" si="0"/>
        <v>5387.1769999999997</v>
      </c>
      <c r="S13" s="203">
        <f t="shared" si="0"/>
        <v>2744.5029999999997</v>
      </c>
      <c r="T13" s="203">
        <f t="shared" si="0"/>
        <v>2641.9740000000002</v>
      </c>
    </row>
    <row r="14" spans="1:22" x14ac:dyDescent="0.2">
      <c r="B14" s="289">
        <v>2000</v>
      </c>
      <c r="C14" s="443">
        <f t="shared" si="1"/>
        <v>5554.8460000000005</v>
      </c>
      <c r="D14" s="444">
        <f t="shared" si="2"/>
        <v>2650.8950000000004</v>
      </c>
      <c r="E14" s="442">
        <f t="shared" si="2"/>
        <v>2903.2510000000002</v>
      </c>
      <c r="F14" s="442"/>
      <c r="G14" s="445">
        <f>L14</f>
        <v>0.7</v>
      </c>
      <c r="H14" s="444">
        <f t="shared" si="3"/>
        <v>4775.9350000000004</v>
      </c>
      <c r="I14" s="448">
        <f>+[3]Desagregado!E14+[3]Desagregado!J14+[3]Desagregado!M14</f>
        <v>2575.9240000000004</v>
      </c>
      <c r="J14" s="442">
        <f>+[3]Desagregado!F14+[3]Desagregado!K14+[3]Desagregado!N14</f>
        <v>2199.3110000000001</v>
      </c>
      <c r="K14" s="442"/>
      <c r="L14" s="442">
        <v>0.7</v>
      </c>
      <c r="M14" s="444">
        <f t="shared" si="4"/>
        <v>778.91100000000006</v>
      </c>
      <c r="N14" s="446">
        <f>+[3]Desagregado!E58+[3]Desagregado!H58+[3]Desagregado!K58</f>
        <v>74.971000000000004</v>
      </c>
      <c r="O14" s="447">
        <f>+[3]Desagregado!F58+[3]Desagregado!I58+[3]Desagregado!L58</f>
        <v>703.94</v>
      </c>
      <c r="Q14" s="216">
        <v>2002</v>
      </c>
      <c r="R14" s="203">
        <f t="shared" si="0"/>
        <v>5395.6689999999999</v>
      </c>
      <c r="S14" s="203">
        <f t="shared" si="0"/>
        <v>2775.2819999999997</v>
      </c>
      <c r="T14" s="203">
        <f t="shared" si="0"/>
        <v>2619.6870000000004</v>
      </c>
    </row>
    <row r="15" spans="1:22" x14ac:dyDescent="0.2">
      <c r="B15" s="1526" t="s">
        <v>211</v>
      </c>
      <c r="C15" s="1581">
        <f t="shared" si="1"/>
        <v>5387.1769999999997</v>
      </c>
      <c r="D15" s="1582">
        <f t="shared" si="2"/>
        <v>2744.5029999999997</v>
      </c>
      <c r="E15" s="1585">
        <f t="shared" si="2"/>
        <v>2641.9740000000002</v>
      </c>
      <c r="F15" s="1585"/>
      <c r="G15" s="1585">
        <v>0.7</v>
      </c>
      <c r="H15" s="1585">
        <f t="shared" si="3"/>
        <v>4642.0639999999994</v>
      </c>
      <c r="I15" s="1585">
        <f>+[3]Desagregado!E17+[3]Desagregado!M17</f>
        <v>2674.8349999999996</v>
      </c>
      <c r="J15" s="1585">
        <f>+[3]Desagregado!F17+[3]Desagregado!N17</f>
        <v>1966.529</v>
      </c>
      <c r="K15" s="1585"/>
      <c r="L15" s="1585">
        <f>+[3]Desagregado!O17</f>
        <v>0.7</v>
      </c>
      <c r="M15" s="1585">
        <f t="shared" si="4"/>
        <v>745.11300000000017</v>
      </c>
      <c r="N15" s="1585">
        <f>+[3]Desagregado!E61+[3]Desagregado!K61</f>
        <v>69.667999999999992</v>
      </c>
      <c r="O15" s="1587">
        <f>+[3]Desagregado!F61+[3]Desagregado!L61</f>
        <v>675.44500000000016</v>
      </c>
      <c r="Q15" s="157">
        <v>2003</v>
      </c>
      <c r="R15" s="203">
        <f t="shared" si="0"/>
        <v>5421.8069999999998</v>
      </c>
      <c r="S15" s="203">
        <f t="shared" si="0"/>
        <v>2790.2730000000001</v>
      </c>
      <c r="T15" s="203">
        <f t="shared" si="0"/>
        <v>2630.8340000000003</v>
      </c>
    </row>
    <row r="16" spans="1:22" x14ac:dyDescent="0.2">
      <c r="B16" s="289">
        <v>2002</v>
      </c>
      <c r="C16" s="443">
        <f t="shared" si="1"/>
        <v>5395.6689999999999</v>
      </c>
      <c r="D16" s="444">
        <f t="shared" si="2"/>
        <v>2775.2819999999997</v>
      </c>
      <c r="E16" s="442">
        <f t="shared" si="2"/>
        <v>2619.6870000000004</v>
      </c>
      <c r="F16" s="442"/>
      <c r="G16" s="442">
        <f t="shared" ref="G16:G27" si="5">SUM(L16)</f>
        <v>0.7</v>
      </c>
      <c r="H16" s="442">
        <f t="shared" si="3"/>
        <v>4657.8269999999993</v>
      </c>
      <c r="I16" s="442">
        <f>+[3]Desagregado!E18+[3]Desagregado!M18</f>
        <v>2702.8629999999998</v>
      </c>
      <c r="J16" s="442">
        <f>+[3]Desagregado!F18+[3]Desagregado!N18</f>
        <v>1954.2639999999999</v>
      </c>
      <c r="K16" s="442"/>
      <c r="L16" s="442">
        <f>+[3]Desagregado!O18</f>
        <v>0.7</v>
      </c>
      <c r="M16" s="442">
        <f t="shared" si="4"/>
        <v>737.84200000000055</v>
      </c>
      <c r="N16" s="442">
        <f>+[3]Desagregado!E62+[3]Desagregado!K62</f>
        <v>72.418999999999997</v>
      </c>
      <c r="O16" s="447">
        <f>+[3]Desagregado!F62+[3]Desagregado!L62</f>
        <v>665.42300000000057</v>
      </c>
      <c r="Q16" s="157">
        <v>2004</v>
      </c>
      <c r="R16" s="203">
        <f t="shared" si="0"/>
        <v>5417.9590700000017</v>
      </c>
      <c r="S16" s="203">
        <f t="shared" si="0"/>
        <v>2815.0040700000009</v>
      </c>
      <c r="T16" s="203">
        <f t="shared" si="0"/>
        <v>2602.2550000000006</v>
      </c>
    </row>
    <row r="17" spans="2:22" x14ac:dyDescent="0.2">
      <c r="B17" s="1510">
        <v>2003</v>
      </c>
      <c r="C17" s="1581">
        <f t="shared" si="1"/>
        <v>5421.8069999999998</v>
      </c>
      <c r="D17" s="1582">
        <f t="shared" si="2"/>
        <v>2790.2730000000001</v>
      </c>
      <c r="E17" s="1585">
        <f t="shared" si="2"/>
        <v>2630.8340000000003</v>
      </c>
      <c r="F17" s="1585"/>
      <c r="G17" s="1585">
        <f t="shared" si="5"/>
        <v>0.7</v>
      </c>
      <c r="H17" s="1585">
        <f t="shared" si="3"/>
        <v>4686.3940000000002</v>
      </c>
      <c r="I17" s="1585">
        <f>+[3]Desagregado!E19+[3]Desagregado!M19</f>
        <v>2720.2290000000003</v>
      </c>
      <c r="J17" s="1585">
        <f>+[3]Desagregado!F19+[3]Desagregado!N19</f>
        <v>1965.4649999999999</v>
      </c>
      <c r="K17" s="1585"/>
      <c r="L17" s="1585">
        <f>+[3]Desagregado!O19</f>
        <v>0.7</v>
      </c>
      <c r="M17" s="1585">
        <f t="shared" si="4"/>
        <v>735.41300000000035</v>
      </c>
      <c r="N17" s="1585">
        <f>+[3]Desagregado!E63+[3]Desagregado!K63</f>
        <v>70.043999999999983</v>
      </c>
      <c r="O17" s="1587">
        <f>+[3]Desagregado!F63+[3]Desagregado!L63</f>
        <v>665.36900000000037</v>
      </c>
      <c r="Q17" s="157">
        <v>2005</v>
      </c>
      <c r="R17" s="203">
        <f t="shared" si="0"/>
        <v>5610.9250000000002</v>
      </c>
      <c r="S17" s="203">
        <f t="shared" si="0"/>
        <v>2989.203</v>
      </c>
      <c r="T17" s="203">
        <f t="shared" si="0"/>
        <v>2621.0219999999999</v>
      </c>
    </row>
    <row r="18" spans="2:22" x14ac:dyDescent="0.2">
      <c r="B18" s="289">
        <v>2004</v>
      </c>
      <c r="C18" s="443">
        <f t="shared" si="1"/>
        <v>5417.9590700000017</v>
      </c>
      <c r="D18" s="444">
        <f t="shared" si="2"/>
        <v>2815.0040700000009</v>
      </c>
      <c r="E18" s="442">
        <f t="shared" si="2"/>
        <v>2602.2550000000006</v>
      </c>
      <c r="F18" s="442"/>
      <c r="G18" s="442">
        <f t="shared" si="5"/>
        <v>0.7</v>
      </c>
      <c r="H18" s="442">
        <f t="shared" si="3"/>
        <v>4657.3150700000006</v>
      </c>
      <c r="I18" s="442">
        <f>+[3]Desagregado!E20+[3]Desagregado!M20</f>
        <v>2747.2720700000009</v>
      </c>
      <c r="J18" s="442">
        <f>+[3]Desagregado!F20+[3]Desagregado!N20</f>
        <v>1909.3430000000001</v>
      </c>
      <c r="K18" s="442"/>
      <c r="L18" s="442">
        <f>+[3]Desagregado!O20</f>
        <v>0.7</v>
      </c>
      <c r="M18" s="442">
        <f t="shared" si="4"/>
        <v>760.64400000000035</v>
      </c>
      <c r="N18" s="442">
        <f>+[3]Desagregado!E64+[3]Desagregado!K64</f>
        <v>67.731999999999999</v>
      </c>
      <c r="O18" s="447">
        <f>+[3]Desagregado!F64+[3]Desagregado!L64</f>
        <v>692.91200000000038</v>
      </c>
      <c r="Q18" s="157">
        <v>2006</v>
      </c>
      <c r="R18" s="203">
        <f t="shared" si="0"/>
        <v>5873.4000000000005</v>
      </c>
      <c r="S18" s="203">
        <f t="shared" si="0"/>
        <v>2995.9740000000002</v>
      </c>
      <c r="T18" s="203">
        <f t="shared" si="0"/>
        <v>2876.7260000000006</v>
      </c>
    </row>
    <row r="19" spans="2:22" x14ac:dyDescent="0.2">
      <c r="B19" s="1510">
        <v>2005</v>
      </c>
      <c r="C19" s="1581">
        <f t="shared" si="1"/>
        <v>5610.9250000000002</v>
      </c>
      <c r="D19" s="1582">
        <f t="shared" si="2"/>
        <v>2989.203</v>
      </c>
      <c r="E19" s="1583">
        <f t="shared" si="2"/>
        <v>2621.0219999999999</v>
      </c>
      <c r="F19" s="1583"/>
      <c r="G19" s="1585">
        <f t="shared" si="5"/>
        <v>0.7</v>
      </c>
      <c r="H19" s="1582">
        <f t="shared" si="3"/>
        <v>4798.6629999999996</v>
      </c>
      <c r="I19" s="1585">
        <f>+[3]Desagregado!E21+[3]Desagregado!M21</f>
        <v>2918.7730000000001</v>
      </c>
      <c r="J19" s="1583">
        <f>+[3]Desagregado!F21+[3]Desagregado!N21</f>
        <v>1879.1899999999998</v>
      </c>
      <c r="K19" s="1583"/>
      <c r="L19" s="1585">
        <f>+[3]Desagregado!O21</f>
        <v>0.7</v>
      </c>
      <c r="M19" s="1582">
        <f t="shared" si="4"/>
        <v>812.2620000000004</v>
      </c>
      <c r="N19" s="1585">
        <f>+[3]Desagregado!E65+[3]Desagregado!K65</f>
        <v>70.430000000000007</v>
      </c>
      <c r="O19" s="1587">
        <f>+[3]Desagregado!F65+[3]Desagregado!L65</f>
        <v>741.83200000000033</v>
      </c>
      <c r="Q19" s="216">
        <v>2007</v>
      </c>
      <c r="R19" s="203">
        <f t="shared" si="0"/>
        <v>6352.0139999999983</v>
      </c>
      <c r="S19" s="203">
        <f t="shared" si="0"/>
        <v>3013.297999999998</v>
      </c>
      <c r="T19" s="203">
        <f t="shared" si="0"/>
        <v>3338.0160000000005</v>
      </c>
    </row>
    <row r="20" spans="2:22" x14ac:dyDescent="0.2">
      <c r="B20" s="289">
        <v>2006</v>
      </c>
      <c r="C20" s="443">
        <f t="shared" si="1"/>
        <v>5873.4000000000005</v>
      </c>
      <c r="D20" s="444">
        <f t="shared" si="2"/>
        <v>2995.9740000000002</v>
      </c>
      <c r="E20" s="446">
        <f t="shared" si="2"/>
        <v>2876.7260000000006</v>
      </c>
      <c r="F20" s="446"/>
      <c r="G20" s="442">
        <f t="shared" si="5"/>
        <v>0.7</v>
      </c>
      <c r="H20" s="444">
        <f t="shared" si="3"/>
        <v>5064.3620000000001</v>
      </c>
      <c r="I20" s="442">
        <f>+[3]Desagregado!E22+[3]Desagregado!M22</f>
        <v>2926.6179999999999</v>
      </c>
      <c r="J20" s="446">
        <f>+[3]Desagregado!F22+[3]Desagregado!N22</f>
        <v>2137.0440000000003</v>
      </c>
      <c r="K20" s="446"/>
      <c r="L20" s="442">
        <f>+[3]Desagregado!O22</f>
        <v>0.7</v>
      </c>
      <c r="M20" s="444">
        <f t="shared" si="4"/>
        <v>809.03800000000001</v>
      </c>
      <c r="N20" s="442">
        <f>+[3]Desagregado!E66+[3]Desagregado!K66</f>
        <v>69.355999999999995</v>
      </c>
      <c r="O20" s="447">
        <f>+[3]Desagregado!F66+[3]Desagregado!L66</f>
        <v>739.68200000000002</v>
      </c>
      <c r="Q20" s="157">
        <v>2008</v>
      </c>
      <c r="R20" s="203">
        <f t="shared" si="0"/>
        <v>6348.9440000000004</v>
      </c>
      <c r="S20" s="203">
        <f t="shared" si="0"/>
        <v>3027.9020000000005</v>
      </c>
      <c r="T20" s="203">
        <f t="shared" si="0"/>
        <v>3320.3419999999996</v>
      </c>
    </row>
    <row r="21" spans="2:22" x14ac:dyDescent="0.2">
      <c r="B21" s="1510">
        <v>2007</v>
      </c>
      <c r="C21" s="1581">
        <f t="shared" si="1"/>
        <v>6352.0139999999983</v>
      </c>
      <c r="D21" s="1582">
        <f t="shared" si="2"/>
        <v>3013.297999999998</v>
      </c>
      <c r="E21" s="1583">
        <f t="shared" si="2"/>
        <v>3338.0160000000005</v>
      </c>
      <c r="F21" s="1583"/>
      <c r="G21" s="1585">
        <f t="shared" si="5"/>
        <v>0.7</v>
      </c>
      <c r="H21" s="1582">
        <f t="shared" si="3"/>
        <v>5532.8549999999987</v>
      </c>
      <c r="I21" s="1585">
        <f>+[3]Desagregado!E23+[3]Desagregado!M23</f>
        <v>2939.5869999999982</v>
      </c>
      <c r="J21" s="1583">
        <f>+[3]Desagregado!F23+[3]Desagregado!N23</f>
        <v>2592.5680000000007</v>
      </c>
      <c r="K21" s="1583"/>
      <c r="L21" s="1585">
        <f>+[3]Desagregado!O23</f>
        <v>0.7</v>
      </c>
      <c r="M21" s="1582">
        <f t="shared" si="4"/>
        <v>819.15900000000011</v>
      </c>
      <c r="N21" s="1585">
        <f>+[3]Desagregado!E67+[3]Desagregado!K67</f>
        <v>73.710999999999984</v>
      </c>
      <c r="O21" s="1587">
        <f>+[3]Desagregado!F67+[3]Desagregado!L67</f>
        <v>745.44800000000009</v>
      </c>
      <c r="Q21" s="157">
        <v>2009</v>
      </c>
      <c r="R21" s="203">
        <f t="shared" si="0"/>
        <v>7256.3469999999998</v>
      </c>
      <c r="S21" s="203">
        <f t="shared" si="0"/>
        <v>3115.768</v>
      </c>
      <c r="T21" s="203">
        <f t="shared" si="0"/>
        <v>4139.8789999999999</v>
      </c>
    </row>
    <row r="22" spans="2:22" x14ac:dyDescent="0.2">
      <c r="B22" s="289">
        <v>2008</v>
      </c>
      <c r="C22" s="443">
        <f t="shared" si="1"/>
        <v>6348.9440000000004</v>
      </c>
      <c r="D22" s="444">
        <f t="shared" si="2"/>
        <v>3027.9020000000005</v>
      </c>
      <c r="E22" s="446">
        <f t="shared" si="2"/>
        <v>3320.3419999999996</v>
      </c>
      <c r="F22" s="446"/>
      <c r="G22" s="442">
        <f t="shared" si="5"/>
        <v>0.7</v>
      </c>
      <c r="H22" s="444">
        <f t="shared" si="3"/>
        <v>5444.2159999999994</v>
      </c>
      <c r="I22" s="442">
        <f>+[3]Desagregado!E24+[3]Desagregado!M24</f>
        <v>2953.1210000000005</v>
      </c>
      <c r="J22" s="446">
        <f>+[3]Desagregado!F24+[3]Desagregado!N24</f>
        <v>2490.3949999999995</v>
      </c>
      <c r="K22" s="446"/>
      <c r="L22" s="442">
        <f>+[3]Desagregado!O24</f>
        <v>0.7</v>
      </c>
      <c r="M22" s="444">
        <f t="shared" si="4"/>
        <v>904.72799999999995</v>
      </c>
      <c r="N22" s="442">
        <f>+[3]Desagregado!E68+[3]Desagregado!K68</f>
        <v>74.780999999999977</v>
      </c>
      <c r="O22" s="447">
        <f>+[3]Desagregado!F68+[3]Desagregado!L68</f>
        <v>829.947</v>
      </c>
      <c r="Q22" s="157">
        <v>2010</v>
      </c>
      <c r="R22" s="203">
        <f t="shared" si="0"/>
        <v>8000.3870000000015</v>
      </c>
      <c r="S22" s="203">
        <f t="shared" si="0"/>
        <v>3317.4450000000006</v>
      </c>
      <c r="T22" s="203">
        <f t="shared" si="0"/>
        <v>4682.2420000000011</v>
      </c>
    </row>
    <row r="23" spans="2:22" x14ac:dyDescent="0.2">
      <c r="B23" s="1510">
        <v>2009</v>
      </c>
      <c r="C23" s="1581">
        <f t="shared" si="1"/>
        <v>7256.3469999999998</v>
      </c>
      <c r="D23" s="1582">
        <f t="shared" si="2"/>
        <v>3115.768</v>
      </c>
      <c r="E23" s="1583">
        <f t="shared" si="2"/>
        <v>4139.8789999999999</v>
      </c>
      <c r="F23" s="1583"/>
      <c r="G23" s="1585">
        <f t="shared" si="5"/>
        <v>0.7</v>
      </c>
      <c r="H23" s="1582">
        <f t="shared" si="3"/>
        <v>6246.4090000000006</v>
      </c>
      <c r="I23" s="1585">
        <f>+[3]Desagregado!E25+[3]Desagregado!M25</f>
        <v>3037.1620000000003</v>
      </c>
      <c r="J23" s="1583">
        <f>+[3]Desagregado!F25+[3]Desagregado!N25</f>
        <v>3208.547</v>
      </c>
      <c r="K23" s="1583"/>
      <c r="L23" s="1585">
        <f>+[3]Desagregado!O25</f>
        <v>0.7</v>
      </c>
      <c r="M23" s="1582">
        <f t="shared" si="4"/>
        <v>1009.9380000000001</v>
      </c>
      <c r="N23" s="1585">
        <f>+[3]Desagregado!E69+[3]Desagregado!K69</f>
        <v>78.605999999999995</v>
      </c>
      <c r="O23" s="1587">
        <f>+[3]Desagregado!F69+[3]Desagregado!L69</f>
        <v>931.33200000000011</v>
      </c>
      <c r="Q23" s="157">
        <v>2011</v>
      </c>
      <c r="R23" s="203">
        <f t="shared" ref="R23:T27" si="6">C25</f>
        <v>8045.5330000000004</v>
      </c>
      <c r="S23" s="203">
        <f t="shared" si="6"/>
        <v>3328.6240000000003</v>
      </c>
      <c r="T23" s="203">
        <f t="shared" si="6"/>
        <v>4716.2090000000007</v>
      </c>
    </row>
    <row r="24" spans="2:22" x14ac:dyDescent="0.2">
      <c r="B24" s="289">
        <v>2010</v>
      </c>
      <c r="C24" s="449">
        <f t="shared" si="1"/>
        <v>8000.3870000000015</v>
      </c>
      <c r="D24" s="444">
        <f t="shared" si="2"/>
        <v>3317.4450000000006</v>
      </c>
      <c r="E24" s="446">
        <f t="shared" si="2"/>
        <v>4682.2420000000011</v>
      </c>
      <c r="F24" s="446"/>
      <c r="G24" s="450">
        <f t="shared" si="5"/>
        <v>0.7</v>
      </c>
      <c r="H24" s="451">
        <f t="shared" ref="H24:H29" si="7">SUM(I24:L24)</f>
        <v>6875.0380000000014</v>
      </c>
      <c r="I24" s="450">
        <f>+[3]Desagregado!E26+[3]Desagregado!M26</f>
        <v>3237.3610000000008</v>
      </c>
      <c r="J24" s="452">
        <f>+[3]Desagregado!F26+[3]Desagregado!N26</f>
        <v>3636.9770000000008</v>
      </c>
      <c r="K24" s="452"/>
      <c r="L24" s="442">
        <f>+[3]Desagregado!O26</f>
        <v>0.7</v>
      </c>
      <c r="M24" s="451">
        <f t="shared" si="4"/>
        <v>1125.3490000000004</v>
      </c>
      <c r="N24" s="450">
        <f>+[3]Desagregado!E70+[3]Desagregado!K70</f>
        <v>80.084000000000003</v>
      </c>
      <c r="O24" s="453">
        <f>+[3]Desagregado!F70+[3]Desagregado!L70</f>
        <v>1045.2650000000003</v>
      </c>
      <c r="Q24" s="157">
        <v>2012</v>
      </c>
      <c r="R24" s="203">
        <f t="shared" si="6"/>
        <v>8939.2570000000014</v>
      </c>
      <c r="S24" s="203">
        <f t="shared" si="6"/>
        <v>3360.136</v>
      </c>
      <c r="T24" s="203">
        <f t="shared" si="6"/>
        <v>5498.4210000000003</v>
      </c>
      <c r="U24" s="454">
        <f>F26</f>
        <v>80</v>
      </c>
      <c r="V24" s="454"/>
    </row>
    <row r="25" spans="2:22" x14ac:dyDescent="0.2">
      <c r="B25" s="1510">
        <v>2011</v>
      </c>
      <c r="C25" s="1581">
        <f>SUM(D25:G25)</f>
        <v>8045.5330000000004</v>
      </c>
      <c r="D25" s="1582">
        <f t="shared" ref="D25:E27" si="8">SUM(I25,N25)</f>
        <v>3328.6240000000003</v>
      </c>
      <c r="E25" s="1583">
        <f t="shared" si="8"/>
        <v>4716.2090000000007</v>
      </c>
      <c r="F25" s="1583"/>
      <c r="G25" s="1585">
        <f t="shared" si="5"/>
        <v>0.7</v>
      </c>
      <c r="H25" s="1582">
        <f t="shared" si="7"/>
        <v>6867.8210000000008</v>
      </c>
      <c r="I25" s="1585">
        <f>+[3]Desagregado!E27+[3]Desagregado!M27</f>
        <v>3246.6250000000005</v>
      </c>
      <c r="J25" s="1583">
        <f>+[3]Desagregado!F27+[3]Desagregado!N27</f>
        <v>3620.4960000000005</v>
      </c>
      <c r="K25" s="1583"/>
      <c r="L25" s="1585">
        <f>+[3]Desagregado!O27</f>
        <v>0.7</v>
      </c>
      <c r="M25" s="1582">
        <f>SUM(N25:O25)</f>
        <v>1177.712</v>
      </c>
      <c r="N25" s="1585">
        <f>+[3]Desagregado!E71+[3]Desagregado!K71</f>
        <v>81.998999999999995</v>
      </c>
      <c r="O25" s="1587">
        <f>+[3]Desagregado!F71+[3]Desagregado!L71</f>
        <v>1095.713</v>
      </c>
      <c r="Q25" s="157">
        <v>2013</v>
      </c>
      <c r="R25" s="203">
        <f t="shared" si="6"/>
        <v>9885.2720000000008</v>
      </c>
      <c r="S25" s="203">
        <f t="shared" si="6"/>
        <v>3414.4079999999994</v>
      </c>
      <c r="T25" s="203">
        <f t="shared" si="6"/>
        <v>6390.1639999999998</v>
      </c>
      <c r="U25" s="454">
        <f>F27</f>
        <v>80</v>
      </c>
      <c r="V25" s="454"/>
    </row>
    <row r="26" spans="2:22" x14ac:dyDescent="0.2">
      <c r="B26" s="293">
        <v>2012</v>
      </c>
      <c r="C26" s="449">
        <f>SUM(D26:G26)</f>
        <v>8939.2570000000014</v>
      </c>
      <c r="D26" s="444">
        <f>SUM(I26,N26)</f>
        <v>3360.136</v>
      </c>
      <c r="E26" s="446">
        <f>SUM(J26,O26)</f>
        <v>5498.4210000000003</v>
      </c>
      <c r="F26" s="446">
        <f>SUM(K26)</f>
        <v>80</v>
      </c>
      <c r="G26" s="450">
        <f t="shared" si="5"/>
        <v>0.7</v>
      </c>
      <c r="H26" s="451">
        <f t="shared" si="7"/>
        <v>7754.9049999999997</v>
      </c>
      <c r="I26" s="450">
        <f>+[3]Desagregado!E28+[3]Desagregado!M28</f>
        <v>3270.5969999999998</v>
      </c>
      <c r="J26" s="452">
        <f>+[3]Desagregado!F28+[3]Desagregado!N28</f>
        <v>4403.6080000000002</v>
      </c>
      <c r="K26" s="452">
        <f>+[3]Desagregado!G28</f>
        <v>80</v>
      </c>
      <c r="L26" s="442">
        <f>+[3]Desagregado!H28+[3]Desagregado!O28</f>
        <v>0.7</v>
      </c>
      <c r="M26" s="451">
        <f>SUM(N26:O26)</f>
        <v>1184.3520000000001</v>
      </c>
      <c r="N26" s="450">
        <f>+[3]Desagregado!E72+[3]Desagregado!K72</f>
        <v>89.539000000000016</v>
      </c>
      <c r="O26" s="453">
        <f>+[3]Desagregado!F72+[3]Desagregado!L72</f>
        <v>1094.8130000000001</v>
      </c>
      <c r="Q26" s="157">
        <v>2014</v>
      </c>
      <c r="R26" s="203">
        <f t="shared" si="6"/>
        <v>10269.342000000002</v>
      </c>
      <c r="S26" s="203">
        <f t="shared" si="6"/>
        <v>3527.2880000000005</v>
      </c>
      <c r="T26" s="203">
        <f t="shared" si="6"/>
        <v>6503.3540000000012</v>
      </c>
      <c r="U26" s="454">
        <f>F28</f>
        <v>96</v>
      </c>
      <c r="V26" s="454">
        <f>G28</f>
        <v>142.69999999999999</v>
      </c>
    </row>
    <row r="27" spans="2:22" x14ac:dyDescent="0.2">
      <c r="B27" s="1510">
        <v>2013</v>
      </c>
      <c r="C27" s="1581">
        <f>SUM(D27:G27)</f>
        <v>9885.2720000000008</v>
      </c>
      <c r="D27" s="1582">
        <f t="shared" si="8"/>
        <v>3414.4079999999994</v>
      </c>
      <c r="E27" s="1583">
        <f t="shared" si="8"/>
        <v>6390.1639999999998</v>
      </c>
      <c r="F27" s="1583">
        <f>SUM(K27)</f>
        <v>80</v>
      </c>
      <c r="G27" s="1585">
        <f t="shared" si="5"/>
        <v>0.7</v>
      </c>
      <c r="H27" s="1582">
        <f t="shared" si="7"/>
        <v>8680.4210000000003</v>
      </c>
      <c r="I27" s="1585">
        <f>+[3]Desagregado!E29+[3]Desagregado!M29</f>
        <v>3337.0359999999996</v>
      </c>
      <c r="J27" s="1583">
        <f>+[3]Desagregado!F29+[3]Desagregado!N29</f>
        <v>5262.6849999999995</v>
      </c>
      <c r="K27" s="1583">
        <f>+[3]Desagregado!G29</f>
        <v>80</v>
      </c>
      <c r="L27" s="1585">
        <f>+[3]Desagregado!H29+[3]Desagregado!O29</f>
        <v>0.7</v>
      </c>
      <c r="M27" s="1582">
        <f>SUM(N27:O27)</f>
        <v>1204.8510000000001</v>
      </c>
      <c r="N27" s="1585">
        <f>+[3]Desagregado!E73+[3]Desagregado!K73</f>
        <v>77.372</v>
      </c>
      <c r="O27" s="1587">
        <f>+[3]Desagregado!F73+[3]Desagregado!L73</f>
        <v>1127.479</v>
      </c>
      <c r="Q27" s="259" t="s">
        <v>136</v>
      </c>
      <c r="R27" s="203">
        <f t="shared" si="6"/>
        <v>11295.836999999998</v>
      </c>
      <c r="S27" s="203">
        <f t="shared" si="6"/>
        <v>4038.2879999999996</v>
      </c>
      <c r="T27" s="203">
        <f t="shared" si="6"/>
        <v>6928.8489999999974</v>
      </c>
      <c r="U27" s="454">
        <f>F29</f>
        <v>96</v>
      </c>
      <c r="V27" s="454">
        <f>G29</f>
        <v>232.7</v>
      </c>
    </row>
    <row r="28" spans="2:22" x14ac:dyDescent="0.2">
      <c r="B28" s="327">
        <v>2014</v>
      </c>
      <c r="C28" s="449">
        <f>SUM(D28:G28)</f>
        <v>10269.342000000002</v>
      </c>
      <c r="D28" s="444">
        <f>SUM(I28,N28)</f>
        <v>3527.2880000000005</v>
      </c>
      <c r="E28" s="446">
        <f>SUM(J28,O28)</f>
        <v>6503.3540000000012</v>
      </c>
      <c r="F28" s="446">
        <f>SUM(K28)</f>
        <v>96</v>
      </c>
      <c r="G28" s="450">
        <f>SUM(L28)</f>
        <v>142.69999999999999</v>
      </c>
      <c r="H28" s="451">
        <f t="shared" si="7"/>
        <v>9082.8000000000029</v>
      </c>
      <c r="I28" s="450">
        <f>+[3]Desagregado!E30+[3]Desagregado!M30</f>
        <v>3435.9410000000007</v>
      </c>
      <c r="J28" s="452">
        <f>+[3]Desagregado!F30+[3]Desagregado!N30</f>
        <v>5408.1590000000015</v>
      </c>
      <c r="K28" s="452">
        <f>+[3]Desagregado!G30</f>
        <v>96</v>
      </c>
      <c r="L28" s="442">
        <f>+[3]Desagregado!H30+[3]Desagregado!O30</f>
        <v>142.69999999999999</v>
      </c>
      <c r="M28" s="451">
        <f>SUM(N28:O28)</f>
        <v>1186.5420000000001</v>
      </c>
      <c r="N28" s="450">
        <f>+[3]Desagregado!E74+[3]Desagregado!K74</f>
        <v>91.34699999999998</v>
      </c>
      <c r="O28" s="453">
        <f>+[3]Desagregado!F74+[3]Desagregado!L74</f>
        <v>1095.1950000000002</v>
      </c>
      <c r="R28" s="203"/>
      <c r="S28" s="203"/>
      <c r="T28" s="203"/>
    </row>
    <row r="29" spans="2:22" x14ac:dyDescent="0.2">
      <c r="B29" s="1510" t="s">
        <v>136</v>
      </c>
      <c r="C29" s="1581">
        <f>SUM(D29:G29)</f>
        <v>11295.836999999998</v>
      </c>
      <c r="D29" s="1582">
        <f>SUM(I29,N29)</f>
        <v>4038.2879999999996</v>
      </c>
      <c r="E29" s="1583">
        <f>SUM(J29,O29)</f>
        <v>6928.8489999999974</v>
      </c>
      <c r="F29" s="1583">
        <f>SUM(K29)</f>
        <v>96</v>
      </c>
      <c r="G29" s="1585">
        <f>SUM(L29)</f>
        <v>232.7</v>
      </c>
      <c r="H29" s="1582">
        <f t="shared" si="7"/>
        <v>10088.199999999997</v>
      </c>
      <c r="I29" s="1585">
        <f>+[3]Desagregado!E31+[3]Desagregado!M31</f>
        <v>3946.9409999999998</v>
      </c>
      <c r="J29" s="1583">
        <f>+[3]Desagregado!F31+[3]Desagregado!N31</f>
        <v>5812.5589999999975</v>
      </c>
      <c r="K29" s="1583">
        <f>+[3]Desagregado!G31</f>
        <v>96</v>
      </c>
      <c r="L29" s="1585">
        <f>+[3]Desagregado!H31+[3]Desagregado!O31</f>
        <v>232.7</v>
      </c>
      <c r="M29" s="1582">
        <f>SUM(N29:O29)</f>
        <v>1207.6370000000002</v>
      </c>
      <c r="N29" s="1585">
        <f>+[3]Desagregado!E75+[3]Desagregado!K75</f>
        <v>91.34699999999998</v>
      </c>
      <c r="O29" s="1587">
        <f>+[3]Desagregado!F75+[3]Desagregado!L75</f>
        <v>1116.2900000000002</v>
      </c>
      <c r="R29" s="203"/>
      <c r="S29" s="203"/>
      <c r="T29" s="203"/>
    </row>
    <row r="30" spans="2:22" ht="13.5" thickBot="1" x14ac:dyDescent="0.25">
      <c r="B30" s="293"/>
      <c r="C30" s="449"/>
      <c r="D30" s="451"/>
      <c r="E30" s="452"/>
      <c r="F30" s="455"/>
      <c r="G30" s="450"/>
      <c r="H30" s="451"/>
      <c r="I30" s="450"/>
      <c r="J30" s="452"/>
      <c r="K30" s="455"/>
      <c r="L30" s="450"/>
      <c r="M30" s="451"/>
      <c r="N30" s="450"/>
      <c r="O30" s="453"/>
      <c r="R30" s="203"/>
      <c r="S30" s="203"/>
      <c r="T30" s="203"/>
    </row>
    <row r="31" spans="2:22" x14ac:dyDescent="0.2">
      <c r="B31" s="1520" t="s">
        <v>137</v>
      </c>
      <c r="C31" s="1521">
        <f>(C29/C28)-1</f>
        <v>9.9957231923914369E-2</v>
      </c>
      <c r="D31" s="1589">
        <f t="shared" ref="D31:E31" si="9">(D29/D28)-1</f>
        <v>0.14487050674625923</v>
      </c>
      <c r="E31" s="1590">
        <f t="shared" si="9"/>
        <v>6.5427008894179295E-2</v>
      </c>
      <c r="F31" s="307"/>
      <c r="G31" s="308"/>
      <c r="H31" s="1593">
        <f t="shared" ref="H31:J31" si="10">(H29/H28)-1</f>
        <v>0.110692737922226</v>
      </c>
      <c r="I31" s="1589">
        <f t="shared" si="10"/>
        <v>0.14872199493530269</v>
      </c>
      <c r="J31" s="1590">
        <f t="shared" si="10"/>
        <v>7.477590803080969E-2</v>
      </c>
      <c r="K31" s="307"/>
      <c r="L31" s="308"/>
      <c r="M31" s="1593">
        <f t="shared" ref="M31:O31" si="11">(M29/M28)-1</f>
        <v>1.7778553140133324E-2</v>
      </c>
      <c r="N31" s="1589">
        <f t="shared" si="11"/>
        <v>0</v>
      </c>
      <c r="O31" s="1590">
        <f t="shared" si="11"/>
        <v>1.9261410068526663E-2</v>
      </c>
      <c r="R31" s="203"/>
      <c r="S31" s="203"/>
      <c r="T31" s="203"/>
    </row>
    <row r="32" spans="2:22" x14ac:dyDescent="0.2">
      <c r="B32" s="310" t="s">
        <v>138</v>
      </c>
      <c r="C32" s="311">
        <f>((C29/C24)^(1/5))-1</f>
        <v>7.1424280969060616E-2</v>
      </c>
      <c r="D32" s="456">
        <f t="shared" ref="D32:E32" si="12">((D29/D24)^(1/5))-1</f>
        <v>4.0108657737254028E-2</v>
      </c>
      <c r="E32" s="457">
        <f t="shared" si="12"/>
        <v>8.1537165918963206E-2</v>
      </c>
      <c r="F32" s="307"/>
      <c r="G32" s="313"/>
      <c r="H32" s="458">
        <f t="shared" ref="H32:J32" si="13">((H29/H24)^(1/5))-1</f>
        <v>7.9711472809880002E-2</v>
      </c>
      <c r="I32" s="456">
        <f t="shared" si="13"/>
        <v>4.0432478424943019E-2</v>
      </c>
      <c r="J32" s="457">
        <f t="shared" si="13"/>
        <v>9.8311077563972837E-2</v>
      </c>
      <c r="K32" s="307"/>
      <c r="L32" s="314"/>
      <c r="M32" s="458">
        <f t="shared" ref="M32:O32" si="14">((M29/M24)^(1/5))-1</f>
        <v>1.4214549006630994E-2</v>
      </c>
      <c r="N32" s="456">
        <f t="shared" si="14"/>
        <v>2.666724491956729E-2</v>
      </c>
      <c r="O32" s="457">
        <f t="shared" si="14"/>
        <v>1.3234864674198432E-2</v>
      </c>
      <c r="R32" s="203"/>
      <c r="S32" s="203"/>
      <c r="T32" s="203"/>
    </row>
    <row r="33" spans="2:22" x14ac:dyDescent="0.2">
      <c r="B33" s="1523" t="s">
        <v>144</v>
      </c>
      <c r="C33" s="1524">
        <f>(C29/C19)-1</f>
        <v>1.0131862393455622</v>
      </c>
      <c r="D33" s="1591">
        <f t="shared" ref="D33:E33" si="15">(D29/D19)-1</f>
        <v>0.35095809819540502</v>
      </c>
      <c r="E33" s="1592">
        <f t="shared" si="15"/>
        <v>1.6435676617746808</v>
      </c>
      <c r="F33" s="307"/>
      <c r="G33" s="313"/>
      <c r="H33" s="1594">
        <f t="shared" ref="H33:J33" si="16">(H29/H19)-1</f>
        <v>1.1022939097827869</v>
      </c>
      <c r="I33" s="1591">
        <f t="shared" si="16"/>
        <v>0.35226035049659554</v>
      </c>
      <c r="J33" s="1592">
        <f t="shared" si="16"/>
        <v>2.0931193759013182</v>
      </c>
      <c r="K33" s="307"/>
      <c r="L33" s="314"/>
      <c r="M33" s="1594">
        <f t="shared" ref="M33:O33" si="17">(M29/M19)-1</f>
        <v>0.48675796725686982</v>
      </c>
      <c r="N33" s="1591">
        <f t="shared" si="17"/>
        <v>0.2969899190685783</v>
      </c>
      <c r="O33" s="1592">
        <f t="shared" si="17"/>
        <v>0.50477466596210419</v>
      </c>
    </row>
    <row r="34" spans="2:22" ht="12.75" customHeight="1" thickBot="1" x14ac:dyDescent="0.25">
      <c r="B34" s="316" t="s">
        <v>140</v>
      </c>
      <c r="C34" s="459">
        <f>((C29/C19)^(1/10))-1</f>
        <v>7.247800780663094E-2</v>
      </c>
      <c r="D34" s="460">
        <f t="shared" ref="D34:E34" si="18">((D29/D19)^(1/10))-1</f>
        <v>3.0538420807929123E-2</v>
      </c>
      <c r="E34" s="461">
        <f t="shared" si="18"/>
        <v>0.10209502785828573</v>
      </c>
      <c r="F34" s="307"/>
      <c r="G34" s="314"/>
      <c r="H34" s="462">
        <f t="shared" ref="H34:J34" si="19">((H29/H19)^(1/10))-1</f>
        <v>7.7133029003281006E-2</v>
      </c>
      <c r="I34" s="460">
        <f t="shared" si="19"/>
        <v>3.0637716207990273E-2</v>
      </c>
      <c r="J34" s="461">
        <f t="shared" si="19"/>
        <v>0.11954013679814568</v>
      </c>
      <c r="K34" s="307"/>
      <c r="L34" s="314"/>
      <c r="M34" s="462">
        <f t="shared" ref="M34:O34" si="20">((M29/M19)^(1/10))-1</f>
        <v>4.045673898158797E-2</v>
      </c>
      <c r="N34" s="460">
        <f t="shared" si="20"/>
        <v>2.6345683283040655E-2</v>
      </c>
      <c r="O34" s="461">
        <f t="shared" si="20"/>
        <v>4.171075282616421E-2</v>
      </c>
    </row>
    <row r="35" spans="2:22" ht="7.5" customHeight="1" x14ac:dyDescent="0.2">
      <c r="B35" s="345"/>
      <c r="C35" s="307"/>
      <c r="D35" s="463"/>
      <c r="E35" s="463"/>
      <c r="F35" s="307"/>
      <c r="G35" s="314"/>
      <c r="H35" s="463"/>
      <c r="I35" s="463"/>
      <c r="J35" s="463"/>
      <c r="K35" s="307"/>
      <c r="L35" s="314"/>
      <c r="M35" s="463"/>
      <c r="N35" s="463"/>
      <c r="O35" s="463"/>
    </row>
    <row r="36" spans="2:22" x14ac:dyDescent="0.2">
      <c r="B36" s="464" t="s">
        <v>320</v>
      </c>
    </row>
    <row r="37" spans="2:22" x14ac:dyDescent="0.2">
      <c r="B37" s="319" t="s">
        <v>197</v>
      </c>
    </row>
    <row r="38" spans="2:22" x14ac:dyDescent="0.2">
      <c r="B38" s="465"/>
    </row>
    <row r="39" spans="2:22" x14ac:dyDescent="0.2">
      <c r="R39" s="157" t="s">
        <v>188</v>
      </c>
    </row>
    <row r="40" spans="2:22" x14ac:dyDescent="0.2">
      <c r="R40" s="157" t="s">
        <v>151</v>
      </c>
      <c r="S40" s="157" t="s">
        <v>186</v>
      </c>
      <c r="T40" s="157" t="s">
        <v>187</v>
      </c>
      <c r="U40" s="190" t="s">
        <v>184</v>
      </c>
      <c r="V40" s="190" t="s">
        <v>206</v>
      </c>
    </row>
    <row r="41" spans="2:22" x14ac:dyDescent="0.2">
      <c r="Q41" s="157">
        <v>1995</v>
      </c>
      <c r="R41" s="203">
        <f t="shared" ref="R41:T61" si="21">H9</f>
        <v>3195.3919999999998</v>
      </c>
      <c r="S41" s="203">
        <f t="shared" si="21"/>
        <v>2205.915</v>
      </c>
      <c r="T41" s="203">
        <f t="shared" si="21"/>
        <v>989.47699999999998</v>
      </c>
    </row>
    <row r="42" spans="2:22" x14ac:dyDescent="0.2">
      <c r="Q42" s="157">
        <v>1996</v>
      </c>
      <c r="R42" s="203">
        <f t="shared" si="21"/>
        <v>2879.5010000000002</v>
      </c>
      <c r="S42" s="203">
        <f t="shared" si="21"/>
        <v>1924.8510000000001</v>
      </c>
      <c r="T42" s="203">
        <f t="shared" si="21"/>
        <v>954.4</v>
      </c>
    </row>
    <row r="43" spans="2:22" x14ac:dyDescent="0.2">
      <c r="Q43" s="157">
        <v>1997</v>
      </c>
      <c r="R43" s="203">
        <f t="shared" si="21"/>
        <v>3826.8329999999996</v>
      </c>
      <c r="S43" s="203">
        <f t="shared" si="21"/>
        <v>2120.1709999999998</v>
      </c>
      <c r="T43" s="203">
        <f t="shared" si="21"/>
        <v>1706.4119999999998</v>
      </c>
    </row>
    <row r="44" spans="2:22" x14ac:dyDescent="0.2">
      <c r="Q44" s="157">
        <v>1998</v>
      </c>
      <c r="R44" s="203">
        <f t="shared" si="21"/>
        <v>4020.8509999999997</v>
      </c>
      <c r="S44" s="203">
        <f t="shared" si="21"/>
        <v>2022.9019999999998</v>
      </c>
      <c r="T44" s="203">
        <f t="shared" si="21"/>
        <v>1997.6489999999999</v>
      </c>
    </row>
    <row r="45" spans="2:22" x14ac:dyDescent="0.2">
      <c r="Q45" s="157">
        <v>1999</v>
      </c>
      <c r="R45" s="203">
        <f t="shared" si="21"/>
        <v>4317.9289999999992</v>
      </c>
      <c r="S45" s="203">
        <f t="shared" si="21"/>
        <v>2242.625</v>
      </c>
      <c r="T45" s="203">
        <f t="shared" si="21"/>
        <v>2074.6039999999998</v>
      </c>
    </row>
    <row r="46" spans="2:22" x14ac:dyDescent="0.2">
      <c r="Q46" s="157">
        <v>2000</v>
      </c>
      <c r="R46" s="203">
        <f t="shared" si="21"/>
        <v>4775.9350000000004</v>
      </c>
      <c r="S46" s="203">
        <f t="shared" si="21"/>
        <v>2575.9240000000004</v>
      </c>
      <c r="T46" s="203">
        <f t="shared" si="21"/>
        <v>2199.3110000000001</v>
      </c>
    </row>
    <row r="47" spans="2:22" x14ac:dyDescent="0.2">
      <c r="Q47" s="157">
        <v>2001</v>
      </c>
      <c r="R47" s="203">
        <f t="shared" si="21"/>
        <v>4642.0639999999994</v>
      </c>
      <c r="S47" s="203">
        <f t="shared" si="21"/>
        <v>2674.8349999999996</v>
      </c>
      <c r="T47" s="203">
        <f t="shared" si="21"/>
        <v>1966.529</v>
      </c>
    </row>
    <row r="48" spans="2:22" x14ac:dyDescent="0.2">
      <c r="Q48" s="216">
        <v>2002</v>
      </c>
      <c r="R48" s="203">
        <f t="shared" si="21"/>
        <v>4657.8269999999993</v>
      </c>
      <c r="S48" s="203">
        <f t="shared" si="21"/>
        <v>2702.8629999999998</v>
      </c>
      <c r="T48" s="203">
        <f t="shared" si="21"/>
        <v>1954.2639999999999</v>
      </c>
    </row>
    <row r="49" spans="2:22" x14ac:dyDescent="0.2">
      <c r="Q49" s="157">
        <v>2003</v>
      </c>
      <c r="R49" s="203">
        <f t="shared" si="21"/>
        <v>4686.3940000000002</v>
      </c>
      <c r="S49" s="203">
        <f t="shared" si="21"/>
        <v>2720.2290000000003</v>
      </c>
      <c r="T49" s="203">
        <f t="shared" si="21"/>
        <v>1965.4649999999999</v>
      </c>
    </row>
    <row r="50" spans="2:22" x14ac:dyDescent="0.2">
      <c r="Q50" s="157">
        <v>2004</v>
      </c>
      <c r="R50" s="203">
        <f t="shared" si="21"/>
        <v>4657.3150700000006</v>
      </c>
      <c r="S50" s="203">
        <f t="shared" si="21"/>
        <v>2747.2720700000009</v>
      </c>
      <c r="T50" s="203">
        <f t="shared" si="21"/>
        <v>1909.3430000000001</v>
      </c>
    </row>
    <row r="51" spans="2:22" x14ac:dyDescent="0.2">
      <c r="Q51" s="157">
        <v>2005</v>
      </c>
      <c r="R51" s="203">
        <f t="shared" si="21"/>
        <v>4798.6629999999996</v>
      </c>
      <c r="S51" s="203">
        <f t="shared" si="21"/>
        <v>2918.7730000000001</v>
      </c>
      <c r="T51" s="203">
        <f t="shared" si="21"/>
        <v>1879.1899999999998</v>
      </c>
    </row>
    <row r="52" spans="2:22" x14ac:dyDescent="0.2">
      <c r="Q52" s="157">
        <v>2006</v>
      </c>
      <c r="R52" s="203">
        <f t="shared" si="21"/>
        <v>5064.3620000000001</v>
      </c>
      <c r="S52" s="203">
        <f t="shared" si="21"/>
        <v>2926.6179999999999</v>
      </c>
      <c r="T52" s="203">
        <f t="shared" si="21"/>
        <v>2137.0440000000003</v>
      </c>
    </row>
    <row r="53" spans="2:22" x14ac:dyDescent="0.2">
      <c r="Q53" s="216">
        <v>2007</v>
      </c>
      <c r="R53" s="203">
        <f t="shared" si="21"/>
        <v>5532.8549999999987</v>
      </c>
      <c r="S53" s="203">
        <f t="shared" si="21"/>
        <v>2939.5869999999982</v>
      </c>
      <c r="T53" s="203">
        <f t="shared" si="21"/>
        <v>2592.5680000000007</v>
      </c>
    </row>
    <row r="54" spans="2:22" x14ac:dyDescent="0.2">
      <c r="Q54" s="157">
        <v>2008</v>
      </c>
      <c r="R54" s="203">
        <f t="shared" si="21"/>
        <v>5444.2159999999994</v>
      </c>
      <c r="S54" s="203">
        <f t="shared" si="21"/>
        <v>2953.1210000000005</v>
      </c>
      <c r="T54" s="203">
        <f t="shared" si="21"/>
        <v>2490.3949999999995</v>
      </c>
    </row>
    <row r="55" spans="2:22" x14ac:dyDescent="0.2">
      <c r="Q55" s="157">
        <v>2009</v>
      </c>
      <c r="R55" s="203">
        <f t="shared" si="21"/>
        <v>6246.4090000000006</v>
      </c>
      <c r="S55" s="203">
        <f t="shared" si="21"/>
        <v>3037.1620000000003</v>
      </c>
      <c r="T55" s="203">
        <f t="shared" si="21"/>
        <v>3208.547</v>
      </c>
    </row>
    <row r="56" spans="2:22" x14ac:dyDescent="0.2">
      <c r="Q56" s="157">
        <v>2010</v>
      </c>
      <c r="R56" s="203">
        <f t="shared" si="21"/>
        <v>6875.0380000000014</v>
      </c>
      <c r="S56" s="157">
        <f t="shared" si="21"/>
        <v>3237.3610000000008</v>
      </c>
      <c r="T56" s="157">
        <f t="shared" si="21"/>
        <v>3636.9770000000008</v>
      </c>
    </row>
    <row r="57" spans="2:22" x14ac:dyDescent="0.2">
      <c r="Q57" s="157">
        <v>2011</v>
      </c>
      <c r="R57" s="203">
        <f t="shared" si="21"/>
        <v>6867.8210000000008</v>
      </c>
      <c r="S57" s="157">
        <f t="shared" si="21"/>
        <v>3246.6250000000005</v>
      </c>
      <c r="T57" s="157">
        <f t="shared" si="21"/>
        <v>3620.4960000000005</v>
      </c>
    </row>
    <row r="58" spans="2:22" x14ac:dyDescent="0.2">
      <c r="Q58" s="157">
        <v>2012</v>
      </c>
      <c r="R58" s="203">
        <f t="shared" si="21"/>
        <v>7754.9049999999997</v>
      </c>
      <c r="S58" s="157">
        <f t="shared" si="21"/>
        <v>3270.5969999999998</v>
      </c>
      <c r="T58" s="157">
        <f t="shared" si="21"/>
        <v>4403.6080000000002</v>
      </c>
      <c r="U58" s="157">
        <f>K26</f>
        <v>80</v>
      </c>
    </row>
    <row r="59" spans="2:22" ht="226.5" x14ac:dyDescent="0.3">
      <c r="B59" s="1424" t="s">
        <v>316</v>
      </c>
      <c r="Q59" s="157">
        <v>2013</v>
      </c>
      <c r="R59" s="203">
        <f t="shared" si="21"/>
        <v>8680.4210000000003</v>
      </c>
      <c r="S59" s="157">
        <f t="shared" si="21"/>
        <v>3337.0359999999996</v>
      </c>
      <c r="T59" s="157">
        <f t="shared" si="21"/>
        <v>5262.6849999999995</v>
      </c>
      <c r="U59" s="157">
        <f>K27</f>
        <v>80</v>
      </c>
    </row>
    <row r="60" spans="2:22" x14ac:dyDescent="0.2">
      <c r="Q60" s="157">
        <v>2014</v>
      </c>
      <c r="R60" s="203">
        <f t="shared" si="21"/>
        <v>9082.8000000000029</v>
      </c>
      <c r="S60" s="157">
        <f t="shared" si="21"/>
        <v>3435.9410000000007</v>
      </c>
      <c r="T60" s="157">
        <f t="shared" si="21"/>
        <v>5408.1590000000015</v>
      </c>
      <c r="U60" s="157">
        <f>K28</f>
        <v>96</v>
      </c>
      <c r="V60" s="157">
        <f>L28</f>
        <v>142.69999999999999</v>
      </c>
    </row>
    <row r="61" spans="2:22" x14ac:dyDescent="0.2">
      <c r="Q61" s="259" t="s">
        <v>136</v>
      </c>
      <c r="R61" s="203">
        <f t="shared" si="21"/>
        <v>10088.199999999997</v>
      </c>
      <c r="S61" s="157">
        <f t="shared" si="21"/>
        <v>3946.9409999999998</v>
      </c>
      <c r="T61" s="157">
        <f t="shared" si="21"/>
        <v>5812.5589999999975</v>
      </c>
      <c r="U61" s="157">
        <f>K29</f>
        <v>96</v>
      </c>
      <c r="V61" s="157">
        <f>L29</f>
        <v>232.7</v>
      </c>
    </row>
    <row r="70" spans="17:20" x14ac:dyDescent="0.2">
      <c r="R70" s="157" t="s">
        <v>190</v>
      </c>
    </row>
    <row r="71" spans="17:20" x14ac:dyDescent="0.2">
      <c r="R71" s="157" t="s">
        <v>151</v>
      </c>
      <c r="S71" s="157" t="s">
        <v>186</v>
      </c>
      <c r="T71" s="157" t="s">
        <v>187</v>
      </c>
    </row>
    <row r="72" spans="17:20" x14ac:dyDescent="0.2">
      <c r="Q72" s="157">
        <v>1995</v>
      </c>
      <c r="R72" s="203">
        <f t="shared" ref="R72:T92" si="22">M9</f>
        <v>880.01599999999996</v>
      </c>
      <c r="S72" s="203">
        <f t="shared" si="22"/>
        <v>268.97000000000003</v>
      </c>
      <c r="T72" s="203">
        <f t="shared" si="22"/>
        <v>611.04599999999994</v>
      </c>
    </row>
    <row r="73" spans="17:20" x14ac:dyDescent="0.2">
      <c r="Q73" s="157">
        <v>1996</v>
      </c>
      <c r="R73" s="203">
        <f t="shared" si="22"/>
        <v>1123.7</v>
      </c>
      <c r="S73" s="203">
        <f t="shared" si="22"/>
        <v>277.02600000000001</v>
      </c>
      <c r="T73" s="203">
        <f t="shared" si="22"/>
        <v>846.67400000000009</v>
      </c>
    </row>
    <row r="74" spans="17:20" x14ac:dyDescent="0.2">
      <c r="Q74" s="157">
        <v>1997</v>
      </c>
      <c r="R74" s="203">
        <f t="shared" si="22"/>
        <v>754.18599999999992</v>
      </c>
      <c r="S74" s="203">
        <f t="shared" si="22"/>
        <v>90.733000000000004</v>
      </c>
      <c r="T74" s="203">
        <f t="shared" si="22"/>
        <v>663.45299999999997</v>
      </c>
    </row>
    <row r="75" spans="17:20" x14ac:dyDescent="0.2">
      <c r="Q75" s="157">
        <v>1998</v>
      </c>
      <c r="R75" s="203">
        <f t="shared" si="22"/>
        <v>760.82999999999993</v>
      </c>
      <c r="S75" s="203">
        <f t="shared" si="22"/>
        <v>93.967000000000013</v>
      </c>
      <c r="T75" s="203">
        <f t="shared" si="22"/>
        <v>666.86299999999994</v>
      </c>
    </row>
    <row r="76" spans="17:20" x14ac:dyDescent="0.2">
      <c r="Q76" s="157">
        <v>1999</v>
      </c>
      <c r="R76" s="203">
        <f t="shared" si="22"/>
        <v>798.22699999999998</v>
      </c>
      <c r="S76" s="203">
        <f t="shared" si="22"/>
        <v>75.48299999999999</v>
      </c>
      <c r="T76" s="203">
        <f t="shared" si="22"/>
        <v>722.74400000000003</v>
      </c>
    </row>
    <row r="77" spans="17:20" x14ac:dyDescent="0.2">
      <c r="Q77" s="157">
        <v>2000</v>
      </c>
      <c r="R77" s="203">
        <f t="shared" si="22"/>
        <v>778.91100000000006</v>
      </c>
      <c r="S77" s="203">
        <f t="shared" si="22"/>
        <v>74.971000000000004</v>
      </c>
      <c r="T77" s="203">
        <f t="shared" si="22"/>
        <v>703.94</v>
      </c>
    </row>
    <row r="78" spans="17:20" x14ac:dyDescent="0.2">
      <c r="Q78" s="157">
        <v>2001</v>
      </c>
      <c r="R78" s="203">
        <f t="shared" si="22"/>
        <v>745.11300000000017</v>
      </c>
      <c r="S78" s="203">
        <f t="shared" si="22"/>
        <v>69.667999999999992</v>
      </c>
      <c r="T78" s="203">
        <f t="shared" si="22"/>
        <v>675.44500000000016</v>
      </c>
    </row>
    <row r="79" spans="17:20" x14ac:dyDescent="0.2">
      <c r="Q79" s="216">
        <v>2002</v>
      </c>
      <c r="R79" s="203">
        <f t="shared" si="22"/>
        <v>737.84200000000055</v>
      </c>
      <c r="S79" s="203">
        <f t="shared" si="22"/>
        <v>72.418999999999997</v>
      </c>
      <c r="T79" s="203">
        <f t="shared" si="22"/>
        <v>665.42300000000057</v>
      </c>
    </row>
    <row r="80" spans="17:20" x14ac:dyDescent="0.2">
      <c r="Q80" s="157">
        <v>2003</v>
      </c>
      <c r="R80" s="203">
        <f t="shared" si="22"/>
        <v>735.41300000000035</v>
      </c>
      <c r="S80" s="203">
        <f t="shared" si="22"/>
        <v>70.043999999999983</v>
      </c>
      <c r="T80" s="203">
        <f t="shared" si="22"/>
        <v>665.36900000000037</v>
      </c>
    </row>
    <row r="81" spans="17:20" x14ac:dyDescent="0.2">
      <c r="Q81" s="157">
        <v>2004</v>
      </c>
      <c r="R81" s="203">
        <f t="shared" si="22"/>
        <v>760.64400000000035</v>
      </c>
      <c r="S81" s="203">
        <f t="shared" si="22"/>
        <v>67.731999999999999</v>
      </c>
      <c r="T81" s="203">
        <f t="shared" si="22"/>
        <v>692.91200000000038</v>
      </c>
    </row>
    <row r="82" spans="17:20" x14ac:dyDescent="0.2">
      <c r="Q82" s="157">
        <v>2005</v>
      </c>
      <c r="R82" s="203">
        <f t="shared" si="22"/>
        <v>812.2620000000004</v>
      </c>
      <c r="S82" s="203">
        <f t="shared" si="22"/>
        <v>70.430000000000007</v>
      </c>
      <c r="T82" s="203">
        <f t="shared" si="22"/>
        <v>741.83200000000033</v>
      </c>
    </row>
    <row r="83" spans="17:20" x14ac:dyDescent="0.2">
      <c r="Q83" s="157">
        <v>2006</v>
      </c>
      <c r="R83" s="203">
        <f t="shared" si="22"/>
        <v>809.03800000000001</v>
      </c>
      <c r="S83" s="203">
        <f t="shared" si="22"/>
        <v>69.355999999999995</v>
      </c>
      <c r="T83" s="203">
        <f t="shared" si="22"/>
        <v>739.68200000000002</v>
      </c>
    </row>
    <row r="84" spans="17:20" x14ac:dyDescent="0.2">
      <c r="Q84" s="216">
        <v>2007</v>
      </c>
      <c r="R84" s="203">
        <f t="shared" si="22"/>
        <v>819.15900000000011</v>
      </c>
      <c r="S84" s="203">
        <f t="shared" si="22"/>
        <v>73.710999999999984</v>
      </c>
      <c r="T84" s="203">
        <f t="shared" si="22"/>
        <v>745.44800000000009</v>
      </c>
    </row>
    <row r="85" spans="17:20" x14ac:dyDescent="0.2">
      <c r="Q85" s="157">
        <v>2008</v>
      </c>
      <c r="R85" s="203">
        <f t="shared" si="22"/>
        <v>904.72799999999995</v>
      </c>
      <c r="S85" s="203">
        <f t="shared" si="22"/>
        <v>74.780999999999977</v>
      </c>
      <c r="T85" s="203">
        <f t="shared" si="22"/>
        <v>829.947</v>
      </c>
    </row>
    <row r="86" spans="17:20" x14ac:dyDescent="0.2">
      <c r="Q86" s="157">
        <v>2009</v>
      </c>
      <c r="R86" s="203">
        <f t="shared" si="22"/>
        <v>1009.9380000000001</v>
      </c>
      <c r="S86" s="203">
        <f t="shared" si="22"/>
        <v>78.605999999999995</v>
      </c>
      <c r="T86" s="203">
        <f t="shared" si="22"/>
        <v>931.33200000000011</v>
      </c>
    </row>
    <row r="87" spans="17:20" x14ac:dyDescent="0.2">
      <c r="Q87" s="216">
        <v>2010</v>
      </c>
      <c r="R87" s="157">
        <f t="shared" si="22"/>
        <v>1125.3490000000004</v>
      </c>
      <c r="S87" s="157">
        <f t="shared" si="22"/>
        <v>80.084000000000003</v>
      </c>
      <c r="T87" s="157">
        <f t="shared" si="22"/>
        <v>1045.2650000000003</v>
      </c>
    </row>
    <row r="88" spans="17:20" x14ac:dyDescent="0.2">
      <c r="Q88" s="157">
        <v>2011</v>
      </c>
      <c r="R88" s="157">
        <f t="shared" si="22"/>
        <v>1177.712</v>
      </c>
      <c r="S88" s="157">
        <f t="shared" si="22"/>
        <v>81.998999999999995</v>
      </c>
      <c r="T88" s="157">
        <f t="shared" si="22"/>
        <v>1095.713</v>
      </c>
    </row>
    <row r="89" spans="17:20" x14ac:dyDescent="0.2">
      <c r="Q89" s="216">
        <v>2012</v>
      </c>
      <c r="R89" s="157">
        <f t="shared" si="22"/>
        <v>1184.3520000000001</v>
      </c>
      <c r="S89" s="157">
        <f t="shared" si="22"/>
        <v>89.539000000000016</v>
      </c>
      <c r="T89" s="157">
        <f t="shared" si="22"/>
        <v>1094.8130000000001</v>
      </c>
    </row>
    <row r="90" spans="17:20" x14ac:dyDescent="0.2">
      <c r="Q90" s="216">
        <v>2013</v>
      </c>
      <c r="R90" s="157">
        <f t="shared" si="22"/>
        <v>1204.8510000000001</v>
      </c>
      <c r="S90" s="157">
        <f t="shared" si="22"/>
        <v>77.372</v>
      </c>
      <c r="T90" s="157">
        <f t="shared" si="22"/>
        <v>1127.479</v>
      </c>
    </row>
    <row r="91" spans="17:20" x14ac:dyDescent="0.2">
      <c r="Q91" s="216">
        <v>2014</v>
      </c>
      <c r="R91" s="157">
        <f t="shared" si="22"/>
        <v>1186.5420000000001</v>
      </c>
      <c r="S91" s="157">
        <f t="shared" si="22"/>
        <v>91.34699999999998</v>
      </c>
      <c r="T91" s="157">
        <f t="shared" si="22"/>
        <v>1095.1950000000002</v>
      </c>
    </row>
    <row r="92" spans="17:20" x14ac:dyDescent="0.2">
      <c r="Q92" s="259" t="s">
        <v>136</v>
      </c>
      <c r="R92" s="157">
        <f t="shared" si="22"/>
        <v>1207.6370000000002</v>
      </c>
      <c r="S92" s="157">
        <f t="shared" si="22"/>
        <v>91.34699999999998</v>
      </c>
      <c r="T92" s="157">
        <f t="shared" si="22"/>
        <v>1116.2900000000002</v>
      </c>
    </row>
  </sheetData>
  <autoFilter ref="B1:B92"/>
  <mergeCells count="1">
    <mergeCell ref="B1:O1"/>
  </mergeCells>
  <printOptions horizontalCentered="1" verticalCentered="1"/>
  <pageMargins left="0.51181102362204722" right="0.39370078740157483" top="0.39370078740157483" bottom="0.31496062992125984" header="0" footer="0"/>
  <pageSetup paperSize="9" scale="5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31</vt:i4>
      </vt:variant>
    </vt:vector>
  </HeadingPairs>
  <TitlesOfParts>
    <vt:vector size="62" baseType="lpstr">
      <vt:lpstr>Caratula</vt:lpstr>
      <vt:lpstr>Indice</vt:lpstr>
      <vt:lpstr>1.1 Indicadores</vt:lpstr>
      <vt:lpstr>1.2-1.3</vt:lpstr>
      <vt:lpstr>1.4</vt:lpstr>
      <vt:lpstr>2.1 P.I.</vt:lpstr>
      <vt:lpstr>2.3-2.4</vt:lpstr>
      <vt:lpstr>2.5</vt:lpstr>
      <vt:lpstr>3.1 P.E.</vt:lpstr>
      <vt:lpstr>3.2</vt:lpstr>
      <vt:lpstr>3.3-3.4</vt:lpstr>
      <vt:lpstr>4 MD</vt:lpstr>
      <vt:lpstr>5.1 PROD.</vt:lpstr>
      <vt:lpstr>5.2</vt:lpstr>
      <vt:lpstr>5.3-5.4</vt:lpstr>
      <vt:lpstr>5.5</vt:lpstr>
      <vt:lpstr>6.1 LLTT</vt:lpstr>
      <vt:lpstr>6.2 </vt:lpstr>
      <vt:lpstr>7.1</vt:lpstr>
      <vt:lpstr>7.2-7.3</vt:lpstr>
      <vt:lpstr>8.1</vt:lpstr>
      <vt:lpstr>8.2-8.3</vt:lpstr>
      <vt:lpstr>9.1</vt:lpstr>
      <vt:lpstr>9.2-9.3</vt:lpstr>
      <vt:lpstr>10,1</vt:lpstr>
      <vt:lpstr>10,2-10,3</vt:lpstr>
      <vt:lpstr>11</vt:lpstr>
      <vt:lpstr>12</vt:lpstr>
      <vt:lpstr>13</vt:lpstr>
      <vt:lpstr>14</vt:lpstr>
      <vt:lpstr>15</vt:lpstr>
      <vt:lpstr>'1.1 Indicadores'!Área_de_impresión</vt:lpstr>
      <vt:lpstr>'1.2-1.3'!Área_de_impresión</vt:lpstr>
      <vt:lpstr>'1.4'!Área_de_impresión</vt:lpstr>
      <vt:lpstr>'10,1'!Área_de_impresión</vt:lpstr>
      <vt:lpstr>'10,2-10,3'!Área_de_impresión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'2.1 P.I.'!Área_de_impresión</vt:lpstr>
      <vt:lpstr>'2.3-2.4'!Área_de_impresión</vt:lpstr>
      <vt:lpstr>'2.5'!Área_de_impresión</vt:lpstr>
      <vt:lpstr>'3.1 P.E.'!Área_de_impresión</vt:lpstr>
      <vt:lpstr>'3.2'!Área_de_impresión</vt:lpstr>
      <vt:lpstr>'3.3-3.4'!Área_de_impresión</vt:lpstr>
      <vt:lpstr>'4 MD'!Área_de_impresión</vt:lpstr>
      <vt:lpstr>'5.1 PROD.'!Área_de_impresión</vt:lpstr>
      <vt:lpstr>'5.2'!Área_de_impresión</vt:lpstr>
      <vt:lpstr>'5.3-5.4'!Área_de_impresión</vt:lpstr>
      <vt:lpstr>'5.5'!Área_de_impresión</vt:lpstr>
      <vt:lpstr>'6.1 LLTT'!Área_de_impresión</vt:lpstr>
      <vt:lpstr>'6.2 '!Área_de_impresión</vt:lpstr>
      <vt:lpstr>'7.1'!Área_de_impresión</vt:lpstr>
      <vt:lpstr>'7.2-7.3'!Área_de_impresión</vt:lpstr>
      <vt:lpstr>'8.1'!Área_de_impresión</vt:lpstr>
      <vt:lpstr>'8.2-8.3'!Área_de_impresión</vt:lpstr>
      <vt:lpstr>'9.1'!Área_de_impresión</vt:lpstr>
      <vt:lpstr>'9.2-9.3'!Área_de_impresión</vt:lpstr>
      <vt:lpstr>Caratula!Área_de_impresión</vt:lpstr>
      <vt:lpstr>Indice!Área_de_impresión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Valverde Amador Diego</dc:creator>
  <cp:lastModifiedBy>Sandoval Micha Ysela Aracely</cp:lastModifiedBy>
  <cp:lastPrinted>2016-01-04T19:44:50Z</cp:lastPrinted>
  <dcterms:created xsi:type="dcterms:W3CDTF">2015-12-30T21:26:44Z</dcterms:created>
  <dcterms:modified xsi:type="dcterms:W3CDTF">2016-01-04T19:48:07Z</dcterms:modified>
</cp:coreProperties>
</file>