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5.xml" ContentType="application/vnd.openxmlformats-officedocument.drawing+xml"/>
  <Override PartName="/xl/charts/chart34.xml" ContentType="application/vnd.openxmlformats-officedocument.drawingml.chart+xml"/>
  <Override PartName="/xl/drawings/drawing26.xml" ContentType="application/vnd.openxmlformats-officedocument.drawing+xml"/>
  <Override PartName="/xl/charts/chart35.xml" ContentType="application/vnd.openxmlformats-officedocument.drawingml.chart+xml"/>
  <Override PartName="/xl/drawings/drawing27.xml" ContentType="application/vnd.openxmlformats-officedocument.drawing+xml"/>
  <Override PartName="/xl/charts/chart36.xml" ContentType="application/vnd.openxmlformats-officedocument.drawingml.chart+xml"/>
  <Override PartName="/xl/drawings/drawing28.xml" ContentType="application/vnd.openxmlformats-officedocument.drawing+xml"/>
  <Override PartName="/xl/charts/chart37.xml" ContentType="application/vnd.openxmlformats-officedocument.drawingml.chart+xml"/>
  <Override PartName="/xl/drawings/drawing29.xml" ContentType="application/vnd.openxmlformats-officedocument.drawing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19420" windowHeight="10960" tabRatio="878"/>
  </bookViews>
  <sheets>
    <sheet name="1.1" sheetId="2" r:id="rId1"/>
    <sheet name="1.2 y 1.3" sheetId="3" r:id="rId2"/>
    <sheet name="1.4" sheetId="4" r:id="rId3"/>
    <sheet name="2.1 P.I." sheetId="5" r:id="rId4"/>
    <sheet name="2.2" sheetId="6" r:id="rId5"/>
    <sheet name="2.3 y 2.4" sheetId="7" r:id="rId6"/>
    <sheet name="2.5" sheetId="8" r:id="rId7"/>
    <sheet name="3.1 P.E." sheetId="9" r:id="rId8"/>
    <sheet name="3.2" sheetId="10" r:id="rId9"/>
    <sheet name="3.3 y 3.4" sheetId="11" r:id="rId10"/>
    <sheet name="4.1" sheetId="12" r:id="rId11"/>
    <sheet name="5.1" sheetId="13" r:id="rId12"/>
    <sheet name="5.2" sheetId="14" r:id="rId13"/>
    <sheet name="5.3 y 5.4" sheetId="15" r:id="rId14"/>
    <sheet name="5.5" sheetId="16" r:id="rId15"/>
    <sheet name="6.1" sheetId="17" r:id="rId16"/>
    <sheet name="6.2" sheetId="18" state="hidden" r:id="rId17"/>
    <sheet name="7.1" sheetId="19" r:id="rId18"/>
    <sheet name="7.2 y 7.3" sheetId="20" r:id="rId19"/>
    <sheet name="8.1" sheetId="21" r:id="rId20"/>
    <sheet name="8.2 y 8.3" sheetId="22" r:id="rId21"/>
    <sheet name="9.1" sheetId="23" r:id="rId22"/>
    <sheet name="9.2 y 9.3" sheetId="24" r:id="rId23"/>
    <sheet name="10.1" sheetId="25" r:id="rId24"/>
    <sheet name="10.2 y 10.3" sheetId="26" r:id="rId25"/>
    <sheet name="11" sheetId="27" r:id="rId26"/>
    <sheet name="12" sheetId="28" r:id="rId27"/>
    <sheet name="13" sheetId="29" r:id="rId28"/>
    <sheet name="14" sheetId="30" r:id="rId29"/>
    <sheet name="15" sheetId="31" r:id="rId30"/>
  </sheets>
  <externalReferences>
    <externalReference r:id="rId31"/>
  </externalReferences>
  <definedNames>
    <definedName name="_xlnm._FilterDatabase" localSheetId="0" hidden="1">'1.1'!$AE$1:$AE$112</definedName>
    <definedName name="_xlnm.Print_Area" localSheetId="0">'1.1'!$A$1:$AH$87</definedName>
    <definedName name="_xlnm.Print_Area" localSheetId="1">'1.2 y 1.3'!$A$1:$H$121</definedName>
    <definedName name="_xlnm.Print_Area" localSheetId="2">'1.4'!$A$1:$P$71</definedName>
    <definedName name="_xlnm.Print_Area" localSheetId="23">'10.1'!$A$1:$K$62</definedName>
    <definedName name="_xlnm.Print_Area" localSheetId="24">'10.2 y 10.3'!$A$1:$L$61,'10.2 y 10.3'!$A$67:$J$126</definedName>
    <definedName name="_xlnm.Print_Area" localSheetId="25">'11'!$A$1:$G$61</definedName>
    <definedName name="_xlnm.Print_Area" localSheetId="26">'12'!$A$1:$H$63</definedName>
    <definedName name="_xlnm.Print_Area" localSheetId="27">'13'!$A$1:$I$65</definedName>
    <definedName name="_xlnm.Print_Area" localSheetId="28">'14'!$A$1:$H$64</definedName>
    <definedName name="_xlnm.Print_Area" localSheetId="29">'15'!$A$1:$G$69</definedName>
    <definedName name="_xlnm.Print_Area" localSheetId="3">'2.1 P.I.'!$A$1:$P$66</definedName>
    <definedName name="_xlnm.Print_Area" localSheetId="4">'2.2'!$A$1:$N$60</definedName>
    <definedName name="_xlnm.Print_Area" localSheetId="5">'2.3 y 2.4'!$A$1:$O$61,'2.3 y 2.4'!$A$65:$K$122</definedName>
    <definedName name="_xlnm.Print_Area" localSheetId="6">'2.5'!$A$1:$G$59</definedName>
    <definedName name="_xlnm.Print_Area" localSheetId="7">'3.1 P.E.'!$A$1:$O$66</definedName>
    <definedName name="_xlnm.Print_Area" localSheetId="8">'3.2'!$A$1:$N$66</definedName>
    <definedName name="_xlnm.Print_Area" localSheetId="9">'3.3 y 3.4'!$A$1:$O$67,'3.3 y 3.4'!$A$70:$K$135</definedName>
    <definedName name="_xlnm.Print_Area" localSheetId="10">'4.1'!$A$1:$I$62</definedName>
    <definedName name="_xlnm.Print_Area" localSheetId="11">'5.1'!$A$1:$O$66</definedName>
    <definedName name="_xlnm.Print_Area" localSheetId="12">'5.2'!$A$1:$N$62</definedName>
    <definedName name="_xlnm.Print_Area" localSheetId="13">'5.3 y 5.4'!$A$1:$Q$68,'5.3 y 5.4'!$B$71:$L$136</definedName>
    <definedName name="_xlnm.Print_Area" localSheetId="14">'5.5'!$A$1:$G$58</definedName>
    <definedName name="_xlnm.Print_Area" localSheetId="15">'6.1'!$A$1:$J$64</definedName>
    <definedName name="_xlnm.Print_Area" localSheetId="16">'6.2'!$A$1:$H$67</definedName>
    <definedName name="_xlnm.Print_Area" localSheetId="17">'7.1'!$A$1:$L$60</definedName>
    <definedName name="_xlnm.Print_Area" localSheetId="18">'7.2 y 7.3'!$A$1:$L$60,'7.2 y 7.3'!$A$64:$L$122</definedName>
    <definedName name="_xlnm.Print_Area" localSheetId="19">'8.1'!$A$1:$K$64</definedName>
    <definedName name="_xlnm.Print_Area" localSheetId="20">'8.2 y 8.3'!$A$1:$L$57,'8.2 y 8.3'!$A$60:$I$118</definedName>
    <definedName name="_xlnm.Print_Area" localSheetId="21">'9.1'!$A$1:$L$62</definedName>
    <definedName name="_xlnm.Print_Area" localSheetId="22">'9.2 y 9.3'!$A$1:$L$61,'9.2 y 9.3'!$A$64:$I$122</definedName>
    <definedName name="AYACUCHO">[1]X_DEPA!#REF!</definedName>
    <definedName name="LIMA_I">[1]X_DEPA!#REF!</definedName>
    <definedName name="LIMA_II">[1]X_DEPA!#REF!</definedName>
    <definedName name="PIURA_I">[1]X_DEPA!#REF!</definedName>
  </definedNames>
  <calcPr calcId="145621"/>
</workbook>
</file>

<file path=xl/calcChain.xml><?xml version="1.0" encoding="utf-8"?>
<calcChain xmlns="http://schemas.openxmlformats.org/spreadsheetml/2006/main">
  <c r="B37" i="7" l="1"/>
  <c r="C97" i="20"/>
  <c r="D97" i="20"/>
  <c r="E97" i="20"/>
  <c r="F97" i="20"/>
  <c r="C98" i="20"/>
  <c r="D98" i="20"/>
  <c r="E98" i="20"/>
  <c r="F98" i="20"/>
  <c r="C99" i="20"/>
  <c r="D99" i="20"/>
  <c r="E99" i="20"/>
  <c r="F99" i="20"/>
  <c r="C100" i="20"/>
  <c r="D100" i="20"/>
  <c r="E100" i="20"/>
  <c r="F100" i="20"/>
  <c r="C38" i="25"/>
  <c r="C36" i="25"/>
  <c r="AP111" i="26" l="1"/>
  <c r="AQ111" i="26"/>
  <c r="AO111" i="26"/>
  <c r="AP110" i="26"/>
  <c r="AQ110" i="26"/>
  <c r="AR110" i="26"/>
  <c r="AO110" i="26"/>
  <c r="AR109" i="26"/>
  <c r="AP109" i="26"/>
  <c r="AQ109" i="26"/>
  <c r="AO109" i="26"/>
  <c r="AP46" i="26"/>
  <c r="AP45" i="26"/>
  <c r="AP44" i="26"/>
  <c r="AO46" i="26"/>
  <c r="AO45" i="26"/>
  <c r="AO44" i="26"/>
  <c r="M106" i="24" l="1"/>
  <c r="N106" i="24"/>
  <c r="L106" i="24"/>
  <c r="M105" i="24"/>
  <c r="N105" i="24"/>
  <c r="L105" i="24"/>
  <c r="O104" i="24"/>
  <c r="M104" i="24"/>
  <c r="N104" i="24"/>
  <c r="L104" i="24"/>
  <c r="P97" i="22"/>
  <c r="N99" i="22"/>
  <c r="O99" i="22"/>
  <c r="M99" i="22"/>
  <c r="N98" i="22"/>
  <c r="O98" i="22"/>
  <c r="M98" i="22"/>
  <c r="N97" i="22"/>
  <c r="O97" i="22"/>
  <c r="M97" i="22"/>
  <c r="O36" i="15" l="1"/>
  <c r="E36" i="8"/>
  <c r="C36" i="8"/>
  <c r="L8" i="31" l="1"/>
  <c r="M8" i="31"/>
  <c r="N8" i="31"/>
  <c r="L9" i="31"/>
  <c r="M9" i="31"/>
  <c r="N9" i="31"/>
  <c r="L10" i="31"/>
  <c r="M10" i="31"/>
  <c r="N10" i="31"/>
  <c r="L11" i="31"/>
  <c r="M11" i="31"/>
  <c r="N11" i="31"/>
  <c r="L12" i="31"/>
  <c r="M12" i="31"/>
  <c r="N12" i="31"/>
  <c r="L13" i="31"/>
  <c r="M13" i="31"/>
  <c r="N13" i="31"/>
  <c r="L14" i="31"/>
  <c r="M14" i="31"/>
  <c r="N14" i="31"/>
  <c r="L15" i="31"/>
  <c r="M15" i="31"/>
  <c r="N15" i="31"/>
  <c r="L16" i="31"/>
  <c r="M16" i="31"/>
  <c r="N16" i="31"/>
  <c r="L17" i="31"/>
  <c r="M17" i="31"/>
  <c r="N17" i="31"/>
  <c r="L18" i="31"/>
  <c r="M18" i="31"/>
  <c r="N18" i="31"/>
  <c r="L19" i="31"/>
  <c r="M19" i="31"/>
  <c r="N19" i="31"/>
  <c r="L20" i="31"/>
  <c r="M20" i="31"/>
  <c r="N20" i="31"/>
  <c r="L21" i="31"/>
  <c r="M21" i="31"/>
  <c r="N21" i="31"/>
  <c r="L22" i="31"/>
  <c r="M22" i="31"/>
  <c r="N22" i="31"/>
  <c r="L23" i="31"/>
  <c r="M23" i="31"/>
  <c r="N23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11" i="31"/>
  <c r="K10" i="31"/>
  <c r="K9" i="31"/>
  <c r="K8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K23" i="30"/>
  <c r="N23" i="30"/>
  <c r="M23" i="30"/>
  <c r="L23" i="30"/>
  <c r="J23" i="30"/>
  <c r="N22" i="30"/>
  <c r="M22" i="30"/>
  <c r="L22" i="30"/>
  <c r="K22" i="30"/>
  <c r="J22" i="30"/>
  <c r="N21" i="30"/>
  <c r="M21" i="30"/>
  <c r="L21" i="30"/>
  <c r="K21" i="30"/>
  <c r="J21" i="30"/>
  <c r="N20" i="30"/>
  <c r="M20" i="30"/>
  <c r="L20" i="30"/>
  <c r="K20" i="30"/>
  <c r="J20" i="30"/>
  <c r="N19" i="30"/>
  <c r="M19" i="30"/>
  <c r="L19" i="30"/>
  <c r="K19" i="30"/>
  <c r="J19" i="30"/>
  <c r="N18" i="30"/>
  <c r="M18" i="30"/>
  <c r="L18" i="30"/>
  <c r="K18" i="30"/>
  <c r="J18" i="30"/>
  <c r="N17" i="30"/>
  <c r="M17" i="30"/>
  <c r="L17" i="30"/>
  <c r="K17" i="30"/>
  <c r="J17" i="30"/>
  <c r="N16" i="30"/>
  <c r="M16" i="30"/>
  <c r="L16" i="30"/>
  <c r="K16" i="30"/>
  <c r="J16" i="30"/>
  <c r="N15" i="30"/>
  <c r="M15" i="30"/>
  <c r="L15" i="30"/>
  <c r="K15" i="30"/>
  <c r="J15" i="30"/>
  <c r="N14" i="30"/>
  <c r="M14" i="30"/>
  <c r="L14" i="30"/>
  <c r="K14" i="30"/>
  <c r="J14" i="30"/>
  <c r="N13" i="30"/>
  <c r="M13" i="30"/>
  <c r="L13" i="30"/>
  <c r="K13" i="30"/>
  <c r="J13" i="30"/>
  <c r="N12" i="30"/>
  <c r="M12" i="30"/>
  <c r="L12" i="30"/>
  <c r="K12" i="30"/>
  <c r="J12" i="30"/>
  <c r="N11" i="30"/>
  <c r="M11" i="30"/>
  <c r="L11" i="30"/>
  <c r="K11" i="30"/>
  <c r="J11" i="30"/>
  <c r="N10" i="30"/>
  <c r="M10" i="30"/>
  <c r="L10" i="30"/>
  <c r="K10" i="30"/>
  <c r="J10" i="30"/>
  <c r="N9" i="30"/>
  <c r="M9" i="30"/>
  <c r="L9" i="30"/>
  <c r="K9" i="30"/>
  <c r="J9" i="30"/>
  <c r="N8" i="30"/>
  <c r="M8" i="30"/>
  <c r="L8" i="30"/>
  <c r="K8" i="30"/>
  <c r="J8" i="30"/>
  <c r="N7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N22" i="29"/>
  <c r="M22" i="29"/>
  <c r="L22" i="29"/>
  <c r="K22" i="29"/>
  <c r="N21" i="29"/>
  <c r="M21" i="29"/>
  <c r="L21" i="29"/>
  <c r="K21" i="29"/>
  <c r="N20" i="29"/>
  <c r="M20" i="29"/>
  <c r="L20" i="29"/>
  <c r="K20" i="29"/>
  <c r="N19" i="29"/>
  <c r="M19" i="29"/>
  <c r="L19" i="29"/>
  <c r="K19" i="29"/>
  <c r="N18" i="29"/>
  <c r="M18" i="29"/>
  <c r="L18" i="29"/>
  <c r="K18" i="29"/>
  <c r="N17" i="29"/>
  <c r="M17" i="29"/>
  <c r="L17" i="29"/>
  <c r="K17" i="29"/>
  <c r="N16" i="29"/>
  <c r="M16" i="29"/>
  <c r="L16" i="29"/>
  <c r="K16" i="29"/>
  <c r="N15" i="29"/>
  <c r="M15" i="29"/>
  <c r="L15" i="29"/>
  <c r="K15" i="29"/>
  <c r="N14" i="29"/>
  <c r="M14" i="29"/>
  <c r="L14" i="29"/>
  <c r="K14" i="29"/>
  <c r="N13" i="29"/>
  <c r="M13" i="29"/>
  <c r="L13" i="29"/>
  <c r="K13" i="29"/>
  <c r="N12" i="29"/>
  <c r="M12" i="29"/>
  <c r="L12" i="29"/>
  <c r="K12" i="29"/>
  <c r="N11" i="29"/>
  <c r="M11" i="29"/>
  <c r="L11" i="29"/>
  <c r="K11" i="29"/>
  <c r="N10" i="29"/>
  <c r="M10" i="29"/>
  <c r="L10" i="29"/>
  <c r="K10" i="29"/>
  <c r="N9" i="29"/>
  <c r="M9" i="29"/>
  <c r="L9" i="29"/>
  <c r="K9" i="29"/>
  <c r="N8" i="29"/>
  <c r="M8" i="29"/>
  <c r="L8" i="29"/>
  <c r="K8" i="29"/>
  <c r="M7" i="29"/>
  <c r="K7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10" i="29"/>
  <c r="J9" i="29"/>
  <c r="J8" i="29"/>
  <c r="J7" i="29"/>
  <c r="P11" i="28"/>
  <c r="P12" i="28"/>
  <c r="P13" i="28"/>
  <c r="P14" i="28"/>
  <c r="P15" i="28"/>
  <c r="P16" i="28"/>
  <c r="P17" i="28"/>
  <c r="P18" i="28"/>
  <c r="P19" i="28"/>
  <c r="P20" i="28"/>
  <c r="P21" i="28"/>
  <c r="P22" i="28"/>
  <c r="P10" i="28"/>
  <c r="P9" i="28"/>
  <c r="P8" i="28"/>
  <c r="P7" i="28"/>
  <c r="K7" i="28"/>
  <c r="L7" i="28"/>
  <c r="K8" i="28"/>
  <c r="L8" i="28"/>
  <c r="K9" i="28"/>
  <c r="L9" i="28"/>
  <c r="K10" i="28"/>
  <c r="L10" i="28"/>
  <c r="K11" i="28"/>
  <c r="L11" i="28"/>
  <c r="K12" i="28"/>
  <c r="L12" i="28"/>
  <c r="K13" i="28"/>
  <c r="L13" i="28"/>
  <c r="K14" i="28"/>
  <c r="L14" i="28"/>
  <c r="K15" i="28"/>
  <c r="L15" i="28"/>
  <c r="K16" i="28"/>
  <c r="L16" i="28"/>
  <c r="K17" i="28"/>
  <c r="L17" i="28"/>
  <c r="K18" i="28"/>
  <c r="L18" i="28"/>
  <c r="K19" i="28"/>
  <c r="L19" i="28"/>
  <c r="K20" i="28"/>
  <c r="L20" i="28"/>
  <c r="K21" i="28"/>
  <c r="L21" i="28"/>
  <c r="K22" i="28"/>
  <c r="L22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10" i="28"/>
  <c r="I9" i="28"/>
  <c r="I8" i="28"/>
  <c r="I7" i="28"/>
  <c r="R59" i="25"/>
  <c r="R58" i="25"/>
  <c r="R57" i="25"/>
  <c r="R56" i="25"/>
  <c r="R55" i="25"/>
  <c r="R54" i="25"/>
  <c r="R53" i="25"/>
  <c r="R52" i="25"/>
  <c r="R51" i="25"/>
  <c r="R50" i="25"/>
  <c r="R49" i="25"/>
  <c r="R48" i="25"/>
  <c r="R47" i="25"/>
  <c r="R46" i="25"/>
  <c r="R45" i="25"/>
  <c r="R44" i="25"/>
  <c r="R23" i="25"/>
  <c r="R22" i="25"/>
  <c r="R21" i="25"/>
  <c r="R20" i="25"/>
  <c r="R19" i="25"/>
  <c r="R18" i="25"/>
  <c r="R17" i="25"/>
  <c r="R16" i="25"/>
  <c r="R15" i="25"/>
  <c r="R14" i="25"/>
  <c r="R13" i="25"/>
  <c r="R12" i="25"/>
  <c r="R11" i="25"/>
  <c r="R10" i="25"/>
  <c r="R9" i="25"/>
  <c r="R8" i="25"/>
  <c r="R59" i="23"/>
  <c r="R58" i="23"/>
  <c r="R57" i="23"/>
  <c r="R56" i="23"/>
  <c r="R55" i="23"/>
  <c r="R54" i="23"/>
  <c r="R53" i="23"/>
  <c r="R52" i="23"/>
  <c r="R51" i="23"/>
  <c r="R50" i="23"/>
  <c r="R49" i="23"/>
  <c r="R48" i="23"/>
  <c r="R47" i="23"/>
  <c r="R46" i="23"/>
  <c r="R45" i="23"/>
  <c r="R4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C96" i="22"/>
  <c r="C95" i="22"/>
  <c r="C94" i="22"/>
  <c r="C93" i="22"/>
  <c r="E34" i="22"/>
  <c r="F34" i="22"/>
  <c r="G34" i="22"/>
  <c r="I34" i="22"/>
  <c r="E35" i="22"/>
  <c r="F35" i="22"/>
  <c r="I35" i="22"/>
  <c r="E36" i="22"/>
  <c r="F36" i="22"/>
  <c r="I36" i="22"/>
  <c r="E37" i="22"/>
  <c r="F37" i="22"/>
  <c r="I37" i="22"/>
  <c r="R60" i="21"/>
  <c r="R59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6" i="21"/>
  <c r="R45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K35" i="20"/>
  <c r="L35" i="20"/>
  <c r="K36" i="20"/>
  <c r="L36" i="20"/>
  <c r="K37" i="20"/>
  <c r="L37" i="20"/>
  <c r="K38" i="20"/>
  <c r="L38" i="20"/>
  <c r="N21" i="19"/>
  <c r="N22" i="19"/>
  <c r="N11" i="19"/>
  <c r="N12" i="19"/>
  <c r="N13" i="19"/>
  <c r="N14" i="19"/>
  <c r="N15" i="19"/>
  <c r="N16" i="19"/>
  <c r="N17" i="19"/>
  <c r="N18" i="19"/>
  <c r="N19" i="19"/>
  <c r="N20" i="19"/>
  <c r="N10" i="19"/>
  <c r="N9" i="19"/>
  <c r="N8" i="19"/>
  <c r="N7" i="19"/>
  <c r="N10" i="17"/>
  <c r="P10" i="17"/>
  <c r="Q10" i="17"/>
  <c r="R10" i="17"/>
  <c r="S10" i="17"/>
  <c r="T10" i="17"/>
  <c r="N11" i="17"/>
  <c r="P11" i="17"/>
  <c r="Q11" i="17"/>
  <c r="R11" i="17"/>
  <c r="S11" i="17"/>
  <c r="T11" i="17"/>
  <c r="N12" i="17"/>
  <c r="P12" i="17"/>
  <c r="Q12" i="17"/>
  <c r="R12" i="17"/>
  <c r="S12" i="17"/>
  <c r="T12" i="17"/>
  <c r="N13" i="17"/>
  <c r="P13" i="17"/>
  <c r="Q13" i="17"/>
  <c r="R13" i="17"/>
  <c r="S13" i="17"/>
  <c r="T13" i="17"/>
  <c r="N15" i="17"/>
  <c r="P15" i="17"/>
  <c r="Q15" i="17"/>
  <c r="R15" i="17"/>
  <c r="S15" i="17"/>
  <c r="T15" i="17"/>
  <c r="N16" i="17"/>
  <c r="P16" i="17"/>
  <c r="Q16" i="17"/>
  <c r="R16" i="17"/>
  <c r="S16" i="17"/>
  <c r="T16" i="17"/>
  <c r="N17" i="17"/>
  <c r="P17" i="17"/>
  <c r="Q17" i="17"/>
  <c r="R17" i="17"/>
  <c r="S17" i="17"/>
  <c r="T17" i="17"/>
  <c r="N18" i="17"/>
  <c r="P18" i="17"/>
  <c r="Q18" i="17"/>
  <c r="R18" i="17"/>
  <c r="S18" i="17"/>
  <c r="T18" i="17"/>
  <c r="N20" i="17"/>
  <c r="P20" i="17"/>
  <c r="Q20" i="17"/>
  <c r="R20" i="17"/>
  <c r="S20" i="17"/>
  <c r="T20" i="17"/>
  <c r="N21" i="17"/>
  <c r="P21" i="17"/>
  <c r="Q21" i="17"/>
  <c r="R21" i="17"/>
  <c r="S21" i="17"/>
  <c r="T21" i="17"/>
  <c r="N22" i="17"/>
  <c r="P22" i="17"/>
  <c r="Q22" i="17"/>
  <c r="R22" i="17"/>
  <c r="S22" i="17"/>
  <c r="T22" i="17"/>
  <c r="N23" i="17"/>
  <c r="P23" i="17"/>
  <c r="Q23" i="17"/>
  <c r="R23" i="17"/>
  <c r="S23" i="17"/>
  <c r="T23" i="17"/>
  <c r="D38" i="17"/>
  <c r="F33" i="16"/>
  <c r="F36" i="16"/>
  <c r="E36" i="16"/>
  <c r="D36" i="16"/>
  <c r="C36" i="16"/>
  <c r="E35" i="16"/>
  <c r="D35" i="16"/>
  <c r="C35" i="16"/>
  <c r="E34" i="16"/>
  <c r="D34" i="16"/>
  <c r="C34" i="16"/>
  <c r="E33" i="16"/>
  <c r="D33" i="16"/>
  <c r="C33" i="16"/>
  <c r="P39" i="15"/>
  <c r="N39" i="15"/>
  <c r="M39" i="15"/>
  <c r="P38" i="15"/>
  <c r="N38" i="15"/>
  <c r="M38" i="15"/>
  <c r="P37" i="15"/>
  <c r="N37" i="15"/>
  <c r="M37" i="15"/>
  <c r="P36" i="15"/>
  <c r="N36" i="15"/>
  <c r="M36" i="15"/>
  <c r="H37" i="15"/>
  <c r="H36" i="15"/>
  <c r="V101" i="14"/>
  <c r="V100" i="14"/>
  <c r="V99" i="14"/>
  <c r="V98" i="14"/>
  <c r="V97" i="14"/>
  <c r="V96" i="14"/>
  <c r="V95" i="14"/>
  <c r="V94" i="14"/>
  <c r="V93" i="14"/>
  <c r="V92" i="14"/>
  <c r="V91" i="14"/>
  <c r="V90" i="14"/>
  <c r="V89" i="14"/>
  <c r="V88" i="14"/>
  <c r="V87" i="14"/>
  <c r="V86" i="14"/>
  <c r="V70" i="14"/>
  <c r="V69" i="14"/>
  <c r="V68" i="14"/>
  <c r="V67" i="14"/>
  <c r="V66" i="14"/>
  <c r="V65" i="14"/>
  <c r="V64" i="14"/>
  <c r="V63" i="14"/>
  <c r="V62" i="14"/>
  <c r="V61" i="14"/>
  <c r="V60" i="14"/>
  <c r="V59" i="14"/>
  <c r="V58" i="14"/>
  <c r="V57" i="14"/>
  <c r="V56" i="14"/>
  <c r="V5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X74" i="13"/>
  <c r="X73" i="13"/>
  <c r="X72" i="13"/>
  <c r="X71" i="13"/>
  <c r="X70" i="13"/>
  <c r="X69" i="13"/>
  <c r="X68" i="13"/>
  <c r="X67" i="13"/>
  <c r="X66" i="13"/>
  <c r="AB65" i="13"/>
  <c r="X65" i="13"/>
  <c r="AB64" i="13"/>
  <c r="X64" i="13"/>
  <c r="AB63" i="13"/>
  <c r="AA63" i="13"/>
  <c r="X63" i="13"/>
  <c r="AB62" i="13"/>
  <c r="AA62" i="13"/>
  <c r="X62" i="13"/>
  <c r="AB61" i="13"/>
  <c r="AA61" i="13"/>
  <c r="X61" i="13"/>
  <c r="AB60" i="13"/>
  <c r="AA60" i="13"/>
  <c r="X60" i="13"/>
  <c r="AB59" i="13"/>
  <c r="AA59" i="13"/>
  <c r="X59" i="13"/>
  <c r="AB31" i="13"/>
  <c r="AB30" i="13"/>
  <c r="AB29" i="13"/>
  <c r="AA29" i="13"/>
  <c r="AB28" i="13"/>
  <c r="AA28" i="13"/>
  <c r="AB27" i="13"/>
  <c r="AA27" i="13"/>
  <c r="AB26" i="13"/>
  <c r="AA26" i="13"/>
  <c r="AB25" i="13"/>
  <c r="AA25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28" i="13"/>
  <c r="X27" i="13"/>
  <c r="X26" i="13"/>
  <c r="X25" i="13"/>
  <c r="F39" i="11"/>
  <c r="F38" i="11"/>
  <c r="G37" i="11"/>
  <c r="F37" i="11"/>
  <c r="G36" i="11"/>
  <c r="F36" i="11"/>
  <c r="N36" i="11"/>
  <c r="O39" i="11"/>
  <c r="M39" i="11"/>
  <c r="L39" i="11"/>
  <c r="O38" i="11"/>
  <c r="M38" i="11"/>
  <c r="L38" i="11"/>
  <c r="O37" i="11"/>
  <c r="M37" i="11"/>
  <c r="L37" i="11"/>
  <c r="O36" i="11"/>
  <c r="M36" i="11"/>
  <c r="L36" i="11"/>
  <c r="U61" i="10"/>
  <c r="U60" i="10"/>
  <c r="U59" i="10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94" i="10"/>
  <c r="U93" i="10"/>
  <c r="U92" i="10"/>
  <c r="U91" i="10"/>
  <c r="U90" i="10"/>
  <c r="U89" i="10"/>
  <c r="U88" i="10"/>
  <c r="U87" i="10"/>
  <c r="U86" i="10"/>
  <c r="U85" i="10"/>
  <c r="U84" i="10"/>
  <c r="U83" i="10"/>
  <c r="U82" i="10"/>
  <c r="U81" i="10"/>
  <c r="U80" i="10"/>
  <c r="U79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8" i="10"/>
  <c r="U7" i="10"/>
  <c r="U6" i="10"/>
  <c r="U5" i="10"/>
  <c r="D36" i="8"/>
  <c r="J98" i="7"/>
  <c r="O39" i="7"/>
  <c r="O38" i="7"/>
  <c r="O37" i="7"/>
  <c r="O36" i="7"/>
  <c r="N36" i="7"/>
  <c r="M39" i="7"/>
  <c r="M38" i="7"/>
  <c r="M37" i="7"/>
  <c r="M36" i="7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11" i="6"/>
  <c r="U12" i="6"/>
  <c r="U13" i="6"/>
  <c r="U14" i="6"/>
  <c r="U15" i="6"/>
  <c r="U16" i="6"/>
  <c r="U17" i="6"/>
  <c r="U18" i="6"/>
  <c r="U19" i="6"/>
  <c r="U20" i="6"/>
  <c r="U21" i="6"/>
  <c r="U10" i="6"/>
  <c r="U9" i="6"/>
  <c r="U8" i="6"/>
  <c r="U7" i="6"/>
  <c r="U6" i="6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44" i="5"/>
  <c r="X43" i="5"/>
  <c r="X42" i="5"/>
  <c r="X46" i="5"/>
  <c r="X47" i="5"/>
  <c r="X48" i="5"/>
  <c r="X49" i="5"/>
  <c r="X50" i="5"/>
  <c r="X51" i="5"/>
  <c r="X52" i="5"/>
  <c r="X53" i="5"/>
  <c r="X54" i="5"/>
  <c r="X55" i="5"/>
  <c r="X56" i="5"/>
  <c r="X57" i="5"/>
  <c r="X45" i="5"/>
  <c r="AC48" i="5"/>
  <c r="AC47" i="5"/>
  <c r="AC46" i="5"/>
  <c r="AB46" i="5"/>
  <c r="AC45" i="5"/>
  <c r="AB45" i="5"/>
  <c r="AC44" i="5"/>
  <c r="AB44" i="5"/>
  <c r="AC43" i="5"/>
  <c r="AB43" i="5"/>
  <c r="AC42" i="5"/>
  <c r="AB42" i="5"/>
  <c r="AB10" i="5"/>
  <c r="AC10" i="5"/>
  <c r="AC11" i="5"/>
  <c r="AC12" i="5"/>
  <c r="AB9" i="5"/>
  <c r="AC9" i="5"/>
  <c r="AB8" i="5"/>
  <c r="AC8" i="5"/>
  <c r="AB7" i="5"/>
  <c r="AC7" i="5"/>
  <c r="AB6" i="5"/>
  <c r="AC6" i="5"/>
  <c r="P40" i="4"/>
  <c r="O38" i="5"/>
  <c r="N38" i="5"/>
  <c r="L38" i="5"/>
  <c r="K38" i="5"/>
  <c r="J38" i="5"/>
  <c r="I38" i="5"/>
  <c r="O37" i="5"/>
  <c r="N37" i="5"/>
  <c r="K37" i="5"/>
  <c r="J37" i="5"/>
  <c r="I37" i="5"/>
  <c r="O36" i="5"/>
  <c r="N36" i="5"/>
  <c r="L36" i="5"/>
  <c r="K36" i="5"/>
  <c r="J36" i="5"/>
  <c r="I36" i="5"/>
  <c r="O35" i="5"/>
  <c r="N35" i="5"/>
  <c r="L35" i="5"/>
  <c r="K35" i="5"/>
  <c r="J35" i="5"/>
  <c r="I35" i="5"/>
  <c r="O13" i="17" l="1"/>
  <c r="O20" i="17"/>
  <c r="O15" i="17"/>
  <c r="O23" i="17"/>
  <c r="O18" i="17"/>
  <c r="O17" i="17"/>
  <c r="O11" i="17"/>
  <c r="O21" i="17"/>
  <c r="O16" i="17"/>
  <c r="O12" i="17"/>
  <c r="O10" i="17"/>
  <c r="O22" i="17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AD73" i="2"/>
  <c r="C37" i="27"/>
  <c r="C36" i="27"/>
  <c r="C35" i="27"/>
  <c r="C34" i="27"/>
  <c r="H40" i="17" l="1"/>
  <c r="G40" i="17"/>
  <c r="F40" i="17"/>
  <c r="E40" i="17"/>
  <c r="D40" i="17"/>
  <c r="H39" i="17"/>
  <c r="G39" i="17"/>
  <c r="F39" i="17"/>
  <c r="E39" i="17"/>
  <c r="D39" i="17"/>
  <c r="H38" i="17"/>
  <c r="G38" i="17"/>
  <c r="F38" i="17"/>
  <c r="E38" i="17"/>
  <c r="H37" i="17"/>
  <c r="G37" i="17"/>
  <c r="F37" i="17"/>
  <c r="E37" i="17"/>
  <c r="D37" i="17"/>
  <c r="V122" i="4"/>
  <c r="O40" i="4"/>
  <c r="N40" i="4"/>
  <c r="M40" i="4"/>
  <c r="K40" i="4"/>
  <c r="I40" i="4"/>
  <c r="P39" i="4"/>
  <c r="O39" i="4"/>
  <c r="N39" i="4"/>
  <c r="M39" i="4"/>
  <c r="K39" i="4"/>
  <c r="I39" i="4"/>
  <c r="P38" i="4"/>
  <c r="O38" i="4"/>
  <c r="N38" i="4"/>
  <c r="M38" i="4"/>
  <c r="K38" i="4"/>
  <c r="I38" i="4"/>
  <c r="P37" i="4"/>
  <c r="O37" i="4"/>
  <c r="N37" i="4"/>
  <c r="M37" i="4"/>
  <c r="K37" i="4"/>
  <c r="I37" i="4"/>
  <c r="L35" i="4"/>
  <c r="U35" i="4" s="1"/>
  <c r="H35" i="4"/>
  <c r="T35" i="4" s="1"/>
  <c r="G35" i="4"/>
  <c r="U122" i="4" s="1"/>
  <c r="F35" i="4"/>
  <c r="E35" i="4"/>
  <c r="D35" i="4" l="1"/>
  <c r="C35" i="4" s="1"/>
  <c r="AD75" i="2" s="1"/>
  <c r="S35" i="4"/>
  <c r="T122" i="4"/>
  <c r="S122" i="4"/>
  <c r="T36" i="17"/>
  <c r="AA24" i="17" s="1"/>
  <c r="S36" i="17"/>
  <c r="Z24" i="17" s="1"/>
  <c r="R36" i="17"/>
  <c r="Y24" i="17" s="1"/>
  <c r="Q36" i="17"/>
  <c r="X24" i="17" s="1"/>
  <c r="P36" i="17"/>
  <c r="W24" i="17" s="1"/>
  <c r="N36" i="17"/>
  <c r="V24" i="17" s="1"/>
  <c r="C36" i="17"/>
  <c r="B31" i="16"/>
  <c r="N34" i="13"/>
  <c r="S114" i="13" s="1"/>
  <c r="O34" i="13"/>
  <c r="T114" i="13" s="1"/>
  <c r="N35" i="13"/>
  <c r="O35" i="13"/>
  <c r="N36" i="13"/>
  <c r="O36" i="13"/>
  <c r="L34" i="13"/>
  <c r="V84" i="13" s="1"/>
  <c r="AB72" i="13" s="1"/>
  <c r="L35" i="13"/>
  <c r="G35" i="13" s="1"/>
  <c r="V51" i="13" s="1"/>
  <c r="AB39" i="13" s="1"/>
  <c r="L36" i="13"/>
  <c r="K34" i="13"/>
  <c r="U84" i="13" s="1"/>
  <c r="AA72" i="13" s="1"/>
  <c r="K35" i="13"/>
  <c r="F35" i="13" s="1"/>
  <c r="U51" i="13" s="1"/>
  <c r="AA39" i="13" s="1"/>
  <c r="K36" i="13"/>
  <c r="I34" i="13"/>
  <c r="S84" i="13" s="1"/>
  <c r="Y72" i="13" s="1"/>
  <c r="J34" i="13"/>
  <c r="T84" i="13" s="1"/>
  <c r="Z72" i="13" s="1"/>
  <c r="I35" i="13"/>
  <c r="S85" i="13" s="1"/>
  <c r="Y73" i="13" s="1"/>
  <c r="J35" i="13"/>
  <c r="T85" i="13" s="1"/>
  <c r="Z73" i="13" s="1"/>
  <c r="I36" i="13"/>
  <c r="J36" i="13"/>
  <c r="L108" i="15"/>
  <c r="K108" i="15"/>
  <c r="L107" i="15"/>
  <c r="K107" i="15"/>
  <c r="L106" i="15"/>
  <c r="K106" i="15"/>
  <c r="L105" i="15"/>
  <c r="K105" i="15"/>
  <c r="F108" i="15"/>
  <c r="E108" i="15"/>
  <c r="F107" i="15"/>
  <c r="E107" i="15"/>
  <c r="F106" i="15"/>
  <c r="E106" i="15"/>
  <c r="F105" i="15"/>
  <c r="E105" i="15"/>
  <c r="J103" i="15"/>
  <c r="D103" i="15"/>
  <c r="L32" i="14" s="1"/>
  <c r="R112" i="14" s="1"/>
  <c r="W100" i="14" s="1"/>
  <c r="G39" i="15"/>
  <c r="F39" i="15"/>
  <c r="E39" i="15"/>
  <c r="G38" i="15"/>
  <c r="F38" i="15"/>
  <c r="E38" i="15"/>
  <c r="G37" i="15"/>
  <c r="F37" i="15"/>
  <c r="E37" i="15"/>
  <c r="G36" i="15"/>
  <c r="F36" i="15"/>
  <c r="E36" i="15"/>
  <c r="L34" i="15"/>
  <c r="D34" i="15"/>
  <c r="H32" i="14" s="1"/>
  <c r="N31" i="9"/>
  <c r="O31" i="9"/>
  <c r="N32" i="9"/>
  <c r="O32" i="9"/>
  <c r="N33" i="9"/>
  <c r="O33" i="9"/>
  <c r="N34" i="9"/>
  <c r="O34" i="9"/>
  <c r="I31" i="9"/>
  <c r="J31" i="9"/>
  <c r="K31" i="9"/>
  <c r="L31" i="9"/>
  <c r="I32" i="9"/>
  <c r="J32" i="9"/>
  <c r="K32" i="9"/>
  <c r="L32" i="9"/>
  <c r="I33" i="9"/>
  <c r="J33" i="9"/>
  <c r="K33" i="9"/>
  <c r="L33" i="9"/>
  <c r="I34" i="9"/>
  <c r="J34" i="9"/>
  <c r="K34" i="9"/>
  <c r="L34" i="9"/>
  <c r="M35" i="13" l="1"/>
  <c r="H33" i="9"/>
  <c r="T86" i="13"/>
  <c r="Z74" i="13" s="1"/>
  <c r="J37" i="13"/>
  <c r="V86" i="13"/>
  <c r="AB74" i="13" s="1"/>
  <c r="L37" i="13"/>
  <c r="O37" i="13"/>
  <c r="S86" i="13"/>
  <c r="Y74" i="13" s="1"/>
  <c r="I37" i="13"/>
  <c r="S116" i="13"/>
  <c r="N37" i="13"/>
  <c r="V85" i="13"/>
  <c r="AB73" i="13" s="1"/>
  <c r="U85" i="13"/>
  <c r="AA73" i="13" s="1"/>
  <c r="U86" i="13"/>
  <c r="AA74" i="13" s="1"/>
  <c r="K37" i="13"/>
  <c r="L35" i="9"/>
  <c r="K35" i="9"/>
  <c r="C34" i="15"/>
  <c r="D35" i="13"/>
  <c r="S51" i="13" s="1"/>
  <c r="Y39" i="13" s="1"/>
  <c r="T115" i="13"/>
  <c r="O36" i="17"/>
  <c r="H35" i="13"/>
  <c r="R81" i="14"/>
  <c r="W69" i="14" s="1"/>
  <c r="E35" i="13"/>
  <c r="T51" i="13" s="1"/>
  <c r="Z39" i="13" s="1"/>
  <c r="C103" i="15"/>
  <c r="J32" i="14"/>
  <c r="S81" i="14" s="1"/>
  <c r="X69" i="14" s="1"/>
  <c r="T116" i="13"/>
  <c r="N32" i="14"/>
  <c r="S112" i="14" s="1"/>
  <c r="X100" i="14" s="1"/>
  <c r="S115" i="13"/>
  <c r="D32" i="14"/>
  <c r="R45" i="14" s="1"/>
  <c r="V33" i="14" s="1"/>
  <c r="K32" i="14" l="1"/>
  <c r="F32" i="14"/>
  <c r="S45" i="14" s="1"/>
  <c r="W33" i="14" s="1"/>
  <c r="C35" i="13"/>
  <c r="G32" i="14"/>
  <c r="C32" i="14" l="1"/>
  <c r="R34" i="11"/>
  <c r="R87" i="11" s="1"/>
  <c r="S34" i="11"/>
  <c r="T34" i="11"/>
  <c r="T87" i="11" s="1"/>
  <c r="U34" i="11"/>
  <c r="U87" i="11" s="1"/>
  <c r="R35" i="11"/>
  <c r="R88" i="11" s="1"/>
  <c r="S35" i="11"/>
  <c r="T35" i="11"/>
  <c r="T88" i="11" s="1"/>
  <c r="U35" i="11"/>
  <c r="U88" i="11" s="1"/>
  <c r="E36" i="11"/>
  <c r="D36" i="11"/>
  <c r="K107" i="11"/>
  <c r="J107" i="11"/>
  <c r="K106" i="11"/>
  <c r="J106" i="11"/>
  <c r="K105" i="11"/>
  <c r="J105" i="11"/>
  <c r="K104" i="11"/>
  <c r="J104" i="11"/>
  <c r="E107" i="11"/>
  <c r="D107" i="11"/>
  <c r="E106" i="11"/>
  <c r="D106" i="11"/>
  <c r="E105" i="11"/>
  <c r="D105" i="11"/>
  <c r="E104" i="11"/>
  <c r="D104" i="11"/>
  <c r="I102" i="11"/>
  <c r="N33" i="10" s="1"/>
  <c r="C102" i="11"/>
  <c r="L33" i="10" s="1"/>
  <c r="E39" i="11"/>
  <c r="D39" i="11"/>
  <c r="E38" i="11"/>
  <c r="D38" i="11"/>
  <c r="E37" i="11"/>
  <c r="D37" i="11"/>
  <c r="K34" i="11"/>
  <c r="J33" i="10" s="1"/>
  <c r="C34" i="11"/>
  <c r="T103" i="9"/>
  <c r="V71" i="9"/>
  <c r="U71" i="9"/>
  <c r="T71" i="9"/>
  <c r="S71" i="9"/>
  <c r="G33" i="9"/>
  <c r="V31" i="9" s="1"/>
  <c r="F33" i="9"/>
  <c r="U31" i="9" s="1"/>
  <c r="C34" i="8"/>
  <c r="D34" i="8"/>
  <c r="E34" i="8"/>
  <c r="F34" i="8"/>
  <c r="V34" i="11" l="1"/>
  <c r="B34" i="11"/>
  <c r="H33" i="10"/>
  <c r="S87" i="11"/>
  <c r="B102" i="11"/>
  <c r="V35" i="11"/>
  <c r="S88" i="11"/>
  <c r="M33" i="9"/>
  <c r="R103" i="9" s="1"/>
  <c r="S103" i="9"/>
  <c r="R71" i="9"/>
  <c r="E33" i="9"/>
  <c r="T31" i="9" s="1"/>
  <c r="D33" i="9"/>
  <c r="C33" i="9" l="1"/>
  <c r="R31" i="9" s="1"/>
  <c r="S31" i="9"/>
  <c r="F37" i="8" l="1"/>
  <c r="E37" i="8"/>
  <c r="D37" i="8"/>
  <c r="C37" i="8"/>
  <c r="E35" i="8"/>
  <c r="D35" i="8"/>
  <c r="C35" i="8"/>
  <c r="B32" i="8"/>
  <c r="K34" i="7"/>
  <c r="J101" i="7" l="1"/>
  <c r="J100" i="7"/>
  <c r="J99" i="7"/>
  <c r="K101" i="7"/>
  <c r="K100" i="7"/>
  <c r="K99" i="7"/>
  <c r="K98" i="7"/>
  <c r="E101" i="7"/>
  <c r="D101" i="7"/>
  <c r="E100" i="7"/>
  <c r="D100" i="7"/>
  <c r="E99" i="7"/>
  <c r="D99" i="7"/>
  <c r="E98" i="7"/>
  <c r="D98" i="7"/>
  <c r="I96" i="7"/>
  <c r="C96" i="7"/>
  <c r="L33" i="6" s="1"/>
  <c r="L39" i="7"/>
  <c r="L38" i="7"/>
  <c r="L37" i="7"/>
  <c r="L36" i="7"/>
  <c r="F39" i="7"/>
  <c r="F38" i="7"/>
  <c r="G37" i="7"/>
  <c r="F37" i="7"/>
  <c r="G36" i="7"/>
  <c r="F36" i="7"/>
  <c r="E39" i="7"/>
  <c r="D39" i="7"/>
  <c r="E38" i="7"/>
  <c r="D38" i="7"/>
  <c r="E37" i="7"/>
  <c r="D37" i="7"/>
  <c r="E36" i="7"/>
  <c r="D36" i="7"/>
  <c r="C34" i="7"/>
  <c r="S100" i="6"/>
  <c r="X88" i="6" s="1"/>
  <c r="S101" i="6"/>
  <c r="X89" i="6" s="1"/>
  <c r="S69" i="6"/>
  <c r="X57" i="6" s="1"/>
  <c r="S70" i="6"/>
  <c r="X58" i="6" s="1"/>
  <c r="N36" i="6"/>
  <c r="N35" i="6"/>
  <c r="J36" i="6"/>
  <c r="J35" i="6"/>
  <c r="F33" i="6"/>
  <c r="S33" i="6" s="1"/>
  <c r="X20" i="6" s="1"/>
  <c r="F32" i="6"/>
  <c r="R100" i="6" l="1"/>
  <c r="W88" i="6" s="1"/>
  <c r="B34" i="7"/>
  <c r="H33" i="6"/>
  <c r="K33" i="6"/>
  <c r="Q100" i="6" s="1"/>
  <c r="V88" i="6" s="1"/>
  <c r="B96" i="7"/>
  <c r="R69" i="6" l="1"/>
  <c r="W57" i="6" s="1"/>
  <c r="G33" i="6"/>
  <c r="Q69" i="6" s="1"/>
  <c r="V57" i="6" s="1"/>
  <c r="D33" i="6"/>
  <c r="S107" i="5"/>
  <c r="Z95" i="5" s="1"/>
  <c r="T107" i="5"/>
  <c r="AA95" i="5" s="1"/>
  <c r="S108" i="5"/>
  <c r="Z96" i="5" s="1"/>
  <c r="T108" i="5"/>
  <c r="AA96" i="5" s="1"/>
  <c r="S68" i="5"/>
  <c r="Z56" i="5" s="1"/>
  <c r="T68" i="5"/>
  <c r="AA56" i="5" s="1"/>
  <c r="U68" i="5"/>
  <c r="AB56" i="5" s="1"/>
  <c r="V68" i="5"/>
  <c r="AC56" i="5" s="1"/>
  <c r="S69" i="5"/>
  <c r="Z57" i="5" s="1"/>
  <c r="T69" i="5"/>
  <c r="AA57" i="5" s="1"/>
  <c r="U69" i="5"/>
  <c r="AB57" i="5" s="1"/>
  <c r="V69" i="5"/>
  <c r="AC57" i="5" s="1"/>
  <c r="M33" i="5"/>
  <c r="R107" i="5" s="1"/>
  <c r="Y95" i="5" s="1"/>
  <c r="H33" i="5"/>
  <c r="R68" i="5" s="1"/>
  <c r="Y56" i="5" s="1"/>
  <c r="G33" i="5"/>
  <c r="V32" i="5" s="1"/>
  <c r="AC20" i="5" s="1"/>
  <c r="F33" i="5"/>
  <c r="U32" i="5" s="1"/>
  <c r="AB20" i="5" s="1"/>
  <c r="E33" i="5"/>
  <c r="T32" i="5" s="1"/>
  <c r="AA20" i="5" s="1"/>
  <c r="D33" i="5"/>
  <c r="S32" i="5" s="1"/>
  <c r="Z20" i="5" s="1"/>
  <c r="F39" i="31"/>
  <c r="E39" i="31"/>
  <c r="D39" i="31"/>
  <c r="C39" i="31"/>
  <c r="F38" i="31"/>
  <c r="E38" i="31"/>
  <c r="D38" i="31"/>
  <c r="C38" i="31"/>
  <c r="F37" i="31"/>
  <c r="E37" i="31"/>
  <c r="D37" i="31"/>
  <c r="C37" i="31"/>
  <c r="F36" i="31"/>
  <c r="E36" i="31"/>
  <c r="D36" i="31"/>
  <c r="C36" i="31"/>
  <c r="B39" i="31"/>
  <c r="B38" i="31"/>
  <c r="B37" i="31"/>
  <c r="B36" i="31"/>
  <c r="E39" i="30"/>
  <c r="D39" i="30"/>
  <c r="C39" i="30"/>
  <c r="E38" i="30"/>
  <c r="D38" i="30"/>
  <c r="C38" i="30"/>
  <c r="E37" i="30"/>
  <c r="D37" i="30"/>
  <c r="C37" i="30"/>
  <c r="E36" i="30"/>
  <c r="D36" i="30"/>
  <c r="C36" i="30"/>
  <c r="B36" i="30"/>
  <c r="B37" i="30"/>
  <c r="B38" i="30"/>
  <c r="B39" i="30"/>
  <c r="F34" i="30"/>
  <c r="O98" i="26"/>
  <c r="U98" i="26" s="1"/>
  <c r="P98" i="26"/>
  <c r="V98" i="26" s="1"/>
  <c r="Q98" i="26"/>
  <c r="W98" i="26" s="1"/>
  <c r="O99" i="26"/>
  <c r="U99" i="26" s="1"/>
  <c r="P99" i="26"/>
  <c r="V99" i="26" s="1"/>
  <c r="Q99" i="26"/>
  <c r="W99" i="26" s="1"/>
  <c r="E103" i="26"/>
  <c r="D103" i="26"/>
  <c r="C103" i="26"/>
  <c r="E102" i="26"/>
  <c r="D102" i="26"/>
  <c r="C102" i="26"/>
  <c r="E101" i="26"/>
  <c r="D101" i="26"/>
  <c r="C101" i="26"/>
  <c r="E100" i="26"/>
  <c r="D100" i="26"/>
  <c r="C100" i="26"/>
  <c r="B103" i="26"/>
  <c r="B102" i="26"/>
  <c r="B101" i="26"/>
  <c r="B100" i="26"/>
  <c r="E38" i="26"/>
  <c r="E37" i="26"/>
  <c r="P35" i="26"/>
  <c r="P33" i="26"/>
  <c r="Q33" i="26"/>
  <c r="R33" i="26"/>
  <c r="S33" i="26"/>
  <c r="U33" i="26"/>
  <c r="V33" i="26"/>
  <c r="W33" i="26"/>
  <c r="X33" i="26"/>
  <c r="Q34" i="26"/>
  <c r="R34" i="26"/>
  <c r="S34" i="26"/>
  <c r="U34" i="26"/>
  <c r="V34" i="26"/>
  <c r="W34" i="26"/>
  <c r="X34" i="26"/>
  <c r="I38" i="26"/>
  <c r="I37" i="26"/>
  <c r="I36" i="26"/>
  <c r="L38" i="26"/>
  <c r="K38" i="26"/>
  <c r="J38" i="26"/>
  <c r="H38" i="26"/>
  <c r="L37" i="26"/>
  <c r="K37" i="26"/>
  <c r="J37" i="26"/>
  <c r="H37" i="26"/>
  <c r="L36" i="26"/>
  <c r="K36" i="26"/>
  <c r="J36" i="26"/>
  <c r="H36" i="26"/>
  <c r="L35" i="26"/>
  <c r="K35" i="26"/>
  <c r="J35" i="26"/>
  <c r="I35" i="26"/>
  <c r="H35" i="26"/>
  <c r="F38" i="26"/>
  <c r="C38" i="26"/>
  <c r="F37" i="26"/>
  <c r="C37" i="26"/>
  <c r="F36" i="26"/>
  <c r="E36" i="26"/>
  <c r="C36" i="26"/>
  <c r="G35" i="26"/>
  <c r="F35" i="26"/>
  <c r="E35" i="26"/>
  <c r="C35" i="26"/>
  <c r="B35" i="26"/>
  <c r="B36" i="26"/>
  <c r="B37" i="26"/>
  <c r="B38" i="26"/>
  <c r="AL34" i="25"/>
  <c r="AL35" i="25"/>
  <c r="O70" i="25"/>
  <c r="S58" i="25" s="1"/>
  <c r="P70" i="25"/>
  <c r="T58" i="25" s="1"/>
  <c r="O71" i="25"/>
  <c r="S59" i="25" s="1"/>
  <c r="P71" i="25"/>
  <c r="T59" i="25" s="1"/>
  <c r="K39" i="25"/>
  <c r="K38" i="25"/>
  <c r="K37" i="25"/>
  <c r="K36" i="25"/>
  <c r="I39" i="25"/>
  <c r="H39" i="25"/>
  <c r="G39" i="25"/>
  <c r="F39" i="25"/>
  <c r="E39" i="25"/>
  <c r="D39" i="25"/>
  <c r="I38" i="25"/>
  <c r="H38" i="25"/>
  <c r="G38" i="25"/>
  <c r="F38" i="25"/>
  <c r="E38" i="25"/>
  <c r="D38" i="25"/>
  <c r="I37" i="25"/>
  <c r="H37" i="25"/>
  <c r="G37" i="25"/>
  <c r="F37" i="25"/>
  <c r="E37" i="25"/>
  <c r="D37" i="25"/>
  <c r="I36" i="25"/>
  <c r="H36" i="25"/>
  <c r="G36" i="25"/>
  <c r="F36" i="25"/>
  <c r="E36" i="25"/>
  <c r="D36" i="25"/>
  <c r="C39" i="25"/>
  <c r="C37" i="25"/>
  <c r="O34" i="25"/>
  <c r="S22" i="25" s="1"/>
  <c r="P34" i="25"/>
  <c r="T22" i="25" s="1"/>
  <c r="O35" i="25"/>
  <c r="S23" i="25" s="1"/>
  <c r="P35" i="25"/>
  <c r="T23" i="25" s="1"/>
  <c r="E99" i="24"/>
  <c r="D99" i="24"/>
  <c r="C99" i="24"/>
  <c r="E98" i="24"/>
  <c r="D98" i="24"/>
  <c r="C98" i="24"/>
  <c r="E97" i="24"/>
  <c r="D97" i="24"/>
  <c r="C97" i="24"/>
  <c r="E96" i="24"/>
  <c r="D96" i="24"/>
  <c r="C96" i="24"/>
  <c r="B94" i="24"/>
  <c r="L37" i="24"/>
  <c r="K37" i="24"/>
  <c r="J37" i="24"/>
  <c r="L36" i="24"/>
  <c r="K36" i="24"/>
  <c r="J36" i="24"/>
  <c r="L35" i="24"/>
  <c r="K35" i="24"/>
  <c r="J35" i="24"/>
  <c r="L34" i="24"/>
  <c r="K34" i="24"/>
  <c r="J34" i="24"/>
  <c r="F37" i="24"/>
  <c r="E37" i="24"/>
  <c r="F36" i="24"/>
  <c r="E36" i="24"/>
  <c r="F35" i="24"/>
  <c r="E35" i="24"/>
  <c r="F34" i="24"/>
  <c r="E34" i="24"/>
  <c r="H32" i="24"/>
  <c r="C32" i="24"/>
  <c r="H34" i="23" s="1"/>
  <c r="G38" i="29"/>
  <c r="E38" i="29"/>
  <c r="D38" i="29"/>
  <c r="C38" i="29"/>
  <c r="G37" i="29"/>
  <c r="E37" i="29"/>
  <c r="D37" i="29"/>
  <c r="C37" i="29"/>
  <c r="G36" i="29"/>
  <c r="E36" i="29"/>
  <c r="D36" i="29"/>
  <c r="C36" i="29"/>
  <c r="G35" i="29"/>
  <c r="E35" i="29"/>
  <c r="D35" i="29"/>
  <c r="C35" i="29"/>
  <c r="B38" i="29"/>
  <c r="B37" i="29"/>
  <c r="B36" i="29"/>
  <c r="B35" i="29"/>
  <c r="F33" i="29"/>
  <c r="H33" i="29" s="1"/>
  <c r="G38" i="28"/>
  <c r="F38" i="28"/>
  <c r="E38" i="28"/>
  <c r="G37" i="28"/>
  <c r="F37" i="28"/>
  <c r="E37" i="28"/>
  <c r="G36" i="28"/>
  <c r="F36" i="28"/>
  <c r="E36" i="28"/>
  <c r="G35" i="28"/>
  <c r="F35" i="28"/>
  <c r="E35" i="28"/>
  <c r="D33" i="28"/>
  <c r="C33" i="28"/>
  <c r="O21" i="28" s="1"/>
  <c r="H33" i="22"/>
  <c r="C33" i="22"/>
  <c r="E96" i="22"/>
  <c r="D96" i="22"/>
  <c r="E95" i="22"/>
  <c r="D95" i="22"/>
  <c r="E94" i="22"/>
  <c r="D94" i="22"/>
  <c r="E93" i="22"/>
  <c r="D93" i="22"/>
  <c r="L37" i="22"/>
  <c r="K37" i="22"/>
  <c r="J37" i="22"/>
  <c r="L36" i="22"/>
  <c r="K36" i="22"/>
  <c r="J36" i="22"/>
  <c r="L35" i="22"/>
  <c r="K35" i="22"/>
  <c r="J35" i="22"/>
  <c r="L34" i="22"/>
  <c r="K34" i="22"/>
  <c r="J34" i="22"/>
  <c r="H32" i="22"/>
  <c r="C32" i="22"/>
  <c r="H34" i="21" s="1"/>
  <c r="B91" i="22"/>
  <c r="K34" i="21" s="1"/>
  <c r="I34" i="21" s="1"/>
  <c r="P71" i="21" s="1"/>
  <c r="T59" i="21" s="1"/>
  <c r="B32" i="22" l="1"/>
  <c r="G34" i="21"/>
  <c r="F34" i="21" s="1"/>
  <c r="O71" i="21" s="1"/>
  <c r="S59" i="21" s="1"/>
  <c r="H34" i="22"/>
  <c r="R33" i="6"/>
  <c r="W20" i="6" s="1"/>
  <c r="C33" i="6"/>
  <c r="Q33" i="6" s="1"/>
  <c r="V20" i="6" s="1"/>
  <c r="O33" i="26"/>
  <c r="T33" i="26"/>
  <c r="N98" i="26"/>
  <c r="T98" i="26" s="1"/>
  <c r="AA34" i="25"/>
  <c r="AJ34" i="25" s="1"/>
  <c r="E34" i="21"/>
  <c r="P34" i="21" s="1"/>
  <c r="T22" i="21" s="1"/>
  <c r="G34" i="23"/>
  <c r="D34" i="23" s="1"/>
  <c r="K34" i="23"/>
  <c r="C33" i="5"/>
  <c r="R32" i="5" s="1"/>
  <c r="Y20" i="5" s="1"/>
  <c r="B32" i="24"/>
  <c r="N33" i="26" s="1"/>
  <c r="B96" i="20"/>
  <c r="B95" i="20"/>
  <c r="K33" i="19" s="1"/>
  <c r="I33" i="19" s="1"/>
  <c r="H33" i="20"/>
  <c r="C33" i="20"/>
  <c r="H33" i="19" s="1"/>
  <c r="D34" i="21" l="1"/>
  <c r="K34" i="19"/>
  <c r="I34" i="19" s="1"/>
  <c r="E33" i="19"/>
  <c r="P21" i="19" s="1"/>
  <c r="B33" i="20"/>
  <c r="G33" i="19"/>
  <c r="F33" i="19" s="1"/>
  <c r="W34" i="25"/>
  <c r="AF34" i="25" s="1"/>
  <c r="I34" i="23"/>
  <c r="AD34" i="25"/>
  <c r="AM34" i="25" s="1"/>
  <c r="E34" i="23"/>
  <c r="C34" i="23" s="1"/>
  <c r="B97" i="20"/>
  <c r="F34" i="23"/>
  <c r="Z34" i="25"/>
  <c r="AI34" i="25" s="1"/>
  <c r="O34" i="23"/>
  <c r="S22" i="23" s="1"/>
  <c r="C34" i="21"/>
  <c r="O34" i="21"/>
  <c r="S22" i="21" s="1"/>
  <c r="D33" i="19"/>
  <c r="C39" i="12"/>
  <c r="C38" i="12"/>
  <c r="C37" i="12"/>
  <c r="C36" i="12"/>
  <c r="M91" i="3"/>
  <c r="C33" i="19" l="1"/>
  <c r="O21" i="19"/>
  <c r="Y34" i="25"/>
  <c r="AH34" i="25" s="1"/>
  <c r="O70" i="23"/>
  <c r="S58" i="23" s="1"/>
  <c r="P34" i="23"/>
  <c r="T22" i="23" s="1"/>
  <c r="X34" i="25"/>
  <c r="AG34" i="25" s="1"/>
  <c r="AB34" i="25"/>
  <c r="AK34" i="25" s="1"/>
  <c r="P70" i="23"/>
  <c r="T58" i="23" s="1"/>
  <c r="V34" i="25"/>
  <c r="AE34" i="25" s="1"/>
  <c r="M31" i="3"/>
  <c r="E91" i="3" l="1"/>
  <c r="E31" i="3"/>
  <c r="AH80" i="2" l="1"/>
  <c r="AH81" i="2"/>
  <c r="AH79" i="2"/>
  <c r="AG80" i="2"/>
  <c r="AG81" i="2"/>
  <c r="AG79" i="2"/>
  <c r="AF80" i="2"/>
  <c r="AF81" i="2"/>
  <c r="AF79" i="2"/>
  <c r="AE80" i="2"/>
  <c r="AE81" i="2"/>
  <c r="AE79" i="2"/>
  <c r="AH75" i="2"/>
  <c r="AG75" i="2"/>
  <c r="AF75" i="2"/>
  <c r="AE75" i="2"/>
  <c r="AH73" i="2"/>
  <c r="AG73" i="2"/>
  <c r="AF73" i="2"/>
  <c r="AE73" i="2"/>
  <c r="AH59" i="2"/>
  <c r="AG59" i="2"/>
  <c r="AF59" i="2"/>
  <c r="AE59" i="2"/>
  <c r="AH57" i="2"/>
  <c r="AG57" i="2"/>
  <c r="AF57" i="2"/>
  <c r="AE57" i="2"/>
  <c r="AH41" i="2"/>
  <c r="AG41" i="2"/>
  <c r="AF41" i="2"/>
  <c r="AE41" i="2"/>
  <c r="AH39" i="2"/>
  <c r="AG39" i="2"/>
  <c r="AF39" i="2"/>
  <c r="AE39" i="2"/>
  <c r="AH23" i="2"/>
  <c r="AG23" i="2"/>
  <c r="AF23" i="2"/>
  <c r="AE23" i="2"/>
  <c r="AH7" i="2"/>
  <c r="AG7" i="2"/>
  <c r="AF7" i="2"/>
  <c r="AE7" i="2"/>
  <c r="M64" i="3" l="1"/>
  <c r="E64" i="3" s="1"/>
  <c r="M4" i="3"/>
  <c r="F35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34" i="29"/>
  <c r="F32" i="29"/>
  <c r="H32" i="29" s="1"/>
  <c r="F31" i="29"/>
  <c r="H31" i="29" s="1"/>
  <c r="F30" i="29"/>
  <c r="H30" i="29" s="1"/>
  <c r="F29" i="29"/>
  <c r="H29" i="29" s="1"/>
  <c r="F28" i="29"/>
  <c r="F27" i="29"/>
  <c r="H27" i="29" s="1"/>
  <c r="F26" i="29"/>
  <c r="H26" i="29" s="1"/>
  <c r="F25" i="29"/>
  <c r="H25" i="29" s="1"/>
  <c r="F24" i="29"/>
  <c r="H24" i="29" s="1"/>
  <c r="F23" i="29"/>
  <c r="F22" i="29"/>
  <c r="H22" i="29" s="1"/>
  <c r="F21" i="29"/>
  <c r="F20" i="29"/>
  <c r="H20" i="29" s="1"/>
  <c r="F19" i="29"/>
  <c r="F18" i="29"/>
  <c r="F17" i="29"/>
  <c r="H17" i="29" s="1"/>
  <c r="F16" i="29"/>
  <c r="H16" i="29" s="1"/>
  <c r="F15" i="29"/>
  <c r="H15" i="29" s="1"/>
  <c r="F14" i="29"/>
  <c r="F13" i="29"/>
  <c r="F12" i="29"/>
  <c r="H12" i="29" s="1"/>
  <c r="F11" i="29"/>
  <c r="F10" i="29"/>
  <c r="H10" i="29" s="1"/>
  <c r="E9" i="29"/>
  <c r="D9" i="29"/>
  <c r="C8" i="29"/>
  <c r="C7" i="29"/>
  <c r="D34" i="28"/>
  <c r="C34" i="28"/>
  <c r="O22" i="28" s="1"/>
  <c r="D32" i="28"/>
  <c r="C32" i="28"/>
  <c r="O20" i="28" s="1"/>
  <c r="D31" i="28"/>
  <c r="C31" i="28"/>
  <c r="O19" i="28" s="1"/>
  <c r="D30" i="28"/>
  <c r="C30" i="28"/>
  <c r="O18" i="28" s="1"/>
  <c r="D29" i="28"/>
  <c r="C29" i="28"/>
  <c r="O17" i="28" s="1"/>
  <c r="D28" i="28"/>
  <c r="C28" i="28"/>
  <c r="O16" i="28" s="1"/>
  <c r="D27" i="28"/>
  <c r="C27" i="28"/>
  <c r="O15" i="28" s="1"/>
  <c r="D26" i="28"/>
  <c r="C26" i="28"/>
  <c r="O14" i="28" s="1"/>
  <c r="D25" i="28"/>
  <c r="C25" i="28"/>
  <c r="O13" i="28" s="1"/>
  <c r="D24" i="28"/>
  <c r="C24" i="28"/>
  <c r="O12" i="28" s="1"/>
  <c r="D23" i="28"/>
  <c r="C23" i="28"/>
  <c r="O11" i="28" s="1"/>
  <c r="D22" i="28"/>
  <c r="C22" i="28"/>
  <c r="O10" i="28" s="1"/>
  <c r="D21" i="28"/>
  <c r="C21" i="28"/>
  <c r="D20" i="28"/>
  <c r="C20" i="28"/>
  <c r="D19" i="28"/>
  <c r="C19" i="28"/>
  <c r="D18" i="28"/>
  <c r="C18" i="28"/>
  <c r="D17" i="28"/>
  <c r="O9" i="28" s="1"/>
  <c r="C17" i="28"/>
  <c r="D16" i="28"/>
  <c r="C16" i="28"/>
  <c r="D15" i="28"/>
  <c r="C15" i="28"/>
  <c r="D14" i="28"/>
  <c r="C14" i="28"/>
  <c r="D13" i="28"/>
  <c r="C13" i="28"/>
  <c r="D12" i="28"/>
  <c r="O8" i="28" s="1"/>
  <c r="C12" i="28"/>
  <c r="D11" i="28"/>
  <c r="C11" i="28"/>
  <c r="D10" i="28"/>
  <c r="C10" i="28"/>
  <c r="D9" i="28"/>
  <c r="C9" i="28"/>
  <c r="D8" i="28"/>
  <c r="C8" i="28"/>
  <c r="D7" i="28"/>
  <c r="O7" i="28" s="1"/>
  <c r="C7" i="28"/>
  <c r="O72" i="26"/>
  <c r="U72" i="26" s="1"/>
  <c r="P72" i="26"/>
  <c r="V72" i="26" s="1"/>
  <c r="Q72" i="26"/>
  <c r="W72" i="26" s="1"/>
  <c r="R72" i="26"/>
  <c r="X72" i="26" s="1"/>
  <c r="O73" i="26"/>
  <c r="U73" i="26" s="1"/>
  <c r="P73" i="26"/>
  <c r="V73" i="26" s="1"/>
  <c r="Q73" i="26"/>
  <c r="W73" i="26" s="1"/>
  <c r="R73" i="26"/>
  <c r="X73" i="26" s="1"/>
  <c r="O74" i="26"/>
  <c r="U74" i="26" s="1"/>
  <c r="P74" i="26"/>
  <c r="V74" i="26" s="1"/>
  <c r="Q74" i="26"/>
  <c r="W74" i="26" s="1"/>
  <c r="R74" i="26"/>
  <c r="X74" i="26" s="1"/>
  <c r="P75" i="26"/>
  <c r="V75" i="26" s="1"/>
  <c r="Q75" i="26"/>
  <c r="W75" i="26" s="1"/>
  <c r="R75" i="26"/>
  <c r="X75" i="26" s="1"/>
  <c r="O76" i="26"/>
  <c r="U76" i="26" s="1"/>
  <c r="P76" i="26"/>
  <c r="V76" i="26" s="1"/>
  <c r="Q76" i="26"/>
  <c r="W76" i="26" s="1"/>
  <c r="O77" i="26"/>
  <c r="U77" i="26" s="1"/>
  <c r="P77" i="26"/>
  <c r="V77" i="26" s="1"/>
  <c r="Q77" i="26"/>
  <c r="W77" i="26" s="1"/>
  <c r="O78" i="26"/>
  <c r="U78" i="26" s="1"/>
  <c r="P78" i="26"/>
  <c r="V78" i="26" s="1"/>
  <c r="Q78" i="26"/>
  <c r="W78" i="26" s="1"/>
  <c r="O79" i="26"/>
  <c r="U79" i="26" s="1"/>
  <c r="P79" i="26"/>
  <c r="V79" i="26" s="1"/>
  <c r="Q79" i="26"/>
  <c r="W79" i="26" s="1"/>
  <c r="O80" i="26"/>
  <c r="U80" i="26" s="1"/>
  <c r="P80" i="26"/>
  <c r="V80" i="26" s="1"/>
  <c r="Q80" i="26"/>
  <c r="W80" i="26" s="1"/>
  <c r="O81" i="26"/>
  <c r="U81" i="26" s="1"/>
  <c r="P81" i="26"/>
  <c r="V81" i="26" s="1"/>
  <c r="Q81" i="26"/>
  <c r="W81" i="26" s="1"/>
  <c r="O82" i="26"/>
  <c r="U82" i="26" s="1"/>
  <c r="P82" i="26"/>
  <c r="V82" i="26" s="1"/>
  <c r="Q82" i="26"/>
  <c r="W82" i="26" s="1"/>
  <c r="O83" i="26"/>
  <c r="U83" i="26" s="1"/>
  <c r="P83" i="26"/>
  <c r="V83" i="26" s="1"/>
  <c r="Q83" i="26"/>
  <c r="W83" i="26" s="1"/>
  <c r="O84" i="26"/>
  <c r="U84" i="26" s="1"/>
  <c r="P84" i="26"/>
  <c r="V84" i="26" s="1"/>
  <c r="Q84" i="26"/>
  <c r="W84" i="26" s="1"/>
  <c r="O85" i="26"/>
  <c r="U85" i="26" s="1"/>
  <c r="P85" i="26"/>
  <c r="V85" i="26" s="1"/>
  <c r="Q85" i="26"/>
  <c r="W85" i="26" s="1"/>
  <c r="O86" i="26"/>
  <c r="U86" i="26" s="1"/>
  <c r="P86" i="26"/>
  <c r="V86" i="26" s="1"/>
  <c r="Q86" i="26"/>
  <c r="W86" i="26" s="1"/>
  <c r="O87" i="26"/>
  <c r="U87" i="26" s="1"/>
  <c r="P87" i="26"/>
  <c r="V87" i="26" s="1"/>
  <c r="Q87" i="26"/>
  <c r="W87" i="26" s="1"/>
  <c r="O88" i="26"/>
  <c r="U88" i="26" s="1"/>
  <c r="P88" i="26"/>
  <c r="V88" i="26" s="1"/>
  <c r="Q88" i="26"/>
  <c r="W88" i="26" s="1"/>
  <c r="O89" i="26"/>
  <c r="U89" i="26" s="1"/>
  <c r="P89" i="26"/>
  <c r="V89" i="26" s="1"/>
  <c r="Q89" i="26"/>
  <c r="W89" i="26" s="1"/>
  <c r="O90" i="26"/>
  <c r="U90" i="26" s="1"/>
  <c r="P90" i="26"/>
  <c r="V90" i="26" s="1"/>
  <c r="Q90" i="26"/>
  <c r="W90" i="26" s="1"/>
  <c r="O91" i="26"/>
  <c r="U91" i="26" s="1"/>
  <c r="P91" i="26"/>
  <c r="V91" i="26" s="1"/>
  <c r="Q91" i="26"/>
  <c r="W91" i="26" s="1"/>
  <c r="O92" i="26"/>
  <c r="U92" i="26" s="1"/>
  <c r="P92" i="26"/>
  <c r="V92" i="26" s="1"/>
  <c r="Q92" i="26"/>
  <c r="W92" i="26" s="1"/>
  <c r="O93" i="26"/>
  <c r="U93" i="26" s="1"/>
  <c r="P93" i="26"/>
  <c r="V93" i="26" s="1"/>
  <c r="Q93" i="26"/>
  <c r="W93" i="26" s="1"/>
  <c r="O94" i="26"/>
  <c r="U94" i="26" s="1"/>
  <c r="P94" i="26"/>
  <c r="V94" i="26" s="1"/>
  <c r="Q94" i="26"/>
  <c r="W94" i="26" s="1"/>
  <c r="O95" i="26"/>
  <c r="U95" i="26" s="1"/>
  <c r="P95" i="26"/>
  <c r="V95" i="26" s="1"/>
  <c r="Q95" i="26"/>
  <c r="W95" i="26" s="1"/>
  <c r="O96" i="26"/>
  <c r="U96" i="26" s="1"/>
  <c r="P96" i="26"/>
  <c r="V96" i="26" s="1"/>
  <c r="Q96" i="26"/>
  <c r="W96" i="26" s="1"/>
  <c r="O97" i="26"/>
  <c r="U97" i="26" s="1"/>
  <c r="P97" i="26"/>
  <c r="V97" i="26" s="1"/>
  <c r="Q97" i="26"/>
  <c r="W97" i="26" s="1"/>
  <c r="AG7" i="26"/>
  <c r="AG8" i="26"/>
  <c r="AG9" i="26"/>
  <c r="AG10" i="26"/>
  <c r="AG11" i="26"/>
  <c r="AG12" i="26"/>
  <c r="AG13" i="26"/>
  <c r="AG14" i="26"/>
  <c r="AG15" i="26"/>
  <c r="AE16" i="26"/>
  <c r="AG16" i="26"/>
  <c r="AE17" i="26"/>
  <c r="AG17" i="26"/>
  <c r="AE18" i="26"/>
  <c r="AG18" i="26"/>
  <c r="AE19" i="26"/>
  <c r="AG19" i="26"/>
  <c r="AE20" i="26"/>
  <c r="AG20" i="26"/>
  <c r="AE21" i="26"/>
  <c r="AG21" i="26"/>
  <c r="AE22" i="26"/>
  <c r="AG22" i="26"/>
  <c r="AE23" i="26"/>
  <c r="AE24" i="26"/>
  <c r="AE25" i="26"/>
  <c r="AE26" i="26"/>
  <c r="AG26" i="26"/>
  <c r="AE27" i="26"/>
  <c r="AE28" i="26"/>
  <c r="AE29" i="26"/>
  <c r="P7" i="26"/>
  <c r="AB7" i="26" s="1"/>
  <c r="Q7" i="26"/>
  <c r="AC7" i="26" s="1"/>
  <c r="R7" i="26"/>
  <c r="AD7" i="26" s="1"/>
  <c r="S7" i="26"/>
  <c r="AE7" i="26" s="1"/>
  <c r="V7" i="26"/>
  <c r="AH7" i="26" s="1"/>
  <c r="W7" i="26"/>
  <c r="AI7" i="26" s="1"/>
  <c r="X7" i="26"/>
  <c r="AJ7" i="26" s="1"/>
  <c r="P8" i="26"/>
  <c r="AB8" i="26" s="1"/>
  <c r="Q8" i="26"/>
  <c r="AC8" i="26" s="1"/>
  <c r="R8" i="26"/>
  <c r="AD8" i="26" s="1"/>
  <c r="S8" i="26"/>
  <c r="AE8" i="26" s="1"/>
  <c r="V8" i="26"/>
  <c r="AH8" i="26" s="1"/>
  <c r="W8" i="26"/>
  <c r="AI8" i="26" s="1"/>
  <c r="X8" i="26"/>
  <c r="AJ8" i="26" s="1"/>
  <c r="P9" i="26"/>
  <c r="AB9" i="26" s="1"/>
  <c r="Q9" i="26"/>
  <c r="AC9" i="26" s="1"/>
  <c r="R9" i="26"/>
  <c r="AD9" i="26" s="1"/>
  <c r="S9" i="26"/>
  <c r="AE9" i="26" s="1"/>
  <c r="V9" i="26"/>
  <c r="AH9" i="26" s="1"/>
  <c r="W9" i="26"/>
  <c r="AI9" i="26" s="1"/>
  <c r="X9" i="26"/>
  <c r="AJ9" i="26" s="1"/>
  <c r="P10" i="26"/>
  <c r="AB10" i="26" s="1"/>
  <c r="Q10" i="26"/>
  <c r="AC10" i="26" s="1"/>
  <c r="V10" i="26"/>
  <c r="AH10" i="26" s="1"/>
  <c r="W10" i="26"/>
  <c r="AI10" i="26" s="1"/>
  <c r="X10" i="26"/>
  <c r="AJ10" i="26" s="1"/>
  <c r="P11" i="26"/>
  <c r="AB11" i="26" s="1"/>
  <c r="Q11" i="26"/>
  <c r="AC11" i="26" s="1"/>
  <c r="R11" i="26"/>
  <c r="AD11" i="26" s="1"/>
  <c r="V11" i="26"/>
  <c r="AH11" i="26" s="1"/>
  <c r="W11" i="26"/>
  <c r="AI11" i="26" s="1"/>
  <c r="P12" i="26"/>
  <c r="AB12" i="26" s="1"/>
  <c r="Q12" i="26"/>
  <c r="AC12" i="26" s="1"/>
  <c r="V12" i="26"/>
  <c r="AH12" i="26" s="1"/>
  <c r="X12" i="26"/>
  <c r="AJ12" i="26" s="1"/>
  <c r="P13" i="26"/>
  <c r="AB13" i="26" s="1"/>
  <c r="Q13" i="26"/>
  <c r="AC13" i="26" s="1"/>
  <c r="R13" i="26"/>
  <c r="AD13" i="26" s="1"/>
  <c r="V13" i="26"/>
  <c r="AH13" i="26" s="1"/>
  <c r="W13" i="26"/>
  <c r="AI13" i="26" s="1"/>
  <c r="X13" i="26"/>
  <c r="AJ13" i="26" s="1"/>
  <c r="P14" i="26"/>
  <c r="AB14" i="26" s="1"/>
  <c r="Q14" i="26"/>
  <c r="AC14" i="26" s="1"/>
  <c r="R14" i="26"/>
  <c r="AD14" i="26" s="1"/>
  <c r="V14" i="26"/>
  <c r="AH14" i="26" s="1"/>
  <c r="W14" i="26"/>
  <c r="AI14" i="26" s="1"/>
  <c r="X14" i="26"/>
  <c r="AJ14" i="26" s="1"/>
  <c r="P15" i="26"/>
  <c r="AB15" i="26" s="1"/>
  <c r="Q15" i="26"/>
  <c r="AC15" i="26" s="1"/>
  <c r="R15" i="26"/>
  <c r="AD15" i="26" s="1"/>
  <c r="V15" i="26"/>
  <c r="AH15" i="26" s="1"/>
  <c r="W15" i="26"/>
  <c r="AI15" i="26" s="1"/>
  <c r="X15" i="26"/>
  <c r="AJ15" i="26" s="1"/>
  <c r="P16" i="26"/>
  <c r="AB16" i="26" s="1"/>
  <c r="Q16" i="26"/>
  <c r="AC16" i="26" s="1"/>
  <c r="R16" i="26"/>
  <c r="AD16" i="26" s="1"/>
  <c r="V16" i="26"/>
  <c r="AH16" i="26" s="1"/>
  <c r="W16" i="26"/>
  <c r="AI16" i="26" s="1"/>
  <c r="X16" i="26"/>
  <c r="AJ16" i="26" s="1"/>
  <c r="P17" i="26"/>
  <c r="AB17" i="26" s="1"/>
  <c r="Q17" i="26"/>
  <c r="AC17" i="26" s="1"/>
  <c r="R17" i="26"/>
  <c r="AD17" i="26" s="1"/>
  <c r="V17" i="26"/>
  <c r="AH17" i="26" s="1"/>
  <c r="W17" i="26"/>
  <c r="AI17" i="26" s="1"/>
  <c r="X17" i="26"/>
  <c r="AJ17" i="26" s="1"/>
  <c r="P18" i="26"/>
  <c r="AB18" i="26" s="1"/>
  <c r="Q18" i="26"/>
  <c r="AC18" i="26" s="1"/>
  <c r="R18" i="26"/>
  <c r="AD18" i="26" s="1"/>
  <c r="V18" i="26"/>
  <c r="AH18" i="26" s="1"/>
  <c r="W18" i="26"/>
  <c r="AI18" i="26" s="1"/>
  <c r="X18" i="26"/>
  <c r="AJ18" i="26" s="1"/>
  <c r="P19" i="26"/>
  <c r="AB19" i="26" s="1"/>
  <c r="Q19" i="26"/>
  <c r="AC19" i="26" s="1"/>
  <c r="R19" i="26"/>
  <c r="AD19" i="26" s="1"/>
  <c r="V19" i="26"/>
  <c r="AH19" i="26" s="1"/>
  <c r="W19" i="26"/>
  <c r="AI19" i="26" s="1"/>
  <c r="X19" i="26"/>
  <c r="AJ19" i="26" s="1"/>
  <c r="P20" i="26"/>
  <c r="AB20" i="26" s="1"/>
  <c r="Q20" i="26"/>
  <c r="AC20" i="26" s="1"/>
  <c r="R20" i="26"/>
  <c r="AD20" i="26" s="1"/>
  <c r="V20" i="26"/>
  <c r="AH20" i="26" s="1"/>
  <c r="W20" i="26"/>
  <c r="AI20" i="26" s="1"/>
  <c r="X20" i="26"/>
  <c r="AJ20" i="26" s="1"/>
  <c r="P21" i="26"/>
  <c r="AB21" i="26" s="1"/>
  <c r="Q21" i="26"/>
  <c r="AC21" i="26" s="1"/>
  <c r="R21" i="26"/>
  <c r="AD21" i="26" s="1"/>
  <c r="V21" i="26"/>
  <c r="AH21" i="26" s="1"/>
  <c r="W21" i="26"/>
  <c r="AI21" i="26" s="1"/>
  <c r="X21" i="26"/>
  <c r="AJ21" i="26" s="1"/>
  <c r="P22" i="26"/>
  <c r="AB22" i="26" s="1"/>
  <c r="Q22" i="26"/>
  <c r="AC22" i="26" s="1"/>
  <c r="R22" i="26"/>
  <c r="AD22" i="26" s="1"/>
  <c r="V22" i="26"/>
  <c r="AH22" i="26" s="1"/>
  <c r="W22" i="26"/>
  <c r="AI22" i="26" s="1"/>
  <c r="X22" i="26"/>
  <c r="AJ22" i="26" s="1"/>
  <c r="P23" i="26"/>
  <c r="AB23" i="26" s="1"/>
  <c r="Q23" i="26"/>
  <c r="AC23" i="26" s="1"/>
  <c r="R23" i="26"/>
  <c r="AD23" i="26" s="1"/>
  <c r="U23" i="26"/>
  <c r="AG23" i="26" s="1"/>
  <c r="V23" i="26"/>
  <c r="AH23" i="26" s="1"/>
  <c r="W23" i="26"/>
  <c r="AI23" i="26" s="1"/>
  <c r="X23" i="26"/>
  <c r="AJ23" i="26" s="1"/>
  <c r="P24" i="26"/>
  <c r="AB24" i="26" s="1"/>
  <c r="Q24" i="26"/>
  <c r="AC24" i="26" s="1"/>
  <c r="R24" i="26"/>
  <c r="AD24" i="26" s="1"/>
  <c r="U24" i="26"/>
  <c r="AG24" i="26" s="1"/>
  <c r="V24" i="26"/>
  <c r="AH24" i="26" s="1"/>
  <c r="W24" i="26"/>
  <c r="AI24" i="26" s="1"/>
  <c r="X24" i="26"/>
  <c r="AJ24" i="26" s="1"/>
  <c r="P25" i="26"/>
  <c r="AB25" i="26" s="1"/>
  <c r="Q25" i="26"/>
  <c r="AC25" i="26" s="1"/>
  <c r="R25" i="26"/>
  <c r="AD25" i="26" s="1"/>
  <c r="U25" i="26"/>
  <c r="AG25" i="26" s="1"/>
  <c r="V25" i="26"/>
  <c r="AH25" i="26" s="1"/>
  <c r="W25" i="26"/>
  <c r="AI25" i="26" s="1"/>
  <c r="X25" i="26"/>
  <c r="AJ25" i="26" s="1"/>
  <c r="P26" i="26"/>
  <c r="AB26" i="26" s="1"/>
  <c r="Q26" i="26"/>
  <c r="AC26" i="26" s="1"/>
  <c r="R26" i="26"/>
  <c r="AD26" i="26" s="1"/>
  <c r="V26" i="26"/>
  <c r="AH26" i="26" s="1"/>
  <c r="W26" i="26"/>
  <c r="AI26" i="26" s="1"/>
  <c r="X26" i="26"/>
  <c r="AJ26" i="26" s="1"/>
  <c r="P27" i="26"/>
  <c r="AB27" i="26" s="1"/>
  <c r="Q27" i="26"/>
  <c r="AC27" i="26" s="1"/>
  <c r="R27" i="26"/>
  <c r="AD27" i="26" s="1"/>
  <c r="U27" i="26"/>
  <c r="AG27" i="26" s="1"/>
  <c r="V27" i="26"/>
  <c r="AH27" i="26" s="1"/>
  <c r="W27" i="26"/>
  <c r="AI27" i="26" s="1"/>
  <c r="X27" i="26"/>
  <c r="AJ27" i="26" s="1"/>
  <c r="P28" i="26"/>
  <c r="AB28" i="26" s="1"/>
  <c r="Q28" i="26"/>
  <c r="AC28" i="26" s="1"/>
  <c r="R28" i="26"/>
  <c r="AD28" i="26" s="1"/>
  <c r="U28" i="26"/>
  <c r="AG28" i="26" s="1"/>
  <c r="V28" i="26"/>
  <c r="AH28" i="26" s="1"/>
  <c r="W28" i="26"/>
  <c r="AI28" i="26" s="1"/>
  <c r="X28" i="26"/>
  <c r="AJ28" i="26" s="1"/>
  <c r="P29" i="26"/>
  <c r="AB29" i="26" s="1"/>
  <c r="Q29" i="26"/>
  <c r="AC29" i="26" s="1"/>
  <c r="R29" i="26"/>
  <c r="AD29" i="26" s="1"/>
  <c r="U29" i="26"/>
  <c r="AG29" i="26" s="1"/>
  <c r="V29" i="26"/>
  <c r="AH29" i="26" s="1"/>
  <c r="W29" i="26"/>
  <c r="AI29" i="26" s="1"/>
  <c r="X29" i="26"/>
  <c r="AJ29" i="26" s="1"/>
  <c r="P30" i="26"/>
  <c r="AB30" i="26" s="1"/>
  <c r="Q30" i="26"/>
  <c r="AC30" i="26" s="1"/>
  <c r="R30" i="26"/>
  <c r="AD30" i="26" s="1"/>
  <c r="S30" i="26"/>
  <c r="AE30" i="26" s="1"/>
  <c r="U30" i="26"/>
  <c r="AG30" i="26" s="1"/>
  <c r="V30" i="26"/>
  <c r="AH30" i="26" s="1"/>
  <c r="W30" i="26"/>
  <c r="AI30" i="26" s="1"/>
  <c r="X30" i="26"/>
  <c r="AJ30" i="26" s="1"/>
  <c r="P31" i="26"/>
  <c r="AB31" i="26" s="1"/>
  <c r="Q31" i="26"/>
  <c r="AC31" i="26" s="1"/>
  <c r="R31" i="26"/>
  <c r="AD31" i="26" s="1"/>
  <c r="S31" i="26"/>
  <c r="AE31" i="26" s="1"/>
  <c r="U31" i="26"/>
  <c r="AG31" i="26" s="1"/>
  <c r="V31" i="26"/>
  <c r="AH31" i="26" s="1"/>
  <c r="W31" i="26"/>
  <c r="AI31" i="26" s="1"/>
  <c r="X31" i="26"/>
  <c r="AJ31" i="26" s="1"/>
  <c r="P32" i="26"/>
  <c r="AB32" i="26" s="1"/>
  <c r="Q32" i="26"/>
  <c r="AC32" i="26" s="1"/>
  <c r="R32" i="26"/>
  <c r="AD32" i="26" s="1"/>
  <c r="S32" i="26"/>
  <c r="AE32" i="26" s="1"/>
  <c r="U32" i="26"/>
  <c r="AG32" i="26" s="1"/>
  <c r="V32" i="26"/>
  <c r="AH32" i="26" s="1"/>
  <c r="W32" i="26"/>
  <c r="AI32" i="26" s="1"/>
  <c r="X32" i="26"/>
  <c r="AJ32" i="26" s="1"/>
  <c r="AB34" i="26"/>
  <c r="AC34" i="26"/>
  <c r="AD34" i="26"/>
  <c r="AE34" i="26"/>
  <c r="AG34" i="26"/>
  <c r="AH34" i="26"/>
  <c r="AI34" i="26"/>
  <c r="AJ34" i="26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Y141" i="26"/>
  <c r="X141" i="26"/>
  <c r="V141" i="26"/>
  <c r="U141" i="26"/>
  <c r="S141" i="26"/>
  <c r="R141" i="26"/>
  <c r="P69" i="25"/>
  <c r="T57" i="25" s="1"/>
  <c r="O69" i="25"/>
  <c r="S57" i="25" s="1"/>
  <c r="P68" i="25"/>
  <c r="T56" i="25" s="1"/>
  <c r="O68" i="25"/>
  <c r="S56" i="25" s="1"/>
  <c r="P67" i="25"/>
  <c r="T55" i="25" s="1"/>
  <c r="O67" i="25"/>
  <c r="S55" i="25" s="1"/>
  <c r="P66" i="25"/>
  <c r="T54" i="25" s="1"/>
  <c r="O66" i="25"/>
  <c r="S54" i="25" s="1"/>
  <c r="P65" i="25"/>
  <c r="T53" i="25" s="1"/>
  <c r="O65" i="25"/>
  <c r="S53" i="25" s="1"/>
  <c r="P64" i="25"/>
  <c r="T52" i="25" s="1"/>
  <c r="O64" i="25"/>
  <c r="S52" i="25" s="1"/>
  <c r="P62" i="25"/>
  <c r="T50" i="25" s="1"/>
  <c r="O62" i="25"/>
  <c r="S50" i="25" s="1"/>
  <c r="P61" i="25"/>
  <c r="T49" i="25" s="1"/>
  <c r="O61" i="25"/>
  <c r="S49" i="25" s="1"/>
  <c r="P60" i="25"/>
  <c r="T48" i="25" s="1"/>
  <c r="O60" i="25"/>
  <c r="S48" i="25" s="1"/>
  <c r="P59" i="25"/>
  <c r="T47" i="25" s="1"/>
  <c r="O59" i="25"/>
  <c r="S47" i="25" s="1"/>
  <c r="P58" i="25"/>
  <c r="O58" i="25"/>
  <c r="P57" i="25"/>
  <c r="O57" i="25"/>
  <c r="P56" i="25"/>
  <c r="O56" i="25"/>
  <c r="P55" i="25"/>
  <c r="O55" i="25"/>
  <c r="P54" i="25"/>
  <c r="T46" i="25" s="1"/>
  <c r="O54" i="25"/>
  <c r="S46" i="25" s="1"/>
  <c r="P53" i="25"/>
  <c r="O53" i="25"/>
  <c r="P52" i="25"/>
  <c r="O52" i="25"/>
  <c r="P51" i="25"/>
  <c r="O51" i="25"/>
  <c r="P50" i="25"/>
  <c r="O50" i="25"/>
  <c r="P49" i="25"/>
  <c r="T45" i="25" s="1"/>
  <c r="O49" i="25"/>
  <c r="S45" i="25" s="1"/>
  <c r="P48" i="25"/>
  <c r="O48" i="25"/>
  <c r="P47" i="25"/>
  <c r="O47" i="25"/>
  <c r="P46" i="25"/>
  <c r="O46" i="25"/>
  <c r="P45" i="25"/>
  <c r="O45" i="25"/>
  <c r="P44" i="25"/>
  <c r="T44" i="25" s="1"/>
  <c r="O44" i="25"/>
  <c r="S44" i="25" s="1"/>
  <c r="P33" i="25"/>
  <c r="T21" i="25" s="1"/>
  <c r="O33" i="25"/>
  <c r="S21" i="25" s="1"/>
  <c r="P32" i="25"/>
  <c r="T20" i="25" s="1"/>
  <c r="O32" i="25"/>
  <c r="S20" i="25" s="1"/>
  <c r="P31" i="25"/>
  <c r="T19" i="25" s="1"/>
  <c r="O31" i="25"/>
  <c r="S19" i="25" s="1"/>
  <c r="P30" i="25"/>
  <c r="T18" i="25" s="1"/>
  <c r="O30" i="25"/>
  <c r="S18" i="25" s="1"/>
  <c r="P29" i="25"/>
  <c r="T17" i="25" s="1"/>
  <c r="O29" i="25"/>
  <c r="S17" i="25" s="1"/>
  <c r="P28" i="25"/>
  <c r="T16" i="25" s="1"/>
  <c r="O28" i="25"/>
  <c r="S16" i="25" s="1"/>
  <c r="P27" i="25"/>
  <c r="T15" i="25" s="1"/>
  <c r="O27" i="25"/>
  <c r="S15" i="25" s="1"/>
  <c r="P63" i="25"/>
  <c r="T51" i="25" s="1"/>
  <c r="O63" i="25"/>
  <c r="S51" i="25" s="1"/>
  <c r="P26" i="25"/>
  <c r="T14" i="25" s="1"/>
  <c r="O26" i="25"/>
  <c r="S14" i="25" s="1"/>
  <c r="P25" i="25"/>
  <c r="T13" i="25" s="1"/>
  <c r="O25" i="25"/>
  <c r="S13" i="25" s="1"/>
  <c r="P24" i="25"/>
  <c r="T12" i="25" s="1"/>
  <c r="O24" i="25"/>
  <c r="S12" i="25" s="1"/>
  <c r="P23" i="25"/>
  <c r="T11" i="25" s="1"/>
  <c r="O23" i="25"/>
  <c r="S11" i="25" s="1"/>
  <c r="P22" i="25"/>
  <c r="O22" i="25"/>
  <c r="P21" i="25"/>
  <c r="O21" i="25"/>
  <c r="P20" i="25"/>
  <c r="O20" i="25"/>
  <c r="P19" i="25"/>
  <c r="O19" i="25"/>
  <c r="P18" i="25"/>
  <c r="T10" i="25" s="1"/>
  <c r="O18" i="25"/>
  <c r="S10" i="25" s="1"/>
  <c r="P17" i="25"/>
  <c r="O17" i="25"/>
  <c r="P16" i="25"/>
  <c r="O16" i="25"/>
  <c r="P15" i="25"/>
  <c r="O15" i="25"/>
  <c r="P14" i="25"/>
  <c r="O14" i="25"/>
  <c r="P13" i="25"/>
  <c r="T9" i="25" s="1"/>
  <c r="O13" i="25"/>
  <c r="S9" i="25" s="1"/>
  <c r="P12" i="25"/>
  <c r="O12" i="25"/>
  <c r="P11" i="25"/>
  <c r="O11" i="25"/>
  <c r="P10" i="25"/>
  <c r="O10" i="25"/>
  <c r="P9" i="25"/>
  <c r="O9" i="25"/>
  <c r="P8" i="25"/>
  <c r="T8" i="25" s="1"/>
  <c r="O8" i="25"/>
  <c r="S8" i="25" s="1"/>
  <c r="B95" i="24"/>
  <c r="K35" i="23" s="1"/>
  <c r="B93" i="24"/>
  <c r="K33" i="23" s="1"/>
  <c r="I33" i="23" s="1"/>
  <c r="P69" i="23" s="1"/>
  <c r="T57" i="23" s="1"/>
  <c r="B92" i="24"/>
  <c r="K32" i="23" s="1"/>
  <c r="I32" i="23" s="1"/>
  <c r="P68" i="23" s="1"/>
  <c r="T56" i="23" s="1"/>
  <c r="B91" i="24"/>
  <c r="B90" i="24"/>
  <c r="K30" i="23" s="1"/>
  <c r="I30" i="23" s="1"/>
  <c r="P66" i="23" s="1"/>
  <c r="T54" i="23" s="1"/>
  <c r="B89" i="24"/>
  <c r="B88" i="24"/>
  <c r="B87" i="24"/>
  <c r="K27" i="23" s="1"/>
  <c r="I27" i="23" s="1"/>
  <c r="B86" i="24"/>
  <c r="K26" i="23" s="1"/>
  <c r="I26" i="23" s="1"/>
  <c r="P62" i="23" s="1"/>
  <c r="T50" i="23" s="1"/>
  <c r="B85" i="24"/>
  <c r="K25" i="23" s="1"/>
  <c r="I25" i="23" s="1"/>
  <c r="P61" i="23" s="1"/>
  <c r="T49" i="23" s="1"/>
  <c r="B84" i="24"/>
  <c r="K24" i="23" s="1"/>
  <c r="I24" i="23" s="1"/>
  <c r="P60" i="23" s="1"/>
  <c r="T48" i="23" s="1"/>
  <c r="B83" i="24"/>
  <c r="B82" i="24"/>
  <c r="B81" i="24"/>
  <c r="K21" i="23" s="1"/>
  <c r="B80" i="24"/>
  <c r="K20" i="23" s="1"/>
  <c r="B79" i="24"/>
  <c r="B78" i="24"/>
  <c r="K18" i="23" s="1"/>
  <c r="I18" i="23" s="1"/>
  <c r="P54" i="23" s="1"/>
  <c r="T46" i="23" s="1"/>
  <c r="B77" i="24"/>
  <c r="B76" i="24"/>
  <c r="K16" i="23" s="1"/>
  <c r="B75" i="24"/>
  <c r="K15" i="23" s="1"/>
  <c r="B74" i="24"/>
  <c r="B73" i="24"/>
  <c r="B72" i="24"/>
  <c r="B71" i="24"/>
  <c r="K11" i="23" s="1"/>
  <c r="I11" i="23" s="1"/>
  <c r="B70" i="24"/>
  <c r="K10" i="23" s="1"/>
  <c r="I10" i="23" s="1"/>
  <c r="P46" i="23" s="1"/>
  <c r="B69" i="24"/>
  <c r="N73" i="26" s="1"/>
  <c r="T73" i="26" s="1"/>
  <c r="B68" i="24"/>
  <c r="K8" i="23" s="1"/>
  <c r="I8" i="23" s="1"/>
  <c r="P44" i="23" s="1"/>
  <c r="T44" i="23" s="1"/>
  <c r="H33" i="24"/>
  <c r="T34" i="26" s="1"/>
  <c r="AF34" i="26" s="1"/>
  <c r="C33" i="24"/>
  <c r="O34" i="26" s="1"/>
  <c r="H31" i="24"/>
  <c r="G33" i="23" s="1"/>
  <c r="C31" i="24"/>
  <c r="H30" i="24"/>
  <c r="C30" i="24"/>
  <c r="B30" i="24" s="1"/>
  <c r="H29" i="24"/>
  <c r="C29" i="24"/>
  <c r="H28" i="24"/>
  <c r="C28" i="24"/>
  <c r="H27" i="24"/>
  <c r="G29" i="23" s="1"/>
  <c r="D29" i="23" s="1"/>
  <c r="O29" i="23" s="1"/>
  <c r="S17" i="23" s="1"/>
  <c r="C27" i="24"/>
  <c r="H26" i="24"/>
  <c r="C26" i="24"/>
  <c r="H28" i="23" s="1"/>
  <c r="H25" i="24"/>
  <c r="G27" i="23" s="1"/>
  <c r="D27" i="23" s="1"/>
  <c r="C25" i="24"/>
  <c r="H24" i="24"/>
  <c r="B24" i="24" s="1"/>
  <c r="C24" i="24"/>
  <c r="H26" i="23" s="1"/>
  <c r="H23" i="24"/>
  <c r="C23" i="24"/>
  <c r="H25" i="23" s="1"/>
  <c r="H22" i="24"/>
  <c r="C22" i="24"/>
  <c r="H24" i="23" s="1"/>
  <c r="H21" i="24"/>
  <c r="C21" i="24"/>
  <c r="H20" i="24"/>
  <c r="C20" i="24"/>
  <c r="H19" i="24"/>
  <c r="G21" i="23" s="1"/>
  <c r="D21" i="23" s="1"/>
  <c r="O21" i="23" s="1"/>
  <c r="C19" i="24"/>
  <c r="H18" i="24"/>
  <c r="G20" i="23" s="1"/>
  <c r="D20" i="23" s="1"/>
  <c r="C18" i="24"/>
  <c r="H20" i="23" s="1"/>
  <c r="H17" i="24"/>
  <c r="G19" i="23" s="1"/>
  <c r="D19" i="23" s="1"/>
  <c r="O19" i="23" s="1"/>
  <c r="C17" i="24"/>
  <c r="H19" i="23" s="1"/>
  <c r="H16" i="24"/>
  <c r="P45" i="24" s="1"/>
  <c r="C16" i="24"/>
  <c r="H15" i="24"/>
  <c r="G17" i="23" s="1"/>
  <c r="C15" i="24"/>
  <c r="H17" i="23" s="1"/>
  <c r="H14" i="24"/>
  <c r="C14" i="24"/>
  <c r="H16" i="23" s="1"/>
  <c r="H13" i="24"/>
  <c r="G15" i="23" s="1"/>
  <c r="C13" i="24"/>
  <c r="H12" i="24"/>
  <c r="C12" i="24"/>
  <c r="H11" i="24"/>
  <c r="C11" i="24"/>
  <c r="H10" i="24"/>
  <c r="C10" i="24"/>
  <c r="H12" i="23" s="1"/>
  <c r="H9" i="24"/>
  <c r="C9" i="24"/>
  <c r="H11" i="23" s="1"/>
  <c r="H8" i="24"/>
  <c r="G10" i="23" s="1"/>
  <c r="D10" i="23" s="1"/>
  <c r="O10" i="23" s="1"/>
  <c r="C8" i="24"/>
  <c r="H10" i="23" s="1"/>
  <c r="H7" i="24"/>
  <c r="G9" i="23" s="1"/>
  <c r="C7" i="24"/>
  <c r="H9" i="23" s="1"/>
  <c r="H6" i="24"/>
  <c r="C6" i="24"/>
  <c r="O43" i="24" s="1"/>
  <c r="K31" i="23"/>
  <c r="I31" i="23" s="1"/>
  <c r="P67" i="23" s="1"/>
  <c r="T55" i="23" s="1"/>
  <c r="H29" i="23"/>
  <c r="K28" i="23"/>
  <c r="K23" i="23"/>
  <c r="I23" i="23" s="1"/>
  <c r="H21" i="23"/>
  <c r="K13" i="23"/>
  <c r="I13" i="23" s="1"/>
  <c r="P49" i="23" s="1"/>
  <c r="T45" i="23" s="1"/>
  <c r="K12" i="23"/>
  <c r="B92" i="22"/>
  <c r="B90" i="22"/>
  <c r="K33" i="21" s="1"/>
  <c r="I33" i="21" s="1"/>
  <c r="B89" i="22"/>
  <c r="K32" i="21" s="1"/>
  <c r="I32" i="21" s="1"/>
  <c r="P69" i="21" s="1"/>
  <c r="T57" i="21" s="1"/>
  <c r="B88" i="22"/>
  <c r="K31" i="21" s="1"/>
  <c r="B87" i="22"/>
  <c r="K30" i="21" s="1"/>
  <c r="I30" i="21" s="1"/>
  <c r="B86" i="22"/>
  <c r="K29" i="21" s="1"/>
  <c r="I29" i="21" s="1"/>
  <c r="B85" i="22"/>
  <c r="K28" i="21" s="1"/>
  <c r="I28" i="21" s="1"/>
  <c r="B84" i="22"/>
  <c r="K27" i="21" s="1"/>
  <c r="I27" i="21" s="1"/>
  <c r="P64" i="21" s="1"/>
  <c r="T52" i="21" s="1"/>
  <c r="B83" i="22"/>
  <c r="K26" i="21" s="1"/>
  <c r="I26" i="21" s="1"/>
  <c r="P63" i="21" s="1"/>
  <c r="T51" i="21" s="1"/>
  <c r="B82" i="22"/>
  <c r="B81" i="22"/>
  <c r="B80" i="22"/>
  <c r="N87" i="26" s="1"/>
  <c r="T87" i="26" s="1"/>
  <c r="B79" i="22"/>
  <c r="K22" i="21" s="1"/>
  <c r="B78" i="22"/>
  <c r="K21" i="21" s="1"/>
  <c r="B77" i="22"/>
  <c r="K20" i="21" s="1"/>
  <c r="B76" i="22"/>
  <c r="K19" i="21" s="1"/>
  <c r="B75" i="22"/>
  <c r="B74" i="22"/>
  <c r="K17" i="21" s="1"/>
  <c r="I17" i="21" s="1"/>
  <c r="B73" i="22"/>
  <c r="K16" i="21" s="1"/>
  <c r="B72" i="22"/>
  <c r="K15" i="21" s="1"/>
  <c r="I15" i="21" s="1"/>
  <c r="B71" i="22"/>
  <c r="K14" i="21" s="1"/>
  <c r="I14" i="21" s="1"/>
  <c r="B70" i="22"/>
  <c r="B69" i="22"/>
  <c r="K12" i="21" s="1"/>
  <c r="I12" i="21" s="1"/>
  <c r="P49" i="21" s="1"/>
  <c r="C68" i="22"/>
  <c r="O75" i="26" s="1"/>
  <c r="U75" i="26" s="1"/>
  <c r="B67" i="22"/>
  <c r="K10" i="21" s="1"/>
  <c r="I10" i="21" s="1"/>
  <c r="B66" i="22"/>
  <c r="K9" i="21" s="1"/>
  <c r="I9" i="21" s="1"/>
  <c r="P46" i="21" s="1"/>
  <c r="B65" i="22"/>
  <c r="K8" i="21" s="1"/>
  <c r="H31" i="22"/>
  <c r="G33" i="21" s="1"/>
  <c r="C31" i="22"/>
  <c r="H33" i="21" s="1"/>
  <c r="E33" i="21" s="1"/>
  <c r="H30" i="22"/>
  <c r="C30" i="22"/>
  <c r="H32" i="21" s="1"/>
  <c r="E32" i="21" s="1"/>
  <c r="P32" i="21" s="1"/>
  <c r="T20" i="21" s="1"/>
  <c r="H29" i="22"/>
  <c r="G31" i="21" s="1"/>
  <c r="C29" i="22"/>
  <c r="H31" i="21" s="1"/>
  <c r="H28" i="22"/>
  <c r="C28" i="22"/>
  <c r="H30" i="21" s="1"/>
  <c r="H27" i="22"/>
  <c r="G29" i="21" s="1"/>
  <c r="D29" i="21" s="1"/>
  <c r="O29" i="21" s="1"/>
  <c r="S17" i="21" s="1"/>
  <c r="C27" i="22"/>
  <c r="O28" i="26" s="1"/>
  <c r="AA28" i="26" s="1"/>
  <c r="H26" i="22"/>
  <c r="C26" i="22"/>
  <c r="H25" i="22"/>
  <c r="C25" i="22"/>
  <c r="H27" i="21" s="1"/>
  <c r="H24" i="22"/>
  <c r="C24" i="22"/>
  <c r="H26" i="21" s="1"/>
  <c r="H23" i="22"/>
  <c r="C23" i="22"/>
  <c r="H25" i="21" s="1"/>
  <c r="H22" i="22"/>
  <c r="G24" i="21" s="1"/>
  <c r="C22" i="22"/>
  <c r="H24" i="21" s="1"/>
  <c r="H21" i="22"/>
  <c r="C21" i="22"/>
  <c r="H23" i="21" s="1"/>
  <c r="H20" i="22"/>
  <c r="C20" i="22"/>
  <c r="H22" i="21" s="1"/>
  <c r="H19" i="22"/>
  <c r="T20" i="26" s="1"/>
  <c r="AF20" i="26" s="1"/>
  <c r="C19" i="22"/>
  <c r="H21" i="21" s="1"/>
  <c r="H18" i="22"/>
  <c r="C18" i="22"/>
  <c r="H17" i="22"/>
  <c r="G19" i="21" s="1"/>
  <c r="C17" i="22"/>
  <c r="H19" i="21" s="1"/>
  <c r="H16" i="22"/>
  <c r="P43" i="22" s="1"/>
  <c r="C16" i="22"/>
  <c r="H15" i="22"/>
  <c r="C15" i="22"/>
  <c r="H17" i="21" s="1"/>
  <c r="E17" i="21" s="1"/>
  <c r="P17" i="21" s="1"/>
  <c r="H14" i="22"/>
  <c r="C14" i="22"/>
  <c r="H16" i="21" s="1"/>
  <c r="H13" i="22"/>
  <c r="G15" i="21" s="1"/>
  <c r="D15" i="21" s="1"/>
  <c r="O15" i="21" s="1"/>
  <c r="C13" i="22"/>
  <c r="O14" i="26" s="1"/>
  <c r="AA14" i="26" s="1"/>
  <c r="H12" i="22"/>
  <c r="G14" i="21" s="1"/>
  <c r="D14" i="21" s="1"/>
  <c r="O14" i="21" s="1"/>
  <c r="C12" i="22"/>
  <c r="H14" i="21" s="1"/>
  <c r="K11" i="22"/>
  <c r="W12" i="26" s="1"/>
  <c r="AI12" i="26" s="1"/>
  <c r="F11" i="22"/>
  <c r="R12" i="26" s="1"/>
  <c r="AD12" i="26" s="1"/>
  <c r="L10" i="22"/>
  <c r="H10" i="22" s="1"/>
  <c r="C10" i="22"/>
  <c r="H12" i="21" s="1"/>
  <c r="H9" i="22"/>
  <c r="G11" i="21" s="1"/>
  <c r="D11" i="21" s="1"/>
  <c r="O11" i="21" s="1"/>
  <c r="F9" i="22"/>
  <c r="H8" i="22"/>
  <c r="G10" i="21" s="1"/>
  <c r="C8" i="22"/>
  <c r="H10" i="21" s="1"/>
  <c r="H7" i="22"/>
  <c r="G9" i="21" s="1"/>
  <c r="D9" i="21" s="1"/>
  <c r="C7" i="22"/>
  <c r="H9" i="21" s="1"/>
  <c r="H6" i="22"/>
  <c r="P41" i="22" s="1"/>
  <c r="C6" i="22"/>
  <c r="G35" i="21"/>
  <c r="G27" i="21"/>
  <c r="K25" i="21"/>
  <c r="I25" i="21" s="1"/>
  <c r="G18" i="21"/>
  <c r="D18" i="21" s="1"/>
  <c r="O18" i="21" s="1"/>
  <c r="S10" i="21" s="1"/>
  <c r="P54" i="21"/>
  <c r="K13" i="21"/>
  <c r="B94" i="20"/>
  <c r="B93" i="20"/>
  <c r="B92" i="20"/>
  <c r="K30" i="19" s="1"/>
  <c r="I30" i="19" s="1"/>
  <c r="B91" i="20"/>
  <c r="B90" i="20"/>
  <c r="B89" i="20"/>
  <c r="K27" i="19" s="1"/>
  <c r="I27" i="19" s="1"/>
  <c r="B88" i="20"/>
  <c r="K26" i="19" s="1"/>
  <c r="I26" i="19" s="1"/>
  <c r="B87" i="20"/>
  <c r="K25" i="19" s="1"/>
  <c r="I25" i="19" s="1"/>
  <c r="B86" i="20"/>
  <c r="B99" i="20" s="1"/>
  <c r="B85" i="20"/>
  <c r="K23" i="19" s="1"/>
  <c r="I23" i="19" s="1"/>
  <c r="B84" i="20"/>
  <c r="K22" i="19" s="1"/>
  <c r="B83" i="20"/>
  <c r="B82" i="20"/>
  <c r="B81" i="20"/>
  <c r="K19" i="19" s="1"/>
  <c r="I19" i="19" s="1"/>
  <c r="B80" i="20"/>
  <c r="K18" i="19" s="1"/>
  <c r="I18" i="19" s="1"/>
  <c r="B79" i="20"/>
  <c r="O106" i="20" s="1"/>
  <c r="B78" i="20"/>
  <c r="K16" i="19" s="1"/>
  <c r="I16" i="19" s="1"/>
  <c r="B77" i="20"/>
  <c r="K15" i="19" s="1"/>
  <c r="I15" i="19" s="1"/>
  <c r="B76" i="20"/>
  <c r="K14" i="19" s="1"/>
  <c r="I14" i="19" s="1"/>
  <c r="B75" i="20"/>
  <c r="K13" i="19" s="1"/>
  <c r="I13" i="19" s="1"/>
  <c r="B74" i="20"/>
  <c r="O105" i="20" s="1"/>
  <c r="B73" i="20"/>
  <c r="K11" i="19" s="1"/>
  <c r="I11" i="19" s="1"/>
  <c r="B72" i="20"/>
  <c r="K10" i="19" s="1"/>
  <c r="I10" i="19" s="1"/>
  <c r="B71" i="20"/>
  <c r="K9" i="19" s="1"/>
  <c r="I9" i="19" s="1"/>
  <c r="B70" i="20"/>
  <c r="K8" i="19" s="1"/>
  <c r="I8" i="19" s="1"/>
  <c r="B69" i="20"/>
  <c r="O104" i="20" s="1"/>
  <c r="H34" i="20"/>
  <c r="C34" i="20"/>
  <c r="H34" i="19" s="1"/>
  <c r="H32" i="20"/>
  <c r="G32" i="19" s="1"/>
  <c r="C32" i="20"/>
  <c r="H32" i="19" s="1"/>
  <c r="H31" i="20"/>
  <c r="C31" i="20"/>
  <c r="H30" i="20"/>
  <c r="G30" i="19" s="1"/>
  <c r="C30" i="20"/>
  <c r="H30" i="19" s="1"/>
  <c r="H29" i="20"/>
  <c r="G29" i="19" s="1"/>
  <c r="D29" i="19" s="1"/>
  <c r="O17" i="19" s="1"/>
  <c r="C29" i="20"/>
  <c r="H28" i="20"/>
  <c r="C28" i="20"/>
  <c r="H28" i="19" s="1"/>
  <c r="H27" i="20"/>
  <c r="C27" i="20"/>
  <c r="H27" i="19" s="1"/>
  <c r="H26" i="20"/>
  <c r="C26" i="20"/>
  <c r="H26" i="19" s="1"/>
  <c r="H25" i="20"/>
  <c r="C25" i="20"/>
  <c r="H25" i="19" s="1"/>
  <c r="H24" i="20"/>
  <c r="C24" i="20"/>
  <c r="H24" i="19" s="1"/>
  <c r="H23" i="20"/>
  <c r="G23" i="19" s="1"/>
  <c r="C23" i="20"/>
  <c r="H22" i="20"/>
  <c r="C22" i="20"/>
  <c r="H21" i="20"/>
  <c r="G21" i="19" s="1"/>
  <c r="D21" i="19" s="1"/>
  <c r="C21" i="20"/>
  <c r="H21" i="19" s="1"/>
  <c r="H20" i="20"/>
  <c r="C20" i="20"/>
  <c r="H20" i="19" s="1"/>
  <c r="H19" i="20"/>
  <c r="G19" i="19" s="1"/>
  <c r="D19" i="19" s="1"/>
  <c r="C19" i="20"/>
  <c r="H19" i="19" s="1"/>
  <c r="H18" i="20"/>
  <c r="G18" i="19" s="1"/>
  <c r="D18" i="19" s="1"/>
  <c r="C18" i="20"/>
  <c r="H18" i="19" s="1"/>
  <c r="H17" i="20"/>
  <c r="C17" i="20"/>
  <c r="O44" i="20" s="1"/>
  <c r="H16" i="20"/>
  <c r="C16" i="20"/>
  <c r="H16" i="19" s="1"/>
  <c r="E16" i="19" s="1"/>
  <c r="H15" i="20"/>
  <c r="C15" i="20"/>
  <c r="H15" i="19" s="1"/>
  <c r="H14" i="20"/>
  <c r="C14" i="20"/>
  <c r="H14" i="19" s="1"/>
  <c r="H13" i="20"/>
  <c r="G13" i="19" s="1"/>
  <c r="D13" i="19" s="1"/>
  <c r="C13" i="20"/>
  <c r="H13" i="19" s="1"/>
  <c r="H12" i="20"/>
  <c r="P43" i="20" s="1"/>
  <c r="F12" i="20"/>
  <c r="E12" i="20"/>
  <c r="H11" i="20"/>
  <c r="G11" i="19" s="1"/>
  <c r="D11" i="19" s="1"/>
  <c r="F11" i="20"/>
  <c r="D11" i="20"/>
  <c r="H10" i="20"/>
  <c r="G10" i="19" s="1"/>
  <c r="D10" i="19" s="1"/>
  <c r="C10" i="20"/>
  <c r="H10" i="19" s="1"/>
  <c r="H9" i="20"/>
  <c r="C9" i="20"/>
  <c r="H9" i="19" s="1"/>
  <c r="H8" i="20"/>
  <c r="C8" i="20"/>
  <c r="H8" i="19" s="1"/>
  <c r="H7" i="20"/>
  <c r="C7" i="20"/>
  <c r="O42" i="20" s="1"/>
  <c r="K32" i="19"/>
  <c r="I32" i="19" s="1"/>
  <c r="K31" i="19"/>
  <c r="I31" i="19" s="1"/>
  <c r="H31" i="19"/>
  <c r="K28" i="19"/>
  <c r="I28" i="19" s="1"/>
  <c r="H23" i="19"/>
  <c r="H22" i="19"/>
  <c r="G22" i="19"/>
  <c r="D22" i="19" s="1"/>
  <c r="O10" i="19" s="1"/>
  <c r="K21" i="19"/>
  <c r="I21" i="19" s="1"/>
  <c r="K20" i="19"/>
  <c r="I20" i="19" s="1"/>
  <c r="K17" i="19"/>
  <c r="I17" i="19" s="1"/>
  <c r="H17" i="19"/>
  <c r="K12" i="19"/>
  <c r="I12" i="19" s="1"/>
  <c r="C39" i="18"/>
  <c r="C38" i="18"/>
  <c r="C37" i="18"/>
  <c r="C36" i="18"/>
  <c r="T35" i="17"/>
  <c r="AA23" i="17" s="1"/>
  <c r="S35" i="17"/>
  <c r="Z23" i="17" s="1"/>
  <c r="R35" i="17"/>
  <c r="Y23" i="17" s="1"/>
  <c r="Q35" i="17"/>
  <c r="X23" i="17" s="1"/>
  <c r="P35" i="17"/>
  <c r="W23" i="17" s="1"/>
  <c r="N35" i="17"/>
  <c r="V23" i="17" s="1"/>
  <c r="C35" i="17"/>
  <c r="C37" i="17" s="1"/>
  <c r="T34" i="17"/>
  <c r="AA22" i="17" s="1"/>
  <c r="S34" i="17"/>
  <c r="Z22" i="17" s="1"/>
  <c r="R34" i="17"/>
  <c r="Y22" i="17" s="1"/>
  <c r="Q34" i="17"/>
  <c r="X22" i="17" s="1"/>
  <c r="P34" i="17"/>
  <c r="W22" i="17" s="1"/>
  <c r="N34" i="17"/>
  <c r="V22" i="17" s="1"/>
  <c r="C34" i="17"/>
  <c r="T33" i="17"/>
  <c r="AA21" i="17" s="1"/>
  <c r="S33" i="17"/>
  <c r="Z21" i="17" s="1"/>
  <c r="R33" i="17"/>
  <c r="Y21" i="17" s="1"/>
  <c r="Q33" i="17"/>
  <c r="X21" i="17" s="1"/>
  <c r="P33" i="17"/>
  <c r="W21" i="17" s="1"/>
  <c r="N33" i="17"/>
  <c r="V21" i="17" s="1"/>
  <c r="C33" i="17"/>
  <c r="T32" i="17"/>
  <c r="AA20" i="17" s="1"/>
  <c r="S32" i="17"/>
  <c r="Z20" i="17" s="1"/>
  <c r="R32" i="17"/>
  <c r="Y20" i="17" s="1"/>
  <c r="Q32" i="17"/>
  <c r="X20" i="17" s="1"/>
  <c r="P32" i="17"/>
  <c r="W20" i="17" s="1"/>
  <c r="N32" i="17"/>
  <c r="V20" i="17" s="1"/>
  <c r="C32" i="17"/>
  <c r="T31" i="17"/>
  <c r="AA19" i="17" s="1"/>
  <c r="S31" i="17"/>
  <c r="Z19" i="17" s="1"/>
  <c r="R31" i="17"/>
  <c r="Y19" i="17" s="1"/>
  <c r="Q31" i="17"/>
  <c r="X19" i="17" s="1"/>
  <c r="P31" i="17"/>
  <c r="W19" i="17" s="1"/>
  <c r="N31" i="17"/>
  <c r="V19" i="17" s="1"/>
  <c r="C31" i="17"/>
  <c r="C38" i="17" s="1"/>
  <c r="T30" i="17"/>
  <c r="AA18" i="17" s="1"/>
  <c r="S30" i="17"/>
  <c r="Z18" i="17" s="1"/>
  <c r="R30" i="17"/>
  <c r="Y18" i="17" s="1"/>
  <c r="Q30" i="17"/>
  <c r="X18" i="17" s="1"/>
  <c r="P30" i="17"/>
  <c r="W18" i="17" s="1"/>
  <c r="N30" i="17"/>
  <c r="V18" i="17" s="1"/>
  <c r="C30" i="17"/>
  <c r="T29" i="17"/>
  <c r="AA17" i="17" s="1"/>
  <c r="S29" i="17"/>
  <c r="Z17" i="17" s="1"/>
  <c r="R29" i="17"/>
  <c r="Y17" i="17" s="1"/>
  <c r="Q29" i="17"/>
  <c r="X17" i="17" s="1"/>
  <c r="P29" i="17"/>
  <c r="W17" i="17" s="1"/>
  <c r="N29" i="17"/>
  <c r="V17" i="17" s="1"/>
  <c r="C29" i="17"/>
  <c r="T28" i="17"/>
  <c r="AA16" i="17" s="1"/>
  <c r="S28" i="17"/>
  <c r="Z16" i="17" s="1"/>
  <c r="R28" i="17"/>
  <c r="Y16" i="17" s="1"/>
  <c r="Q28" i="17"/>
  <c r="X16" i="17" s="1"/>
  <c r="P28" i="17"/>
  <c r="W16" i="17" s="1"/>
  <c r="N28" i="17"/>
  <c r="V16" i="17" s="1"/>
  <c r="C28" i="17"/>
  <c r="T27" i="17"/>
  <c r="AA15" i="17" s="1"/>
  <c r="S27" i="17"/>
  <c r="Z15" i="17" s="1"/>
  <c r="R27" i="17"/>
  <c r="Y15" i="17" s="1"/>
  <c r="Q27" i="17"/>
  <c r="X15" i="17" s="1"/>
  <c r="P27" i="17"/>
  <c r="W15" i="17" s="1"/>
  <c r="N27" i="17"/>
  <c r="V15" i="17" s="1"/>
  <c r="C27" i="17"/>
  <c r="T26" i="17"/>
  <c r="AA14" i="17" s="1"/>
  <c r="S26" i="17"/>
  <c r="Z14" i="17" s="1"/>
  <c r="R26" i="17"/>
  <c r="Y14" i="17" s="1"/>
  <c r="Q26" i="17"/>
  <c r="X14" i="17" s="1"/>
  <c r="P26" i="17"/>
  <c r="W14" i="17" s="1"/>
  <c r="N26" i="17"/>
  <c r="V14" i="17" s="1"/>
  <c r="C26" i="17"/>
  <c r="T25" i="17"/>
  <c r="AA13" i="17" s="1"/>
  <c r="S25" i="17"/>
  <c r="Z13" i="17" s="1"/>
  <c r="R25" i="17"/>
  <c r="Y13" i="17" s="1"/>
  <c r="Q25" i="17"/>
  <c r="X13" i="17" s="1"/>
  <c r="P25" i="17"/>
  <c r="W13" i="17" s="1"/>
  <c r="N25" i="17"/>
  <c r="V13" i="17" s="1"/>
  <c r="C25" i="17"/>
  <c r="T24" i="17"/>
  <c r="AA12" i="17" s="1"/>
  <c r="S24" i="17"/>
  <c r="Z12" i="17" s="1"/>
  <c r="R24" i="17"/>
  <c r="Y12" i="17" s="1"/>
  <c r="Q24" i="17"/>
  <c r="X12" i="17" s="1"/>
  <c r="P24" i="17"/>
  <c r="W12" i="17" s="1"/>
  <c r="N24" i="17"/>
  <c r="V12" i="17" s="1"/>
  <c r="C24" i="17"/>
  <c r="C23" i="17"/>
  <c r="C22" i="17"/>
  <c r="C21" i="17"/>
  <c r="C20" i="17"/>
  <c r="T19" i="17"/>
  <c r="AA11" i="17" s="1"/>
  <c r="S19" i="17"/>
  <c r="Z11" i="17" s="1"/>
  <c r="R19" i="17"/>
  <c r="Y11" i="17" s="1"/>
  <c r="Q19" i="17"/>
  <c r="X11" i="17" s="1"/>
  <c r="P19" i="17"/>
  <c r="W11" i="17" s="1"/>
  <c r="N19" i="17"/>
  <c r="V11" i="17" s="1"/>
  <c r="C19" i="17"/>
  <c r="C18" i="17"/>
  <c r="C17" i="17"/>
  <c r="C16" i="17"/>
  <c r="C15" i="17"/>
  <c r="T14" i="17"/>
  <c r="AA10" i="17" s="1"/>
  <c r="S14" i="17"/>
  <c r="Z10" i="17" s="1"/>
  <c r="R14" i="17"/>
  <c r="Y10" i="17" s="1"/>
  <c r="Q14" i="17"/>
  <c r="X10" i="17" s="1"/>
  <c r="P14" i="17"/>
  <c r="W10" i="17" s="1"/>
  <c r="N14" i="17"/>
  <c r="V10" i="17" s="1"/>
  <c r="C14" i="17"/>
  <c r="C13" i="17"/>
  <c r="C12" i="17"/>
  <c r="C11" i="17"/>
  <c r="C10" i="17"/>
  <c r="T9" i="17"/>
  <c r="AA9" i="17" s="1"/>
  <c r="S9" i="17"/>
  <c r="Z9" i="17" s="1"/>
  <c r="R9" i="17"/>
  <c r="Y9" i="17" s="1"/>
  <c r="Q9" i="17"/>
  <c r="X9" i="17" s="1"/>
  <c r="P9" i="17"/>
  <c r="W9" i="17" s="1"/>
  <c r="N9" i="17"/>
  <c r="V9" i="17" s="1"/>
  <c r="C9" i="17"/>
  <c r="B32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J104" i="15"/>
  <c r="D104" i="15"/>
  <c r="J102" i="15"/>
  <c r="D102" i="15"/>
  <c r="L31" i="14" s="1"/>
  <c r="R111" i="14" s="1"/>
  <c r="W99" i="14" s="1"/>
  <c r="J101" i="15"/>
  <c r="D101" i="15"/>
  <c r="L30" i="14" s="1"/>
  <c r="R110" i="14" s="1"/>
  <c r="W98" i="14" s="1"/>
  <c r="J100" i="15"/>
  <c r="N29" i="14" s="1"/>
  <c r="D100" i="15"/>
  <c r="L29" i="14" s="1"/>
  <c r="R109" i="14" s="1"/>
  <c r="W97" i="14" s="1"/>
  <c r="J99" i="15"/>
  <c r="N28" i="14" s="1"/>
  <c r="D99" i="15"/>
  <c r="J98" i="15"/>
  <c r="D98" i="15"/>
  <c r="L27" i="14" s="1"/>
  <c r="J97" i="15"/>
  <c r="N26" i="14" s="1"/>
  <c r="S106" i="14" s="1"/>
  <c r="X94" i="14" s="1"/>
  <c r="D97" i="15"/>
  <c r="J96" i="15"/>
  <c r="D96" i="15"/>
  <c r="J95" i="15"/>
  <c r="N24" i="14" s="1"/>
  <c r="S104" i="14" s="1"/>
  <c r="X92" i="14" s="1"/>
  <c r="D95" i="15"/>
  <c r="J94" i="15"/>
  <c r="D94" i="15"/>
  <c r="L23" i="14" s="1"/>
  <c r="R103" i="14" s="1"/>
  <c r="W91" i="14" s="1"/>
  <c r="J93" i="15"/>
  <c r="C93" i="15" s="1"/>
  <c r="D93" i="15"/>
  <c r="L22" i="14" s="1"/>
  <c r="J92" i="15"/>
  <c r="N21" i="14" s="1"/>
  <c r="S101" i="14" s="1"/>
  <c r="X89" i="14" s="1"/>
  <c r="D92" i="15"/>
  <c r="L21" i="14" s="1"/>
  <c r="J91" i="15"/>
  <c r="D91" i="15"/>
  <c r="L20" i="14" s="1"/>
  <c r="R100" i="14" s="1"/>
  <c r="J90" i="15"/>
  <c r="D90" i="15"/>
  <c r="C90" i="15" s="1"/>
  <c r="J89" i="15"/>
  <c r="C89" i="15" s="1"/>
  <c r="D89" i="15"/>
  <c r="J88" i="15"/>
  <c r="D88" i="15"/>
  <c r="L17" i="14" s="1"/>
  <c r="J87" i="15"/>
  <c r="D87" i="15"/>
  <c r="O126" i="15" s="1"/>
  <c r="J86" i="15"/>
  <c r="E86" i="15"/>
  <c r="N18" i="13" s="1"/>
  <c r="J85" i="15"/>
  <c r="D85" i="15"/>
  <c r="J84" i="15"/>
  <c r="N13" i="14" s="1"/>
  <c r="S93" i="14" s="1"/>
  <c r="D84" i="15"/>
  <c r="L13" i="14" s="1"/>
  <c r="J83" i="15"/>
  <c r="C83" i="15" s="1"/>
  <c r="D83" i="15"/>
  <c r="J81" i="15"/>
  <c r="P125" i="15" s="1"/>
  <c r="G81" i="15"/>
  <c r="M10" i="14" s="1"/>
  <c r="D81" i="15"/>
  <c r="O125" i="15" s="1"/>
  <c r="J80" i="15"/>
  <c r="N9" i="14" s="1"/>
  <c r="S90" i="14" s="1"/>
  <c r="G80" i="15"/>
  <c r="M9" i="14" s="1"/>
  <c r="D80" i="15"/>
  <c r="J79" i="15"/>
  <c r="N8" i="14" s="1"/>
  <c r="G79" i="15"/>
  <c r="D79" i="15"/>
  <c r="L8" i="14" s="1"/>
  <c r="J78" i="15"/>
  <c r="N7" i="14" s="1"/>
  <c r="S88" i="14" s="1"/>
  <c r="G78" i="15"/>
  <c r="M7" i="14" s="1"/>
  <c r="D78" i="15"/>
  <c r="J77" i="15"/>
  <c r="N6" i="14" s="1"/>
  <c r="S87" i="14" s="1"/>
  <c r="G77" i="15"/>
  <c r="M6" i="14" s="1"/>
  <c r="D77" i="15"/>
  <c r="L6" i="14" s="1"/>
  <c r="J76" i="15"/>
  <c r="P124" i="15" s="1"/>
  <c r="G76" i="15"/>
  <c r="D76" i="15"/>
  <c r="O124" i="15" s="1"/>
  <c r="L35" i="15"/>
  <c r="D35" i="15"/>
  <c r="H33" i="14" s="1"/>
  <c r="L33" i="15"/>
  <c r="D33" i="15"/>
  <c r="L32" i="15"/>
  <c r="D32" i="15"/>
  <c r="H30" i="14" s="1"/>
  <c r="L31" i="15"/>
  <c r="J29" i="14" s="1"/>
  <c r="S78" i="14" s="1"/>
  <c r="X66" i="14" s="1"/>
  <c r="D31" i="15"/>
  <c r="H29" i="14" s="1"/>
  <c r="L30" i="15"/>
  <c r="J28" i="14" s="1"/>
  <c r="S77" i="14" s="1"/>
  <c r="X65" i="14" s="1"/>
  <c r="D30" i="15"/>
  <c r="L29" i="15"/>
  <c r="J27" i="14" s="1"/>
  <c r="S76" i="14" s="1"/>
  <c r="X64" i="14" s="1"/>
  <c r="D29" i="15"/>
  <c r="H27" i="14" s="1"/>
  <c r="R76" i="14" s="1"/>
  <c r="W64" i="14" s="1"/>
  <c r="L28" i="15"/>
  <c r="J26" i="14" s="1"/>
  <c r="D28" i="15"/>
  <c r="L27" i="15"/>
  <c r="J25" i="14" s="1"/>
  <c r="S74" i="14" s="1"/>
  <c r="X62" i="14" s="1"/>
  <c r="D27" i="15"/>
  <c r="H25" i="14" s="1"/>
  <c r="L26" i="15"/>
  <c r="J24" i="14" s="1"/>
  <c r="D26" i="15"/>
  <c r="H24" i="14" s="1"/>
  <c r="L25" i="15"/>
  <c r="J23" i="14" s="1"/>
  <c r="S72" i="14" s="1"/>
  <c r="X60" i="14" s="1"/>
  <c r="D25" i="15"/>
  <c r="H23" i="14" s="1"/>
  <c r="L24" i="15"/>
  <c r="D24" i="15"/>
  <c r="L23" i="15"/>
  <c r="D23" i="15"/>
  <c r="H21" i="14" s="1"/>
  <c r="R70" i="14" s="1"/>
  <c r="W58" i="14" s="1"/>
  <c r="L22" i="15"/>
  <c r="J20" i="14" s="1"/>
  <c r="S69" i="14" s="1"/>
  <c r="D22" i="15"/>
  <c r="L21" i="15"/>
  <c r="J19" i="14" s="1"/>
  <c r="D21" i="15"/>
  <c r="H19" i="14" s="1"/>
  <c r="R68" i="14" s="1"/>
  <c r="L20" i="15"/>
  <c r="D20" i="15"/>
  <c r="L19" i="15"/>
  <c r="D19" i="15"/>
  <c r="H17" i="14" s="1"/>
  <c r="L18" i="15"/>
  <c r="J16" i="14" s="1"/>
  <c r="S65" i="14" s="1"/>
  <c r="X57" i="14" s="1"/>
  <c r="D18" i="15"/>
  <c r="M17" i="15"/>
  <c r="L17" i="15" s="1"/>
  <c r="J15" i="14" s="1"/>
  <c r="E17" i="15"/>
  <c r="D17" i="15" s="1"/>
  <c r="L16" i="15"/>
  <c r="D16" i="15"/>
  <c r="H14" i="14" s="1"/>
  <c r="L15" i="15"/>
  <c r="J13" i="14" s="1"/>
  <c r="D15" i="15"/>
  <c r="H13" i="14" s="1"/>
  <c r="L14" i="15"/>
  <c r="J12" i="14" s="1"/>
  <c r="S61" i="14" s="1"/>
  <c r="D14" i="15"/>
  <c r="L12" i="15"/>
  <c r="U41" i="15" s="1"/>
  <c r="I12" i="15"/>
  <c r="I10" i="14" s="1"/>
  <c r="D12" i="15"/>
  <c r="L11" i="15"/>
  <c r="J9" i="14" s="1"/>
  <c r="I11" i="15"/>
  <c r="D11" i="15"/>
  <c r="H9" i="14" s="1"/>
  <c r="L10" i="15"/>
  <c r="J8" i="14" s="1"/>
  <c r="S58" i="14" s="1"/>
  <c r="I10" i="15"/>
  <c r="I8" i="14" s="1"/>
  <c r="D10" i="15"/>
  <c r="L9" i="15"/>
  <c r="I9" i="15"/>
  <c r="I7" i="14" s="1"/>
  <c r="D9" i="15"/>
  <c r="H7" i="14" s="1"/>
  <c r="L8" i="15"/>
  <c r="I8" i="15"/>
  <c r="I6" i="14" s="1"/>
  <c r="D8" i="15"/>
  <c r="H6" i="14" s="1"/>
  <c r="L7" i="15"/>
  <c r="I7" i="15"/>
  <c r="I5" i="14" s="1"/>
  <c r="D7" i="15"/>
  <c r="J31" i="14"/>
  <c r="S80" i="14" s="1"/>
  <c r="X68" i="14" s="1"/>
  <c r="L28" i="14"/>
  <c r="R108" i="14" s="1"/>
  <c r="W96" i="14" s="1"/>
  <c r="L26" i="14"/>
  <c r="H26" i="14"/>
  <c r="L25" i="14"/>
  <c r="R105" i="14" s="1"/>
  <c r="W93" i="14" s="1"/>
  <c r="L24" i="14"/>
  <c r="H22" i="14"/>
  <c r="N19" i="14"/>
  <c r="S99" i="14" s="1"/>
  <c r="L18" i="14"/>
  <c r="R98" i="14" s="1"/>
  <c r="H18" i="14"/>
  <c r="N17" i="14"/>
  <c r="S97" i="14" s="1"/>
  <c r="J17" i="14"/>
  <c r="S66" i="14" s="1"/>
  <c r="L16" i="14"/>
  <c r="R96" i="14" s="1"/>
  <c r="W88" i="14" s="1"/>
  <c r="H16" i="14"/>
  <c r="R65" i="14" s="1"/>
  <c r="W57" i="14" s="1"/>
  <c r="L14" i="14"/>
  <c r="R94" i="14" s="1"/>
  <c r="L12" i="14"/>
  <c r="R92" i="14" s="1"/>
  <c r="N10" i="14"/>
  <c r="S91" i="14" s="1"/>
  <c r="X87" i="14" s="1"/>
  <c r="L9" i="14"/>
  <c r="I9" i="14"/>
  <c r="L7" i="14"/>
  <c r="J7" i="14"/>
  <c r="S57" i="14" s="1"/>
  <c r="J6" i="14"/>
  <c r="N5" i="14"/>
  <c r="S86" i="14" s="1"/>
  <c r="X86" i="14" s="1"/>
  <c r="M5" i="14"/>
  <c r="L5" i="14"/>
  <c r="O33" i="13"/>
  <c r="T113" i="13" s="1"/>
  <c r="N33" i="13"/>
  <c r="S113" i="13" s="1"/>
  <c r="L33" i="13"/>
  <c r="G33" i="13" s="1"/>
  <c r="V49" i="13" s="1"/>
  <c r="AB37" i="13" s="1"/>
  <c r="K33" i="13"/>
  <c r="J33" i="13"/>
  <c r="T83" i="13" s="1"/>
  <c r="Z71" i="13" s="1"/>
  <c r="I33" i="13"/>
  <c r="S83" i="13" s="1"/>
  <c r="Y71" i="13" s="1"/>
  <c r="O32" i="13"/>
  <c r="T112" i="13" s="1"/>
  <c r="N32" i="13"/>
  <c r="L32" i="13"/>
  <c r="V82" i="13" s="1"/>
  <c r="AB70" i="13" s="1"/>
  <c r="K32" i="13"/>
  <c r="J32" i="13"/>
  <c r="I32" i="13"/>
  <c r="S82" i="13" s="1"/>
  <c r="Y70" i="13" s="1"/>
  <c r="O31" i="13"/>
  <c r="O38" i="13" s="1"/>
  <c r="N31" i="13"/>
  <c r="N38" i="13" s="1"/>
  <c r="L31" i="13"/>
  <c r="K31" i="13"/>
  <c r="K38" i="13" s="1"/>
  <c r="J31" i="13"/>
  <c r="J38" i="13" s="1"/>
  <c r="I31" i="13"/>
  <c r="I38" i="13" s="1"/>
  <c r="O30" i="13"/>
  <c r="N30" i="13"/>
  <c r="S110" i="13" s="1"/>
  <c r="L30" i="13"/>
  <c r="K30" i="13"/>
  <c r="U80" i="13" s="1"/>
  <c r="AA68" i="13" s="1"/>
  <c r="J30" i="13"/>
  <c r="T80" i="13" s="1"/>
  <c r="Z68" i="13" s="1"/>
  <c r="I30" i="13"/>
  <c r="O29" i="13"/>
  <c r="T109" i="13" s="1"/>
  <c r="N29" i="13"/>
  <c r="L29" i="13"/>
  <c r="V79" i="13" s="1"/>
  <c r="AB67" i="13" s="1"/>
  <c r="K29" i="13"/>
  <c r="J29" i="13"/>
  <c r="T79" i="13" s="1"/>
  <c r="Z67" i="13" s="1"/>
  <c r="I29" i="13"/>
  <c r="S79" i="13" s="1"/>
  <c r="Y67" i="13" s="1"/>
  <c r="O28" i="13"/>
  <c r="T108" i="13" s="1"/>
  <c r="N28" i="13"/>
  <c r="S108" i="13" s="1"/>
  <c r="L28" i="13"/>
  <c r="G28" i="13" s="1"/>
  <c r="V44" i="13" s="1"/>
  <c r="AB32" i="13" s="1"/>
  <c r="K28" i="13"/>
  <c r="U78" i="13" s="1"/>
  <c r="AA66" i="13" s="1"/>
  <c r="J28" i="13"/>
  <c r="T78" i="13" s="1"/>
  <c r="Z66" i="13" s="1"/>
  <c r="I28" i="13"/>
  <c r="O27" i="13"/>
  <c r="N27" i="13"/>
  <c r="L27" i="13"/>
  <c r="G27" i="13" s="1"/>
  <c r="K27" i="13"/>
  <c r="U77" i="13" s="1"/>
  <c r="AA65" i="13" s="1"/>
  <c r="J27" i="13"/>
  <c r="I27" i="13"/>
  <c r="O26" i="13"/>
  <c r="N26" i="13"/>
  <c r="L26" i="13"/>
  <c r="K26" i="13"/>
  <c r="J26" i="13"/>
  <c r="I26" i="13"/>
  <c r="O25" i="13"/>
  <c r="T105" i="13" s="1"/>
  <c r="N25" i="13"/>
  <c r="S105" i="13" s="1"/>
  <c r="L25" i="13"/>
  <c r="G25" i="13" s="1"/>
  <c r="J25" i="13"/>
  <c r="T75" i="13" s="1"/>
  <c r="Z63" i="13" s="1"/>
  <c r="I25" i="13"/>
  <c r="O24" i="13"/>
  <c r="T104" i="13" s="1"/>
  <c r="N24" i="13"/>
  <c r="L24" i="13"/>
  <c r="G24" i="13" s="1"/>
  <c r="J24" i="13"/>
  <c r="T74" i="13" s="1"/>
  <c r="Z62" i="13" s="1"/>
  <c r="I24" i="13"/>
  <c r="S74" i="13" s="1"/>
  <c r="Y62" i="13" s="1"/>
  <c r="O23" i="13"/>
  <c r="N23" i="13"/>
  <c r="S103" i="13" s="1"/>
  <c r="L23" i="13"/>
  <c r="G23" i="13" s="1"/>
  <c r="J23" i="13"/>
  <c r="I23" i="13"/>
  <c r="O22" i="13"/>
  <c r="T102" i="13" s="1"/>
  <c r="N22" i="13"/>
  <c r="L22" i="13"/>
  <c r="G22" i="13" s="1"/>
  <c r="J22" i="13"/>
  <c r="I22" i="13"/>
  <c r="O21" i="13"/>
  <c r="T101" i="13" s="1"/>
  <c r="N21" i="13"/>
  <c r="S101" i="13" s="1"/>
  <c r="L21" i="13"/>
  <c r="G21" i="13" s="1"/>
  <c r="J21" i="13"/>
  <c r="T71" i="13" s="1"/>
  <c r="I21" i="13"/>
  <c r="S71" i="13" s="1"/>
  <c r="O20" i="13"/>
  <c r="T100" i="13" s="1"/>
  <c r="N20" i="13"/>
  <c r="L20" i="13"/>
  <c r="G20" i="13" s="1"/>
  <c r="J20" i="13"/>
  <c r="T70" i="13" s="1"/>
  <c r="I20" i="13"/>
  <c r="S70" i="13" s="1"/>
  <c r="O19" i="13"/>
  <c r="T99" i="13" s="1"/>
  <c r="N19" i="13"/>
  <c r="S99" i="13" s="1"/>
  <c r="L19" i="13"/>
  <c r="G19" i="13" s="1"/>
  <c r="J19" i="13"/>
  <c r="I19" i="13"/>
  <c r="S69" i="13" s="1"/>
  <c r="Y61" i="13" s="1"/>
  <c r="O18" i="13"/>
  <c r="T98" i="13" s="1"/>
  <c r="L18" i="13"/>
  <c r="G18" i="13" s="1"/>
  <c r="J18" i="13"/>
  <c r="T68" i="13" s="1"/>
  <c r="O17" i="13"/>
  <c r="T97" i="13" s="1"/>
  <c r="N17" i="13"/>
  <c r="L17" i="13"/>
  <c r="G17" i="13" s="1"/>
  <c r="J17" i="13"/>
  <c r="I17" i="13"/>
  <c r="O16" i="13"/>
  <c r="T96" i="13" s="1"/>
  <c r="N16" i="13"/>
  <c r="S96" i="13" s="1"/>
  <c r="L16" i="13"/>
  <c r="G16" i="13" s="1"/>
  <c r="J16" i="13"/>
  <c r="I16" i="13"/>
  <c r="S66" i="13" s="1"/>
  <c r="O15" i="13"/>
  <c r="N15" i="13"/>
  <c r="S95" i="13" s="1"/>
  <c r="L15" i="13"/>
  <c r="G15" i="13" s="1"/>
  <c r="J15" i="13"/>
  <c r="T65" i="13" s="1"/>
  <c r="I15" i="13"/>
  <c r="S65" i="13" s="1"/>
  <c r="O14" i="13"/>
  <c r="T94" i="13" s="1"/>
  <c r="N14" i="13"/>
  <c r="L14" i="13"/>
  <c r="G14" i="13" s="1"/>
  <c r="J14" i="13"/>
  <c r="I14" i="13"/>
  <c r="S64" i="13" s="1"/>
  <c r="Y60" i="13" s="1"/>
  <c r="O13" i="13"/>
  <c r="T93" i="13" s="1"/>
  <c r="N13" i="13"/>
  <c r="L13" i="13"/>
  <c r="G13" i="13" s="1"/>
  <c r="J13" i="13"/>
  <c r="I13" i="13"/>
  <c r="S63" i="13" s="1"/>
  <c r="O12" i="13"/>
  <c r="N12" i="13"/>
  <c r="S92" i="13" s="1"/>
  <c r="L12" i="13"/>
  <c r="J12" i="13"/>
  <c r="T62" i="13" s="1"/>
  <c r="I12" i="13"/>
  <c r="O11" i="13"/>
  <c r="N11" i="13"/>
  <c r="S91" i="13" s="1"/>
  <c r="L11" i="13"/>
  <c r="G11" i="13" s="1"/>
  <c r="J11" i="13"/>
  <c r="T61" i="13" s="1"/>
  <c r="I11" i="13"/>
  <c r="S61" i="13" s="1"/>
  <c r="O10" i="13"/>
  <c r="T90" i="13" s="1"/>
  <c r="N10" i="13"/>
  <c r="S90" i="13" s="1"/>
  <c r="L10" i="13"/>
  <c r="G10" i="13" s="1"/>
  <c r="J10" i="13"/>
  <c r="I10" i="13"/>
  <c r="S60" i="13" s="1"/>
  <c r="O9" i="13"/>
  <c r="T89" i="13" s="1"/>
  <c r="N9" i="13"/>
  <c r="S89" i="13" s="1"/>
  <c r="L9" i="13"/>
  <c r="J9" i="13"/>
  <c r="T59" i="13" s="1"/>
  <c r="Z59" i="13" s="1"/>
  <c r="I9" i="13"/>
  <c r="S59" i="13" s="1"/>
  <c r="Y59" i="13" s="1"/>
  <c r="I103" i="11"/>
  <c r="C103" i="11"/>
  <c r="L34" i="10" s="1"/>
  <c r="I101" i="11"/>
  <c r="C101" i="11"/>
  <c r="L32" i="10" s="1"/>
  <c r="I100" i="11"/>
  <c r="N31" i="10" s="1"/>
  <c r="C100" i="11"/>
  <c r="I99" i="11"/>
  <c r="C99" i="11"/>
  <c r="L30" i="10" s="1"/>
  <c r="R102" i="10" s="1"/>
  <c r="W90" i="10" s="1"/>
  <c r="I98" i="11"/>
  <c r="N29" i="10" s="1"/>
  <c r="S101" i="10" s="1"/>
  <c r="X89" i="10" s="1"/>
  <c r="C98" i="11"/>
  <c r="I97" i="11"/>
  <c r="N28" i="10" s="1"/>
  <c r="S100" i="10" s="1"/>
  <c r="X88" i="10" s="1"/>
  <c r="C97" i="11"/>
  <c r="L28" i="10" s="1"/>
  <c r="R100" i="10" s="1"/>
  <c r="W88" i="10" s="1"/>
  <c r="I96" i="11"/>
  <c r="N27" i="10" s="1"/>
  <c r="S99" i="10" s="1"/>
  <c r="X87" i="10" s="1"/>
  <c r="C96" i="11"/>
  <c r="L27" i="10" s="1"/>
  <c r="R99" i="10" s="1"/>
  <c r="W87" i="10" s="1"/>
  <c r="I95" i="11"/>
  <c r="C95" i="11"/>
  <c r="L26" i="10" s="1"/>
  <c r="R98" i="10" s="1"/>
  <c r="W86" i="10" s="1"/>
  <c r="I94" i="11"/>
  <c r="N25" i="10" s="1"/>
  <c r="S97" i="10" s="1"/>
  <c r="X85" i="10" s="1"/>
  <c r="C94" i="11"/>
  <c r="I93" i="11"/>
  <c r="C93" i="11"/>
  <c r="I92" i="11"/>
  <c r="C92" i="11"/>
  <c r="I91" i="11"/>
  <c r="N22" i="10" s="1"/>
  <c r="C91" i="11"/>
  <c r="I90" i="11"/>
  <c r="N21" i="10" s="1"/>
  <c r="S93" i="10" s="1"/>
  <c r="C90" i="11"/>
  <c r="L21" i="10" s="1"/>
  <c r="I89" i="11"/>
  <c r="N20" i="10" s="1"/>
  <c r="C89" i="11"/>
  <c r="L20" i="10" s="1"/>
  <c r="I88" i="11"/>
  <c r="C88" i="11"/>
  <c r="L19" i="10" s="1"/>
  <c r="R91" i="10" s="1"/>
  <c r="I87" i="11"/>
  <c r="C87" i="11"/>
  <c r="I86" i="11"/>
  <c r="C86" i="11"/>
  <c r="I85" i="11"/>
  <c r="C85" i="11"/>
  <c r="I84" i="11"/>
  <c r="N15" i="10" s="1"/>
  <c r="S87" i="10" s="1"/>
  <c r="C84" i="11"/>
  <c r="I83" i="11"/>
  <c r="C83" i="11"/>
  <c r="L14" i="10" s="1"/>
  <c r="R86" i="10" s="1"/>
  <c r="I82" i="11"/>
  <c r="N13" i="10" s="1"/>
  <c r="S85" i="10" s="1"/>
  <c r="C82" i="11"/>
  <c r="L13" i="10" s="1"/>
  <c r="R85" i="10" s="1"/>
  <c r="I80" i="11"/>
  <c r="O111" i="11" s="1"/>
  <c r="F80" i="11"/>
  <c r="M11" i="10" s="1"/>
  <c r="C80" i="11"/>
  <c r="N111" i="11" s="1"/>
  <c r="I79" i="11"/>
  <c r="N10" i="10" s="1"/>
  <c r="S83" i="10" s="1"/>
  <c r="F79" i="11"/>
  <c r="C79" i="11"/>
  <c r="I78" i="11"/>
  <c r="N9" i="10" s="1"/>
  <c r="S82" i="10" s="1"/>
  <c r="F78" i="11"/>
  <c r="M9" i="10" s="1"/>
  <c r="C78" i="11"/>
  <c r="I77" i="11"/>
  <c r="F77" i="11"/>
  <c r="C77" i="11"/>
  <c r="I76" i="11"/>
  <c r="N7" i="10" s="1"/>
  <c r="S80" i="10" s="1"/>
  <c r="F76" i="11"/>
  <c r="M7" i="10" s="1"/>
  <c r="C76" i="11"/>
  <c r="B76" i="11" s="1"/>
  <c r="I75" i="11"/>
  <c r="F75" i="11"/>
  <c r="M6" i="10" s="1"/>
  <c r="C75" i="11"/>
  <c r="N110" i="11" s="1"/>
  <c r="K35" i="11"/>
  <c r="C35" i="11"/>
  <c r="U33" i="11"/>
  <c r="U86" i="11" s="1"/>
  <c r="T33" i="11"/>
  <c r="T86" i="11" s="1"/>
  <c r="S33" i="11"/>
  <c r="R33" i="11"/>
  <c r="R86" i="11" s="1"/>
  <c r="K33" i="11"/>
  <c r="J32" i="10" s="1"/>
  <c r="C33" i="11"/>
  <c r="H32" i="10" s="1"/>
  <c r="U32" i="11"/>
  <c r="U85" i="11" s="1"/>
  <c r="T32" i="11"/>
  <c r="T85" i="11" s="1"/>
  <c r="S32" i="11"/>
  <c r="R32" i="11"/>
  <c r="R85" i="11" s="1"/>
  <c r="K32" i="11"/>
  <c r="J31" i="10" s="1"/>
  <c r="S70" i="10" s="1"/>
  <c r="X58" i="10" s="1"/>
  <c r="C32" i="11"/>
  <c r="H31" i="10" s="1"/>
  <c r="U31" i="11"/>
  <c r="U84" i="11" s="1"/>
  <c r="T31" i="11"/>
  <c r="T84" i="11" s="1"/>
  <c r="S31" i="11"/>
  <c r="S84" i="11" s="1"/>
  <c r="R31" i="11"/>
  <c r="K31" i="11"/>
  <c r="C31" i="11"/>
  <c r="H30" i="10" s="1"/>
  <c r="U30" i="11"/>
  <c r="U83" i="11" s="1"/>
  <c r="T30" i="11"/>
  <c r="T83" i="11" s="1"/>
  <c r="S30" i="11"/>
  <c r="S83" i="11" s="1"/>
  <c r="R30" i="11"/>
  <c r="K30" i="11"/>
  <c r="C30" i="11"/>
  <c r="H29" i="10" s="1"/>
  <c r="U29" i="11"/>
  <c r="U82" i="11" s="1"/>
  <c r="T29" i="11"/>
  <c r="T82" i="11" s="1"/>
  <c r="S29" i="11"/>
  <c r="S82" i="11" s="1"/>
  <c r="R29" i="11"/>
  <c r="R82" i="11" s="1"/>
  <c r="K29" i="11"/>
  <c r="J28" i="10" s="1"/>
  <c r="C29" i="11"/>
  <c r="U28" i="11"/>
  <c r="U81" i="11" s="1"/>
  <c r="T28" i="11"/>
  <c r="T81" i="11" s="1"/>
  <c r="S28" i="11"/>
  <c r="S81" i="11" s="1"/>
  <c r="R28" i="11"/>
  <c r="R81" i="11" s="1"/>
  <c r="K28" i="11"/>
  <c r="J27" i="10" s="1"/>
  <c r="S66" i="10" s="1"/>
  <c r="X54" i="10" s="1"/>
  <c r="C28" i="11"/>
  <c r="H27" i="10" s="1"/>
  <c r="U27" i="11"/>
  <c r="U80" i="11" s="1"/>
  <c r="T27" i="11"/>
  <c r="T80" i="11" s="1"/>
  <c r="S27" i="11"/>
  <c r="S80" i="11" s="1"/>
  <c r="R27" i="11"/>
  <c r="R80" i="11" s="1"/>
  <c r="K27" i="11"/>
  <c r="J26" i="10" s="1"/>
  <c r="C27" i="11"/>
  <c r="H26" i="10" s="1"/>
  <c r="U26" i="11"/>
  <c r="T26" i="11"/>
  <c r="T79" i="11" s="1"/>
  <c r="S26" i="11"/>
  <c r="S79" i="11" s="1"/>
  <c r="R26" i="11"/>
  <c r="R79" i="11" s="1"/>
  <c r="K26" i="11"/>
  <c r="C26" i="11"/>
  <c r="H25" i="10" s="1"/>
  <c r="R64" i="10" s="1"/>
  <c r="W52" i="10" s="1"/>
  <c r="U25" i="11"/>
  <c r="U78" i="11" s="1"/>
  <c r="T25" i="11"/>
  <c r="T78" i="11" s="1"/>
  <c r="S25" i="11"/>
  <c r="R25" i="11"/>
  <c r="R78" i="11" s="1"/>
  <c r="K25" i="11"/>
  <c r="J24" i="10" s="1"/>
  <c r="C25" i="11"/>
  <c r="U24" i="11"/>
  <c r="U77" i="11" s="1"/>
  <c r="T24" i="11"/>
  <c r="T77" i="11" s="1"/>
  <c r="S24" i="11"/>
  <c r="S77" i="11" s="1"/>
  <c r="R24" i="11"/>
  <c r="R77" i="11" s="1"/>
  <c r="K24" i="11"/>
  <c r="J23" i="10" s="1"/>
  <c r="C24" i="11"/>
  <c r="H23" i="10" s="1"/>
  <c r="R62" i="10" s="1"/>
  <c r="W50" i="10" s="1"/>
  <c r="U23" i="11"/>
  <c r="U76" i="11" s="1"/>
  <c r="T23" i="11"/>
  <c r="T76" i="11" s="1"/>
  <c r="S23" i="11"/>
  <c r="S76" i="11" s="1"/>
  <c r="R23" i="11"/>
  <c r="R76" i="11" s="1"/>
  <c r="K23" i="11"/>
  <c r="J22" i="10" s="1"/>
  <c r="F22" i="10" s="1"/>
  <c r="S20" i="10" s="1"/>
  <c r="X8" i="10" s="1"/>
  <c r="C23" i="11"/>
  <c r="U22" i="11"/>
  <c r="U75" i="11" s="1"/>
  <c r="T22" i="11"/>
  <c r="T75" i="11" s="1"/>
  <c r="S22" i="11"/>
  <c r="S75" i="11" s="1"/>
  <c r="R22" i="11"/>
  <c r="K22" i="11"/>
  <c r="C22" i="11"/>
  <c r="U21" i="11"/>
  <c r="U74" i="11" s="1"/>
  <c r="T21" i="11"/>
  <c r="T74" i="11" s="1"/>
  <c r="S21" i="11"/>
  <c r="S74" i="11" s="1"/>
  <c r="R21" i="11"/>
  <c r="R74" i="11" s="1"/>
  <c r="K21" i="11"/>
  <c r="C21" i="11"/>
  <c r="U20" i="11"/>
  <c r="U73" i="11" s="1"/>
  <c r="T20" i="11"/>
  <c r="T73" i="11" s="1"/>
  <c r="S20" i="11"/>
  <c r="S73" i="11" s="1"/>
  <c r="R20" i="11"/>
  <c r="R73" i="11" s="1"/>
  <c r="K20" i="11"/>
  <c r="C20" i="11"/>
  <c r="H19" i="10" s="1"/>
  <c r="U19" i="11"/>
  <c r="U72" i="11" s="1"/>
  <c r="T19" i="11"/>
  <c r="T72" i="11" s="1"/>
  <c r="S19" i="11"/>
  <c r="S72" i="11" s="1"/>
  <c r="R19" i="11"/>
  <c r="R72" i="11" s="1"/>
  <c r="K19" i="11"/>
  <c r="C19" i="11"/>
  <c r="U18" i="11"/>
  <c r="U71" i="11" s="1"/>
  <c r="T18" i="11"/>
  <c r="S18" i="11"/>
  <c r="S71" i="11" s="1"/>
  <c r="R18" i="11"/>
  <c r="R71" i="11" s="1"/>
  <c r="K18" i="11"/>
  <c r="J17" i="10" s="1"/>
  <c r="S56" i="10" s="1"/>
  <c r="X48" i="10" s="1"/>
  <c r="C18" i="11"/>
  <c r="H17" i="10" s="1"/>
  <c r="R56" i="10" s="1"/>
  <c r="W48" i="10" s="1"/>
  <c r="U17" i="11"/>
  <c r="U70" i="11" s="1"/>
  <c r="T17" i="11"/>
  <c r="S17" i="11"/>
  <c r="S70" i="11" s="1"/>
  <c r="R17" i="11"/>
  <c r="R70" i="11" s="1"/>
  <c r="K17" i="11"/>
  <c r="J16" i="10" s="1"/>
  <c r="C17" i="11"/>
  <c r="U16" i="11"/>
  <c r="U69" i="11" s="1"/>
  <c r="T16" i="11"/>
  <c r="T69" i="11" s="1"/>
  <c r="S16" i="11"/>
  <c r="S69" i="11" s="1"/>
  <c r="R16" i="11"/>
  <c r="R69" i="11" s="1"/>
  <c r="K16" i="11"/>
  <c r="J15" i="10" s="1"/>
  <c r="C16" i="11"/>
  <c r="H15" i="10" s="1"/>
  <c r="U15" i="11"/>
  <c r="T15" i="11"/>
  <c r="S15" i="11"/>
  <c r="R15" i="11"/>
  <c r="K15" i="11"/>
  <c r="J14" i="10" s="1"/>
  <c r="S53" i="10" s="1"/>
  <c r="C15" i="11"/>
  <c r="U14" i="11"/>
  <c r="T14" i="11"/>
  <c r="S14" i="11"/>
  <c r="R14" i="11"/>
  <c r="K14" i="11"/>
  <c r="C14" i="11"/>
  <c r="U12" i="11"/>
  <c r="T12" i="11"/>
  <c r="S12" i="11"/>
  <c r="R12" i="11"/>
  <c r="K12" i="11"/>
  <c r="Y43" i="11" s="1"/>
  <c r="H12" i="11"/>
  <c r="I11" i="10" s="1"/>
  <c r="C12" i="11"/>
  <c r="X43" i="11" s="1"/>
  <c r="U11" i="11"/>
  <c r="T11" i="11"/>
  <c r="S11" i="11"/>
  <c r="R11" i="11"/>
  <c r="K11" i="11"/>
  <c r="J10" i="10" s="1"/>
  <c r="S50" i="10" s="1"/>
  <c r="H11" i="11"/>
  <c r="C11" i="11"/>
  <c r="U10" i="11"/>
  <c r="T10" i="11"/>
  <c r="S10" i="11"/>
  <c r="R10" i="11"/>
  <c r="K10" i="11"/>
  <c r="J9" i="10" s="1"/>
  <c r="H10" i="11"/>
  <c r="I9" i="10" s="1"/>
  <c r="C10" i="11"/>
  <c r="H9" i="10" s="1"/>
  <c r="U9" i="11"/>
  <c r="U41" i="11" s="1"/>
  <c r="T9" i="11"/>
  <c r="T41" i="11" s="1"/>
  <c r="S9" i="11"/>
  <c r="S41" i="11" s="1"/>
  <c r="R9" i="11"/>
  <c r="R41" i="11" s="1"/>
  <c r="K9" i="11"/>
  <c r="H9" i="11"/>
  <c r="I8" i="10" s="1"/>
  <c r="C9" i="11"/>
  <c r="H8" i="10" s="1"/>
  <c r="U8" i="11"/>
  <c r="U40" i="11" s="1"/>
  <c r="T8" i="11"/>
  <c r="T40" i="11" s="1"/>
  <c r="K8" i="11"/>
  <c r="J7" i="10" s="1"/>
  <c r="J8" i="11"/>
  <c r="I8" i="11"/>
  <c r="E8" i="11"/>
  <c r="C8" i="11" s="1"/>
  <c r="H7" i="10" s="1"/>
  <c r="U7" i="11"/>
  <c r="U39" i="11" s="1"/>
  <c r="T7" i="11"/>
  <c r="T39" i="11" s="1"/>
  <c r="S7" i="11"/>
  <c r="S39" i="11" s="1"/>
  <c r="R7" i="11"/>
  <c r="R39" i="11" s="1"/>
  <c r="K7" i="11"/>
  <c r="Y42" i="11" s="1"/>
  <c r="H7" i="11"/>
  <c r="I6" i="10" s="1"/>
  <c r="C7" i="11"/>
  <c r="R104" i="10"/>
  <c r="W92" i="10" s="1"/>
  <c r="R71" i="10"/>
  <c r="W59" i="10" s="1"/>
  <c r="L31" i="10"/>
  <c r="R103" i="10" s="1"/>
  <c r="W91" i="10" s="1"/>
  <c r="N24" i="10"/>
  <c r="S96" i="10" s="1"/>
  <c r="X84" i="10" s="1"/>
  <c r="H21" i="10"/>
  <c r="R60" i="10" s="1"/>
  <c r="J20" i="10"/>
  <c r="S59" i="10" s="1"/>
  <c r="J19" i="10"/>
  <c r="S58" i="10" s="1"/>
  <c r="J18" i="10"/>
  <c r="S57" i="10" s="1"/>
  <c r="L17" i="10"/>
  <c r="L15" i="10"/>
  <c r="R87" i="10" s="1"/>
  <c r="N8" i="10"/>
  <c r="S81" i="10" s="1"/>
  <c r="M8" i="10"/>
  <c r="T104" i="9"/>
  <c r="S104" i="9"/>
  <c r="V72" i="9"/>
  <c r="U72" i="9"/>
  <c r="T72" i="9"/>
  <c r="S72" i="9"/>
  <c r="G32" i="9"/>
  <c r="F32" i="9"/>
  <c r="U30" i="9" s="1"/>
  <c r="T101" i="9"/>
  <c r="S101" i="9"/>
  <c r="G31" i="9"/>
  <c r="F31" i="9"/>
  <c r="U29" i="9" s="1"/>
  <c r="E31" i="9"/>
  <c r="T29" i="9" s="1"/>
  <c r="S69" i="9"/>
  <c r="O30" i="9"/>
  <c r="N30" i="9"/>
  <c r="S100" i="9" s="1"/>
  <c r="L30" i="9"/>
  <c r="G30" i="9" s="1"/>
  <c r="K30" i="9"/>
  <c r="J30" i="9"/>
  <c r="T68" i="9" s="1"/>
  <c r="I30" i="9"/>
  <c r="S68" i="9" s="1"/>
  <c r="O29" i="9"/>
  <c r="T99" i="9" s="1"/>
  <c r="N29" i="9"/>
  <c r="S99" i="9" s="1"/>
  <c r="L29" i="9"/>
  <c r="K29" i="9"/>
  <c r="K36" i="9" s="1"/>
  <c r="J29" i="9"/>
  <c r="T67" i="9" s="1"/>
  <c r="I29" i="9"/>
  <c r="S67" i="9" s="1"/>
  <c r="O28" i="9"/>
  <c r="T98" i="9" s="1"/>
  <c r="N28" i="9"/>
  <c r="S98" i="9" s="1"/>
  <c r="L28" i="9"/>
  <c r="G28" i="9" s="1"/>
  <c r="K28" i="9"/>
  <c r="U66" i="9" s="1"/>
  <c r="J28" i="9"/>
  <c r="T66" i="9" s="1"/>
  <c r="I28" i="9"/>
  <c r="S66" i="9" s="1"/>
  <c r="O27" i="9"/>
  <c r="T97" i="9" s="1"/>
  <c r="N27" i="9"/>
  <c r="S97" i="9" s="1"/>
  <c r="L27" i="9"/>
  <c r="V65" i="9" s="1"/>
  <c r="K27" i="9"/>
  <c r="U65" i="9" s="1"/>
  <c r="J27" i="9"/>
  <c r="I27" i="9"/>
  <c r="O26" i="9"/>
  <c r="T96" i="9" s="1"/>
  <c r="N26" i="9"/>
  <c r="S96" i="9" s="1"/>
  <c r="L26" i="9"/>
  <c r="V64" i="9" s="1"/>
  <c r="K26" i="9"/>
  <c r="U64" i="9" s="1"/>
  <c r="J26" i="9"/>
  <c r="I26" i="9"/>
  <c r="O25" i="9"/>
  <c r="N25" i="9"/>
  <c r="L25" i="9"/>
  <c r="G25" i="9" s="1"/>
  <c r="K25" i="9"/>
  <c r="U63" i="9" s="1"/>
  <c r="J25" i="9"/>
  <c r="T63" i="9" s="1"/>
  <c r="I25" i="9"/>
  <c r="O24" i="9"/>
  <c r="T94" i="9" s="1"/>
  <c r="N24" i="9"/>
  <c r="S94" i="9" s="1"/>
  <c r="L24" i="9"/>
  <c r="K24" i="9"/>
  <c r="J24" i="9"/>
  <c r="T62" i="9" s="1"/>
  <c r="I24" i="9"/>
  <c r="S62" i="9" s="1"/>
  <c r="O23" i="9"/>
  <c r="T93" i="9" s="1"/>
  <c r="N23" i="9"/>
  <c r="S93" i="9" s="1"/>
  <c r="L23" i="9"/>
  <c r="G23" i="9" s="1"/>
  <c r="J23" i="9"/>
  <c r="T61" i="9" s="1"/>
  <c r="I23" i="9"/>
  <c r="O22" i="9"/>
  <c r="T92" i="9" s="1"/>
  <c r="N22" i="9"/>
  <c r="S92" i="9" s="1"/>
  <c r="L22" i="9"/>
  <c r="G22" i="9" s="1"/>
  <c r="J22" i="9"/>
  <c r="I22" i="9"/>
  <c r="O21" i="9"/>
  <c r="T91" i="9" s="1"/>
  <c r="N21" i="9"/>
  <c r="S91" i="9" s="1"/>
  <c r="L21" i="9"/>
  <c r="G21" i="9" s="1"/>
  <c r="J21" i="9"/>
  <c r="T59" i="9" s="1"/>
  <c r="I21" i="9"/>
  <c r="O20" i="9"/>
  <c r="T90" i="9" s="1"/>
  <c r="N20" i="9"/>
  <c r="S90" i="9" s="1"/>
  <c r="L20" i="9"/>
  <c r="G20" i="9" s="1"/>
  <c r="J20" i="9"/>
  <c r="I20" i="9"/>
  <c r="O19" i="9"/>
  <c r="N19" i="9"/>
  <c r="S89" i="9" s="1"/>
  <c r="L19" i="9"/>
  <c r="J19" i="9"/>
  <c r="T57" i="9" s="1"/>
  <c r="I19" i="9"/>
  <c r="S57" i="9" s="1"/>
  <c r="O18" i="9"/>
  <c r="T88" i="9" s="1"/>
  <c r="N18" i="9"/>
  <c r="S88" i="9" s="1"/>
  <c r="L18" i="9"/>
  <c r="G18" i="9" s="1"/>
  <c r="J18" i="9"/>
  <c r="T56" i="9" s="1"/>
  <c r="I18" i="9"/>
  <c r="S56" i="9" s="1"/>
  <c r="O17" i="9"/>
  <c r="T87" i="9" s="1"/>
  <c r="N17" i="9"/>
  <c r="S87" i="9" s="1"/>
  <c r="L17" i="9"/>
  <c r="G17" i="9" s="1"/>
  <c r="J17" i="9"/>
  <c r="T55" i="9" s="1"/>
  <c r="I17" i="9"/>
  <c r="O16" i="9"/>
  <c r="T86" i="9" s="1"/>
  <c r="N16" i="9"/>
  <c r="S86" i="9" s="1"/>
  <c r="L16" i="9"/>
  <c r="G16" i="9" s="1"/>
  <c r="J16" i="9"/>
  <c r="I16" i="9"/>
  <c r="S54" i="9" s="1"/>
  <c r="O15" i="9"/>
  <c r="T85" i="9" s="1"/>
  <c r="N15" i="9"/>
  <c r="S85" i="9" s="1"/>
  <c r="L15" i="9"/>
  <c r="G15" i="9" s="1"/>
  <c r="J15" i="9"/>
  <c r="T53" i="9" s="1"/>
  <c r="I15" i="9"/>
  <c r="S53" i="9" s="1"/>
  <c r="O14" i="9"/>
  <c r="T84" i="9" s="1"/>
  <c r="N14" i="9"/>
  <c r="S84" i="9" s="1"/>
  <c r="L14" i="9"/>
  <c r="G14" i="9" s="1"/>
  <c r="J14" i="9"/>
  <c r="T52" i="9" s="1"/>
  <c r="I14" i="9"/>
  <c r="S52" i="9" s="1"/>
  <c r="O13" i="9"/>
  <c r="N13" i="9"/>
  <c r="S83" i="9" s="1"/>
  <c r="L13" i="9"/>
  <c r="J13" i="9"/>
  <c r="T51" i="9" s="1"/>
  <c r="I13" i="9"/>
  <c r="O12" i="9"/>
  <c r="T82" i="9" s="1"/>
  <c r="N12" i="9"/>
  <c r="J12" i="9"/>
  <c r="T50" i="9" s="1"/>
  <c r="I12" i="9"/>
  <c r="S50" i="9" s="1"/>
  <c r="G12" i="9"/>
  <c r="O11" i="9"/>
  <c r="T81" i="9" s="1"/>
  <c r="N11" i="9"/>
  <c r="J11" i="9"/>
  <c r="T49" i="9" s="1"/>
  <c r="I11" i="9"/>
  <c r="S49" i="9" s="1"/>
  <c r="O10" i="9"/>
  <c r="T80" i="9" s="1"/>
  <c r="N10" i="9"/>
  <c r="S80" i="9" s="1"/>
  <c r="J10" i="9"/>
  <c r="I10" i="9"/>
  <c r="O9" i="9"/>
  <c r="N9" i="9"/>
  <c r="S79" i="9" s="1"/>
  <c r="J9" i="9"/>
  <c r="T47" i="9" s="1"/>
  <c r="I9" i="9"/>
  <c r="S47" i="9" s="1"/>
  <c r="O8" i="9"/>
  <c r="T78" i="9" s="1"/>
  <c r="N8" i="9"/>
  <c r="S78" i="9" s="1"/>
  <c r="I8" i="9"/>
  <c r="O7" i="9"/>
  <c r="T77" i="9" s="1"/>
  <c r="N7" i="9"/>
  <c r="S77" i="9" s="1"/>
  <c r="J7" i="9"/>
  <c r="T45" i="9" s="1"/>
  <c r="I7" i="9"/>
  <c r="S45" i="9" s="1"/>
  <c r="B33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I97" i="7"/>
  <c r="C97" i="7"/>
  <c r="L34" i="6" s="1"/>
  <c r="I95" i="7"/>
  <c r="C95" i="7"/>
  <c r="I94" i="7"/>
  <c r="C94" i="7"/>
  <c r="I93" i="7"/>
  <c r="C93" i="7"/>
  <c r="L30" i="6" s="1"/>
  <c r="R97" i="6" s="1"/>
  <c r="W85" i="6" s="1"/>
  <c r="I92" i="7"/>
  <c r="C92" i="7"/>
  <c r="L29" i="6" s="1"/>
  <c r="K29" i="6" s="1"/>
  <c r="I91" i="7"/>
  <c r="C91" i="7"/>
  <c r="L28" i="6" s="1"/>
  <c r="R95" i="6" s="1"/>
  <c r="I90" i="7"/>
  <c r="C90" i="7"/>
  <c r="I89" i="7"/>
  <c r="C89" i="7"/>
  <c r="L26" i="6" s="1"/>
  <c r="R93" i="6" s="1"/>
  <c r="I88" i="7"/>
  <c r="N25" i="6"/>
  <c r="C88" i="7"/>
  <c r="I87" i="7"/>
  <c r="C87" i="7"/>
  <c r="L24" i="6" s="1"/>
  <c r="R91" i="6" s="1"/>
  <c r="I86" i="7"/>
  <c r="C86" i="7"/>
  <c r="L23" i="6" s="1"/>
  <c r="R90" i="6" s="1"/>
  <c r="W78" i="6" s="1"/>
  <c r="I85" i="7"/>
  <c r="C85" i="7"/>
  <c r="L22" i="6" s="1"/>
  <c r="R89" i="6" s="1"/>
  <c r="W77" i="6" s="1"/>
  <c r="I84" i="7"/>
  <c r="N21" i="6" s="1"/>
  <c r="C84" i="7"/>
  <c r="L21" i="6" s="1"/>
  <c r="R88" i="6" s="1"/>
  <c r="I83" i="7"/>
  <c r="C83" i="7"/>
  <c r="L20" i="6" s="1"/>
  <c r="R87" i="6" s="1"/>
  <c r="I82" i="7"/>
  <c r="C82" i="7"/>
  <c r="L19" i="6" s="1"/>
  <c r="R86" i="6" s="1"/>
  <c r="I81" i="7"/>
  <c r="N18" i="6" s="1"/>
  <c r="S85" i="6" s="1"/>
  <c r="C81" i="7"/>
  <c r="L18" i="6" s="1"/>
  <c r="R85" i="6" s="1"/>
  <c r="I80" i="7"/>
  <c r="N17" i="6" s="1"/>
  <c r="S84" i="6" s="1"/>
  <c r="X76" i="6" s="1"/>
  <c r="C80" i="7"/>
  <c r="L17" i="6" s="1"/>
  <c r="R84" i="6" s="1"/>
  <c r="I79" i="7"/>
  <c r="N16" i="6" s="1"/>
  <c r="C79" i="7"/>
  <c r="L16" i="6" s="1"/>
  <c r="R83" i="6" s="1"/>
  <c r="I78" i="7"/>
  <c r="N15" i="6" s="1"/>
  <c r="C78" i="7"/>
  <c r="L15" i="6" s="1"/>
  <c r="I77" i="7"/>
  <c r="N14" i="6" s="1"/>
  <c r="S81" i="6" s="1"/>
  <c r="C77" i="7"/>
  <c r="I76" i="7"/>
  <c r="N13" i="6" s="1"/>
  <c r="C76" i="7"/>
  <c r="L13" i="6" s="1"/>
  <c r="I74" i="7"/>
  <c r="F74" i="7"/>
  <c r="M11" i="6" s="1"/>
  <c r="C74" i="7"/>
  <c r="I73" i="7"/>
  <c r="F73" i="7"/>
  <c r="M10" i="6" s="1"/>
  <c r="C73" i="7"/>
  <c r="I72" i="7"/>
  <c r="N9" i="6" s="1"/>
  <c r="S77" i="6" s="1"/>
  <c r="F72" i="7"/>
  <c r="M9" i="6" s="1"/>
  <c r="C72" i="7"/>
  <c r="I71" i="7"/>
  <c r="N8" i="6" s="1"/>
  <c r="F71" i="7"/>
  <c r="M8" i="6" s="1"/>
  <c r="C71" i="7"/>
  <c r="L8" i="6" s="1"/>
  <c r="J70" i="7"/>
  <c r="I70" i="7" s="1"/>
  <c r="F70" i="7"/>
  <c r="M7" i="6" s="1"/>
  <c r="C70" i="7"/>
  <c r="K69" i="7"/>
  <c r="J69" i="7"/>
  <c r="F69" i="7"/>
  <c r="M6" i="6" s="1"/>
  <c r="C69" i="7"/>
  <c r="K35" i="7"/>
  <c r="C35" i="7"/>
  <c r="H34" i="6" s="1"/>
  <c r="K33" i="7"/>
  <c r="C33" i="7"/>
  <c r="H32" i="6" s="1"/>
  <c r="K32" i="7"/>
  <c r="C32" i="7"/>
  <c r="H31" i="6" s="1"/>
  <c r="R67" i="6" s="1"/>
  <c r="K31" i="7"/>
  <c r="C31" i="7"/>
  <c r="H30" i="6" s="1"/>
  <c r="G30" i="6" s="1"/>
  <c r="Q66" i="6" s="1"/>
  <c r="V54" i="6" s="1"/>
  <c r="K30" i="7"/>
  <c r="C30" i="7"/>
  <c r="H29" i="6" s="1"/>
  <c r="R65" i="6" s="1"/>
  <c r="W53" i="6" s="1"/>
  <c r="K29" i="7"/>
  <c r="C29" i="7"/>
  <c r="H28" i="6" s="1"/>
  <c r="K28" i="7"/>
  <c r="C28" i="7"/>
  <c r="H27" i="6" s="1"/>
  <c r="K27" i="7"/>
  <c r="C27" i="7"/>
  <c r="H26" i="6" s="1"/>
  <c r="G26" i="6" s="1"/>
  <c r="Q62" i="6" s="1"/>
  <c r="V50" i="6" s="1"/>
  <c r="K26" i="7"/>
  <c r="J25" i="6" s="1"/>
  <c r="S61" i="6" s="1"/>
  <c r="X49" i="6" s="1"/>
  <c r="C26" i="7"/>
  <c r="K25" i="7"/>
  <c r="J24" i="6" s="1"/>
  <c r="C25" i="7"/>
  <c r="H24" i="6" s="1"/>
  <c r="K24" i="7"/>
  <c r="J23" i="6" s="1"/>
  <c r="S59" i="6" s="1"/>
  <c r="X47" i="6" s="1"/>
  <c r="C24" i="7"/>
  <c r="H23" i="6" s="1"/>
  <c r="K23" i="7"/>
  <c r="J22" i="6" s="1"/>
  <c r="C23" i="7"/>
  <c r="H22" i="6" s="1"/>
  <c r="K22" i="7"/>
  <c r="J21" i="6" s="1"/>
  <c r="S57" i="6" s="1"/>
  <c r="C22" i="7"/>
  <c r="H21" i="6" s="1"/>
  <c r="K21" i="7"/>
  <c r="J20" i="6" s="1"/>
  <c r="S56" i="6" s="1"/>
  <c r="C21" i="7"/>
  <c r="K20" i="7"/>
  <c r="J19" i="6" s="1"/>
  <c r="C20" i="7"/>
  <c r="H19" i="6" s="1"/>
  <c r="K19" i="7"/>
  <c r="C19" i="7"/>
  <c r="H18" i="6" s="1"/>
  <c r="K18" i="7"/>
  <c r="C18" i="7"/>
  <c r="K17" i="7"/>
  <c r="C17" i="7"/>
  <c r="H16" i="6" s="1"/>
  <c r="K16" i="7"/>
  <c r="J15" i="6" s="1"/>
  <c r="C16" i="7"/>
  <c r="H15" i="6" s="1"/>
  <c r="R51" i="6" s="1"/>
  <c r="K15" i="7"/>
  <c r="C15" i="7"/>
  <c r="H14" i="6" s="1"/>
  <c r="K14" i="7"/>
  <c r="J13" i="6" s="1"/>
  <c r="F13" i="6" s="1"/>
  <c r="C14" i="7"/>
  <c r="H13" i="6" s="1"/>
  <c r="K11" i="7"/>
  <c r="S42" i="7" s="1"/>
  <c r="H11" i="7"/>
  <c r="I11" i="6" s="1"/>
  <c r="C11" i="7"/>
  <c r="R42" i="7" s="1"/>
  <c r="K10" i="7"/>
  <c r="J10" i="6" s="1"/>
  <c r="H10" i="7"/>
  <c r="C10" i="7"/>
  <c r="K9" i="7"/>
  <c r="J9" i="6" s="1"/>
  <c r="H9" i="7"/>
  <c r="C9" i="7"/>
  <c r="K8" i="7"/>
  <c r="J8" i="6" s="1"/>
  <c r="S45" i="6" s="1"/>
  <c r="H8" i="7"/>
  <c r="I8" i="6" s="1"/>
  <c r="C8" i="7"/>
  <c r="H8" i="6" s="1"/>
  <c r="M7" i="7"/>
  <c r="L7" i="7"/>
  <c r="H7" i="7"/>
  <c r="I7" i="6" s="1"/>
  <c r="C7" i="7"/>
  <c r="M6" i="7"/>
  <c r="L6" i="7"/>
  <c r="H6" i="7"/>
  <c r="I6" i="6" s="1"/>
  <c r="C6" i="7"/>
  <c r="R41" i="7" s="1"/>
  <c r="S99" i="6"/>
  <c r="X87" i="6" s="1"/>
  <c r="S98" i="6"/>
  <c r="X86" i="6" s="1"/>
  <c r="S97" i="6"/>
  <c r="X85" i="6" s="1"/>
  <c r="S96" i="6"/>
  <c r="X84" i="6" s="1"/>
  <c r="S95" i="6"/>
  <c r="X83" i="6" s="1"/>
  <c r="W83" i="6"/>
  <c r="S94" i="6"/>
  <c r="X82" i="6" s="1"/>
  <c r="S93" i="6"/>
  <c r="X81" i="6" s="1"/>
  <c r="W81" i="6"/>
  <c r="S68" i="6"/>
  <c r="X56" i="6" s="1"/>
  <c r="S67" i="6"/>
  <c r="X55" i="6" s="1"/>
  <c r="W55" i="6"/>
  <c r="S66" i="6"/>
  <c r="X54" i="6" s="1"/>
  <c r="S65" i="6"/>
  <c r="X53" i="6" s="1"/>
  <c r="S64" i="6"/>
  <c r="X52" i="6" s="1"/>
  <c r="S63" i="6"/>
  <c r="X51" i="6" s="1"/>
  <c r="S62" i="6"/>
  <c r="X50" i="6" s="1"/>
  <c r="G34" i="6"/>
  <c r="Q70" i="6" s="1"/>
  <c r="V58" i="6" s="1"/>
  <c r="F34" i="6"/>
  <c r="S32" i="6"/>
  <c r="X19" i="6" s="1"/>
  <c r="F31" i="6"/>
  <c r="S31" i="6" s="1"/>
  <c r="X18" i="6" s="1"/>
  <c r="F30" i="6"/>
  <c r="S30" i="6" s="1"/>
  <c r="X17" i="6" s="1"/>
  <c r="F29" i="6"/>
  <c r="S29" i="6" s="1"/>
  <c r="X16" i="6" s="1"/>
  <c r="K28" i="6"/>
  <c r="Q95" i="6" s="1"/>
  <c r="V83" i="6" s="1"/>
  <c r="G28" i="6"/>
  <c r="Q64" i="6" s="1"/>
  <c r="V52" i="6" s="1"/>
  <c r="F28" i="6"/>
  <c r="S28" i="6" s="1"/>
  <c r="X15" i="6" s="1"/>
  <c r="G27" i="6"/>
  <c r="Q63" i="6" s="1"/>
  <c r="V51" i="6" s="1"/>
  <c r="F27" i="6"/>
  <c r="S27" i="6" s="1"/>
  <c r="X14" i="6" s="1"/>
  <c r="K26" i="6"/>
  <c r="Q93" i="6" s="1"/>
  <c r="V81" i="6" s="1"/>
  <c r="F26" i="6"/>
  <c r="S26" i="6" s="1"/>
  <c r="X13" i="6" s="1"/>
  <c r="N20" i="6"/>
  <c r="N19" i="6"/>
  <c r="S86" i="6" s="1"/>
  <c r="J18" i="6"/>
  <c r="S54" i="6" s="1"/>
  <c r="N10" i="6"/>
  <c r="S78" i="6" s="1"/>
  <c r="L7" i="6"/>
  <c r="L6" i="6"/>
  <c r="T106" i="5"/>
  <c r="AA94" i="5" s="1"/>
  <c r="S106" i="5"/>
  <c r="Z94" i="5" s="1"/>
  <c r="T105" i="5"/>
  <c r="AA93" i="5" s="1"/>
  <c r="S105" i="5"/>
  <c r="Z93" i="5" s="1"/>
  <c r="T104" i="5"/>
  <c r="AA92" i="5" s="1"/>
  <c r="S104" i="5"/>
  <c r="Z92" i="5" s="1"/>
  <c r="T103" i="5"/>
  <c r="AA91" i="5" s="1"/>
  <c r="S103" i="5"/>
  <c r="Z91" i="5" s="1"/>
  <c r="T102" i="5"/>
  <c r="AA90" i="5" s="1"/>
  <c r="S102" i="5"/>
  <c r="Z90" i="5" s="1"/>
  <c r="T101" i="5"/>
  <c r="AA89" i="5" s="1"/>
  <c r="S101" i="5"/>
  <c r="Z89" i="5" s="1"/>
  <c r="T100" i="5"/>
  <c r="AA88" i="5" s="1"/>
  <c r="S100" i="5"/>
  <c r="Z88" i="5" s="1"/>
  <c r="T99" i="5"/>
  <c r="AA87" i="5" s="1"/>
  <c r="S99" i="5"/>
  <c r="Z87" i="5" s="1"/>
  <c r="T98" i="5"/>
  <c r="AA86" i="5" s="1"/>
  <c r="S98" i="5"/>
  <c r="Z86" i="5" s="1"/>
  <c r="T97" i="5"/>
  <c r="AA85" i="5" s="1"/>
  <c r="S97" i="5"/>
  <c r="Z85" i="5" s="1"/>
  <c r="T96" i="5"/>
  <c r="AA84" i="5" s="1"/>
  <c r="S96" i="5"/>
  <c r="Z84" i="5" s="1"/>
  <c r="T95" i="5"/>
  <c r="S95" i="5"/>
  <c r="T94" i="5"/>
  <c r="S94" i="5"/>
  <c r="T93" i="5"/>
  <c r="S93" i="5"/>
  <c r="T92" i="5"/>
  <c r="S92" i="5"/>
  <c r="T91" i="5"/>
  <c r="AA83" i="5" s="1"/>
  <c r="S91" i="5"/>
  <c r="Z83" i="5" s="1"/>
  <c r="T90" i="5"/>
  <c r="S90" i="5"/>
  <c r="T89" i="5"/>
  <c r="S89" i="5"/>
  <c r="T88" i="5"/>
  <c r="S88" i="5"/>
  <c r="T87" i="5"/>
  <c r="S87" i="5"/>
  <c r="T86" i="5"/>
  <c r="AA82" i="5" s="1"/>
  <c r="S86" i="5"/>
  <c r="Z82" i="5" s="1"/>
  <c r="T85" i="5"/>
  <c r="S85" i="5"/>
  <c r="T84" i="5"/>
  <c r="S84" i="5"/>
  <c r="T83" i="5"/>
  <c r="S83" i="5"/>
  <c r="T82" i="5"/>
  <c r="S82" i="5"/>
  <c r="T81" i="5"/>
  <c r="AA81" i="5" s="1"/>
  <c r="S81" i="5"/>
  <c r="Z81" i="5" s="1"/>
  <c r="V67" i="5"/>
  <c r="AC55" i="5" s="1"/>
  <c r="U67" i="5"/>
  <c r="AB55" i="5" s="1"/>
  <c r="T67" i="5"/>
  <c r="AA55" i="5" s="1"/>
  <c r="S67" i="5"/>
  <c r="Z55" i="5" s="1"/>
  <c r="V66" i="5"/>
  <c r="AC54" i="5" s="1"/>
  <c r="U66" i="5"/>
  <c r="AB54" i="5" s="1"/>
  <c r="T66" i="5"/>
  <c r="AA54" i="5" s="1"/>
  <c r="S66" i="5"/>
  <c r="Z54" i="5" s="1"/>
  <c r="V65" i="5"/>
  <c r="AC53" i="5" s="1"/>
  <c r="U65" i="5"/>
  <c r="AB53" i="5" s="1"/>
  <c r="T65" i="5"/>
  <c r="AA53" i="5" s="1"/>
  <c r="S65" i="5"/>
  <c r="Z53" i="5" s="1"/>
  <c r="V64" i="5"/>
  <c r="AC52" i="5" s="1"/>
  <c r="U64" i="5"/>
  <c r="AB52" i="5" s="1"/>
  <c r="T64" i="5"/>
  <c r="AA52" i="5" s="1"/>
  <c r="S64" i="5"/>
  <c r="Z52" i="5" s="1"/>
  <c r="V63" i="5"/>
  <c r="AC51" i="5" s="1"/>
  <c r="U63" i="5"/>
  <c r="AB51" i="5" s="1"/>
  <c r="T63" i="5"/>
  <c r="AA51" i="5" s="1"/>
  <c r="S63" i="5"/>
  <c r="Z51" i="5" s="1"/>
  <c r="V62" i="5"/>
  <c r="AC50" i="5" s="1"/>
  <c r="U62" i="5"/>
  <c r="AB50" i="5" s="1"/>
  <c r="T62" i="5"/>
  <c r="AA50" i="5" s="1"/>
  <c r="S62" i="5"/>
  <c r="Z50" i="5" s="1"/>
  <c r="V61" i="5"/>
  <c r="AC49" i="5" s="1"/>
  <c r="U61" i="5"/>
  <c r="AB49" i="5" s="1"/>
  <c r="T61" i="5"/>
  <c r="AA49" i="5" s="1"/>
  <c r="S61" i="5"/>
  <c r="Z49" i="5" s="1"/>
  <c r="U60" i="5"/>
  <c r="AB48" i="5" s="1"/>
  <c r="T60" i="5"/>
  <c r="AA48" i="5" s="1"/>
  <c r="S60" i="5"/>
  <c r="Z48" i="5" s="1"/>
  <c r="U59" i="5"/>
  <c r="AB47" i="5" s="1"/>
  <c r="T59" i="5"/>
  <c r="AA47" i="5" s="1"/>
  <c r="S59" i="5"/>
  <c r="Z47" i="5" s="1"/>
  <c r="T58" i="5"/>
  <c r="AA46" i="5" s="1"/>
  <c r="S58" i="5"/>
  <c r="Z46" i="5" s="1"/>
  <c r="T57" i="5"/>
  <c r="AA45" i="5" s="1"/>
  <c r="S57" i="5"/>
  <c r="Z45" i="5" s="1"/>
  <c r="T56" i="5"/>
  <c r="S56" i="5"/>
  <c r="T55" i="5"/>
  <c r="S55" i="5"/>
  <c r="T54" i="5"/>
  <c r="S54" i="5"/>
  <c r="T53" i="5"/>
  <c r="S53" i="5"/>
  <c r="T52" i="5"/>
  <c r="AA44" i="5" s="1"/>
  <c r="S52" i="5"/>
  <c r="Z44" i="5" s="1"/>
  <c r="T51" i="5"/>
  <c r="S51" i="5"/>
  <c r="T50" i="5"/>
  <c r="S50" i="5"/>
  <c r="T49" i="5"/>
  <c r="S49" i="5"/>
  <c r="T48" i="5"/>
  <c r="S48" i="5"/>
  <c r="T47" i="5"/>
  <c r="AA43" i="5" s="1"/>
  <c r="S47" i="5"/>
  <c r="Z43" i="5" s="1"/>
  <c r="T46" i="5"/>
  <c r="S46" i="5"/>
  <c r="T45" i="5"/>
  <c r="S45" i="5"/>
  <c r="T44" i="5"/>
  <c r="S44" i="5"/>
  <c r="T43" i="5"/>
  <c r="S43" i="5"/>
  <c r="T42" i="5"/>
  <c r="AA42" i="5" s="1"/>
  <c r="S42" i="5"/>
  <c r="Z42" i="5" s="1"/>
  <c r="M34" i="5"/>
  <c r="H34" i="5"/>
  <c r="G34" i="5"/>
  <c r="F34" i="5"/>
  <c r="E34" i="5"/>
  <c r="D34" i="5"/>
  <c r="M32" i="5"/>
  <c r="R106" i="5" s="1"/>
  <c r="Y94" i="5" s="1"/>
  <c r="H32" i="5"/>
  <c r="R67" i="5" s="1"/>
  <c r="Y55" i="5" s="1"/>
  <c r="G32" i="5"/>
  <c r="V31" i="5" s="1"/>
  <c r="AC19" i="5" s="1"/>
  <c r="F32" i="5"/>
  <c r="U31" i="5" s="1"/>
  <c r="AB19" i="5" s="1"/>
  <c r="E32" i="5"/>
  <c r="T31" i="5" s="1"/>
  <c r="AA19" i="5" s="1"/>
  <c r="D32" i="5"/>
  <c r="S31" i="5" s="1"/>
  <c r="Z19" i="5" s="1"/>
  <c r="M31" i="5"/>
  <c r="R105" i="5" s="1"/>
  <c r="Y93" i="5" s="1"/>
  <c r="H31" i="5"/>
  <c r="R66" i="5" s="1"/>
  <c r="Y54" i="5" s="1"/>
  <c r="G31" i="5"/>
  <c r="V30" i="5" s="1"/>
  <c r="AC18" i="5" s="1"/>
  <c r="F31" i="5"/>
  <c r="U30" i="5" s="1"/>
  <c r="AB18" i="5" s="1"/>
  <c r="E31" i="5"/>
  <c r="T30" i="5" s="1"/>
  <c r="AA18" i="5" s="1"/>
  <c r="D31" i="5"/>
  <c r="S30" i="5" s="1"/>
  <c r="Z18" i="5" s="1"/>
  <c r="M30" i="5"/>
  <c r="R104" i="5" s="1"/>
  <c r="Y92" i="5" s="1"/>
  <c r="H30" i="5"/>
  <c r="R65" i="5" s="1"/>
  <c r="Y53" i="5" s="1"/>
  <c r="G30" i="5"/>
  <c r="V29" i="5" s="1"/>
  <c r="AC17" i="5" s="1"/>
  <c r="F30" i="5"/>
  <c r="U29" i="5" s="1"/>
  <c r="AB17" i="5" s="1"/>
  <c r="E30" i="5"/>
  <c r="T29" i="5" s="1"/>
  <c r="AA17" i="5" s="1"/>
  <c r="D30" i="5"/>
  <c r="M29" i="5"/>
  <c r="R103" i="5" s="1"/>
  <c r="Y91" i="5" s="1"/>
  <c r="H29" i="5"/>
  <c r="R64" i="5" s="1"/>
  <c r="Y52" i="5" s="1"/>
  <c r="G29" i="5"/>
  <c r="V28" i="5" s="1"/>
  <c r="AC16" i="5" s="1"/>
  <c r="F29" i="5"/>
  <c r="U28" i="5" s="1"/>
  <c r="AB16" i="5" s="1"/>
  <c r="E29" i="5"/>
  <c r="T28" i="5" s="1"/>
  <c r="AA16" i="5" s="1"/>
  <c r="D29" i="5"/>
  <c r="S28" i="5" s="1"/>
  <c r="Z16" i="5" s="1"/>
  <c r="M28" i="5"/>
  <c r="R102" i="5" s="1"/>
  <c r="Y90" i="5" s="1"/>
  <c r="H28" i="5"/>
  <c r="R63" i="5" s="1"/>
  <c r="Y51" i="5" s="1"/>
  <c r="G28" i="5"/>
  <c r="V27" i="5" s="1"/>
  <c r="AC15" i="5" s="1"/>
  <c r="F28" i="5"/>
  <c r="U27" i="5" s="1"/>
  <c r="AB15" i="5" s="1"/>
  <c r="E28" i="5"/>
  <c r="T27" i="5" s="1"/>
  <c r="AA15" i="5" s="1"/>
  <c r="D28" i="5"/>
  <c r="M27" i="5"/>
  <c r="R101" i="5" s="1"/>
  <c r="Y89" i="5" s="1"/>
  <c r="H27" i="5"/>
  <c r="R62" i="5" s="1"/>
  <c r="Y50" i="5" s="1"/>
  <c r="G27" i="5"/>
  <c r="V26" i="5" s="1"/>
  <c r="AC14" i="5" s="1"/>
  <c r="F27" i="5"/>
  <c r="U26" i="5" s="1"/>
  <c r="AB14" i="5" s="1"/>
  <c r="E27" i="5"/>
  <c r="T26" i="5" s="1"/>
  <c r="AA14" i="5" s="1"/>
  <c r="D27" i="5"/>
  <c r="S26" i="5" s="1"/>
  <c r="Z14" i="5" s="1"/>
  <c r="M26" i="5"/>
  <c r="R100" i="5" s="1"/>
  <c r="Y88" i="5" s="1"/>
  <c r="H26" i="5"/>
  <c r="R61" i="5" s="1"/>
  <c r="Y49" i="5" s="1"/>
  <c r="G26" i="5"/>
  <c r="V25" i="5" s="1"/>
  <c r="AC13" i="5" s="1"/>
  <c r="F26" i="5"/>
  <c r="U25" i="5" s="1"/>
  <c r="AB13" i="5" s="1"/>
  <c r="E26" i="5"/>
  <c r="T25" i="5" s="1"/>
  <c r="AA13" i="5" s="1"/>
  <c r="D26" i="5"/>
  <c r="S25" i="5" s="1"/>
  <c r="Z13" i="5" s="1"/>
  <c r="M25" i="5"/>
  <c r="R99" i="5" s="1"/>
  <c r="Y87" i="5" s="1"/>
  <c r="H25" i="5"/>
  <c r="R60" i="5" s="1"/>
  <c r="Y48" i="5" s="1"/>
  <c r="G25" i="5"/>
  <c r="F25" i="5"/>
  <c r="U24" i="5" s="1"/>
  <c r="AB12" i="5" s="1"/>
  <c r="E25" i="5"/>
  <c r="T24" i="5" s="1"/>
  <c r="AA12" i="5" s="1"/>
  <c r="D25" i="5"/>
  <c r="S24" i="5" s="1"/>
  <c r="Z12" i="5" s="1"/>
  <c r="M24" i="5"/>
  <c r="R98" i="5" s="1"/>
  <c r="Y86" i="5" s="1"/>
  <c r="H24" i="5"/>
  <c r="R59" i="5" s="1"/>
  <c r="Y47" i="5" s="1"/>
  <c r="G24" i="5"/>
  <c r="F24" i="5"/>
  <c r="U23" i="5" s="1"/>
  <c r="AB11" i="5" s="1"/>
  <c r="E24" i="5"/>
  <c r="T23" i="5" s="1"/>
  <c r="AA11" i="5" s="1"/>
  <c r="D24" i="5"/>
  <c r="M23" i="5"/>
  <c r="R97" i="5" s="1"/>
  <c r="Y85" i="5" s="1"/>
  <c r="H23" i="5"/>
  <c r="R58" i="5" s="1"/>
  <c r="Y46" i="5" s="1"/>
  <c r="G23" i="5"/>
  <c r="C23" i="5" s="1"/>
  <c r="R22" i="5" s="1"/>
  <c r="Y10" i="5" s="1"/>
  <c r="E23" i="5"/>
  <c r="D23" i="5"/>
  <c r="S22" i="5" s="1"/>
  <c r="Z10" i="5" s="1"/>
  <c r="M22" i="5"/>
  <c r="R96" i="5" s="1"/>
  <c r="Y84" i="5" s="1"/>
  <c r="H22" i="5"/>
  <c r="R57" i="5" s="1"/>
  <c r="Y45" i="5" s="1"/>
  <c r="G22" i="5"/>
  <c r="E22" i="5"/>
  <c r="T21" i="5" s="1"/>
  <c r="AA9" i="5" s="1"/>
  <c r="D22" i="5"/>
  <c r="M21" i="5"/>
  <c r="R95" i="5" s="1"/>
  <c r="H21" i="5"/>
  <c r="R56" i="5" s="1"/>
  <c r="G21" i="5"/>
  <c r="E21" i="5"/>
  <c r="T20" i="5" s="1"/>
  <c r="D21" i="5"/>
  <c r="S20" i="5" s="1"/>
  <c r="M20" i="5"/>
  <c r="R94" i="5" s="1"/>
  <c r="H20" i="5"/>
  <c r="R55" i="5" s="1"/>
  <c r="G20" i="5"/>
  <c r="E20" i="5"/>
  <c r="T19" i="5" s="1"/>
  <c r="D20" i="5"/>
  <c r="S19" i="5" s="1"/>
  <c r="M19" i="5"/>
  <c r="R93" i="5" s="1"/>
  <c r="H19" i="5"/>
  <c r="R54" i="5" s="1"/>
  <c r="G19" i="5"/>
  <c r="E19" i="5"/>
  <c r="T18" i="5" s="1"/>
  <c r="D19" i="5"/>
  <c r="S18" i="5" s="1"/>
  <c r="M18" i="5"/>
  <c r="R92" i="5" s="1"/>
  <c r="H18" i="5"/>
  <c r="R53" i="5" s="1"/>
  <c r="G18" i="5"/>
  <c r="E18" i="5"/>
  <c r="T17" i="5" s="1"/>
  <c r="D18" i="5"/>
  <c r="S17" i="5" s="1"/>
  <c r="M17" i="5"/>
  <c r="R91" i="5" s="1"/>
  <c r="Y83" i="5" s="1"/>
  <c r="H17" i="5"/>
  <c r="R52" i="5" s="1"/>
  <c r="Y44" i="5" s="1"/>
  <c r="G17" i="5"/>
  <c r="E17" i="5"/>
  <c r="T16" i="5" s="1"/>
  <c r="AA8" i="5" s="1"/>
  <c r="D17" i="5"/>
  <c r="S16" i="5" s="1"/>
  <c r="Z8" i="5" s="1"/>
  <c r="M16" i="5"/>
  <c r="R90" i="5" s="1"/>
  <c r="H16" i="5"/>
  <c r="R51" i="5" s="1"/>
  <c r="G16" i="5"/>
  <c r="E16" i="5"/>
  <c r="T15" i="5" s="1"/>
  <c r="D16" i="5"/>
  <c r="M15" i="5"/>
  <c r="R89" i="5" s="1"/>
  <c r="H15" i="5"/>
  <c r="R50" i="5" s="1"/>
  <c r="G15" i="5"/>
  <c r="E15" i="5"/>
  <c r="T14" i="5" s="1"/>
  <c r="D15" i="5"/>
  <c r="S14" i="5" s="1"/>
  <c r="M14" i="5"/>
  <c r="R88" i="5" s="1"/>
  <c r="H14" i="5"/>
  <c r="R49" i="5" s="1"/>
  <c r="G14" i="5"/>
  <c r="E14" i="5"/>
  <c r="T13" i="5" s="1"/>
  <c r="D14" i="5"/>
  <c r="S13" i="5" s="1"/>
  <c r="M13" i="5"/>
  <c r="R87" i="5" s="1"/>
  <c r="H13" i="5"/>
  <c r="R48" i="5" s="1"/>
  <c r="E13" i="5"/>
  <c r="D13" i="5"/>
  <c r="S12" i="5" s="1"/>
  <c r="M12" i="5"/>
  <c r="R86" i="5" s="1"/>
  <c r="Y82" i="5" s="1"/>
  <c r="H12" i="5"/>
  <c r="R47" i="5" s="1"/>
  <c r="Y43" i="5" s="1"/>
  <c r="G12" i="5"/>
  <c r="E12" i="5"/>
  <c r="T11" i="5" s="1"/>
  <c r="AA7" i="5" s="1"/>
  <c r="D12" i="5"/>
  <c r="S11" i="5" s="1"/>
  <c r="Z7" i="5" s="1"/>
  <c r="M11" i="5"/>
  <c r="R85" i="5" s="1"/>
  <c r="H11" i="5"/>
  <c r="R46" i="5" s="1"/>
  <c r="E11" i="5"/>
  <c r="T10" i="5" s="1"/>
  <c r="D11" i="5"/>
  <c r="M10" i="5"/>
  <c r="R84" i="5" s="1"/>
  <c r="H10" i="5"/>
  <c r="R45" i="5" s="1"/>
  <c r="E10" i="5"/>
  <c r="T9" i="5" s="1"/>
  <c r="D10" i="5"/>
  <c r="S9" i="5" s="1"/>
  <c r="M9" i="5"/>
  <c r="R83" i="5" s="1"/>
  <c r="H9" i="5"/>
  <c r="R44" i="5" s="1"/>
  <c r="E9" i="5"/>
  <c r="T8" i="5" s="1"/>
  <c r="D9" i="5"/>
  <c r="S8" i="5" s="1"/>
  <c r="M8" i="5"/>
  <c r="R82" i="5" s="1"/>
  <c r="H8" i="5"/>
  <c r="R43" i="5" s="1"/>
  <c r="E8" i="5"/>
  <c r="T7" i="5" s="1"/>
  <c r="D8" i="5"/>
  <c r="S7" i="5" s="1"/>
  <c r="M7" i="5"/>
  <c r="R81" i="5" s="1"/>
  <c r="Y81" i="5" s="1"/>
  <c r="H7" i="5"/>
  <c r="R42" i="5" s="1"/>
  <c r="Y42" i="5" s="1"/>
  <c r="E7" i="5"/>
  <c r="D7" i="5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1" i="4"/>
  <c r="U91" i="4"/>
  <c r="T91" i="4"/>
  <c r="V90" i="4"/>
  <c r="U90" i="4"/>
  <c r="T90" i="4"/>
  <c r="V89" i="4"/>
  <c r="U89" i="4"/>
  <c r="T89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82" i="4"/>
  <c r="U82" i="4"/>
  <c r="T82" i="4"/>
  <c r="V81" i="4"/>
  <c r="U81" i="4"/>
  <c r="T81" i="4"/>
  <c r="V80" i="4"/>
  <c r="U80" i="4"/>
  <c r="T80" i="4"/>
  <c r="V79" i="4"/>
  <c r="U79" i="4"/>
  <c r="T79" i="4"/>
  <c r="V78" i="4"/>
  <c r="U78" i="4"/>
  <c r="T78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71" i="4"/>
  <c r="U71" i="4"/>
  <c r="T71" i="4"/>
  <c r="V68" i="4"/>
  <c r="U68" i="4"/>
  <c r="T68" i="4"/>
  <c r="V67" i="4"/>
  <c r="U67" i="4"/>
  <c r="T67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60" i="4"/>
  <c r="U60" i="4"/>
  <c r="T60" i="4"/>
  <c r="V59" i="4"/>
  <c r="U59" i="4"/>
  <c r="T59" i="4"/>
  <c r="V58" i="4"/>
  <c r="U58" i="4"/>
  <c r="T58" i="4"/>
  <c r="V57" i="4"/>
  <c r="U57" i="4"/>
  <c r="T57" i="4"/>
  <c r="V56" i="4"/>
  <c r="U56" i="4"/>
  <c r="T56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9" i="4"/>
  <c r="U49" i="4"/>
  <c r="T49" i="4"/>
  <c r="V48" i="4"/>
  <c r="U48" i="4"/>
  <c r="T48" i="4"/>
  <c r="L34" i="4"/>
  <c r="L37" i="4" s="1"/>
  <c r="H34" i="4"/>
  <c r="G34" i="4"/>
  <c r="G37" i="4" s="1"/>
  <c r="F34" i="4"/>
  <c r="F37" i="4" s="1"/>
  <c r="E34" i="4"/>
  <c r="E37" i="4" s="1"/>
  <c r="L33" i="4"/>
  <c r="U33" i="4" s="1"/>
  <c r="H33" i="4"/>
  <c r="T33" i="4" s="1"/>
  <c r="G33" i="4"/>
  <c r="F33" i="4"/>
  <c r="T120" i="4" s="1"/>
  <c r="E33" i="4"/>
  <c r="L32" i="4"/>
  <c r="U32" i="4" s="1"/>
  <c r="H32" i="4"/>
  <c r="T32" i="4" s="1"/>
  <c r="G32" i="4"/>
  <c r="U119" i="4" s="1"/>
  <c r="F32" i="4"/>
  <c r="T119" i="4" s="1"/>
  <c r="E32" i="4"/>
  <c r="S119" i="4" s="1"/>
  <c r="L31" i="4"/>
  <c r="U31" i="4" s="1"/>
  <c r="H31" i="4"/>
  <c r="T31" i="4" s="1"/>
  <c r="G31" i="4"/>
  <c r="U118" i="4" s="1"/>
  <c r="F31" i="4"/>
  <c r="T118" i="4" s="1"/>
  <c r="E31" i="4"/>
  <c r="S118" i="4" s="1"/>
  <c r="L30" i="4"/>
  <c r="H30" i="4"/>
  <c r="G30" i="4"/>
  <c r="F30" i="4"/>
  <c r="E30" i="4"/>
  <c r="E38" i="4" s="1"/>
  <c r="L29" i="4"/>
  <c r="U29" i="4" s="1"/>
  <c r="H29" i="4"/>
  <c r="T29" i="4" s="1"/>
  <c r="G29" i="4"/>
  <c r="F29" i="4"/>
  <c r="E29" i="4"/>
  <c r="L28" i="4"/>
  <c r="U28" i="4" s="1"/>
  <c r="H28" i="4"/>
  <c r="T28" i="4" s="1"/>
  <c r="G28" i="4"/>
  <c r="U115" i="4" s="1"/>
  <c r="F28" i="4"/>
  <c r="T115" i="4" s="1"/>
  <c r="E28" i="4"/>
  <c r="L27" i="4"/>
  <c r="U27" i="4" s="1"/>
  <c r="H27" i="4"/>
  <c r="S67" i="4" s="1"/>
  <c r="G27" i="4"/>
  <c r="U114" i="4" s="1"/>
  <c r="F27" i="4"/>
  <c r="T114" i="4" s="1"/>
  <c r="E27" i="4"/>
  <c r="S114" i="4" s="1"/>
  <c r="L26" i="4"/>
  <c r="S89" i="4" s="1"/>
  <c r="U26" i="4"/>
  <c r="H26" i="4"/>
  <c r="G26" i="4"/>
  <c r="U113" i="4" s="1"/>
  <c r="F26" i="4"/>
  <c r="T113" i="4" s="1"/>
  <c r="E26" i="4"/>
  <c r="S113" i="4" s="1"/>
  <c r="L25" i="4"/>
  <c r="H25" i="4"/>
  <c r="G25" i="4"/>
  <c r="F25" i="4"/>
  <c r="E25" i="4"/>
  <c r="L24" i="4"/>
  <c r="S87" i="4" s="1"/>
  <c r="H24" i="4"/>
  <c r="T24" i="4" s="1"/>
  <c r="G24" i="4"/>
  <c r="F24" i="4"/>
  <c r="T111" i="4" s="1"/>
  <c r="E24" i="4"/>
  <c r="S111" i="4" s="1"/>
  <c r="L23" i="4"/>
  <c r="S86" i="4" s="1"/>
  <c r="H23" i="4"/>
  <c r="T23" i="4" s="1"/>
  <c r="G23" i="4"/>
  <c r="U110" i="4" s="1"/>
  <c r="F23" i="4"/>
  <c r="T110" i="4" s="1"/>
  <c r="E23" i="4"/>
  <c r="S110" i="4" s="1"/>
  <c r="L22" i="4"/>
  <c r="S85" i="4" s="1"/>
  <c r="H22" i="4"/>
  <c r="T22" i="4" s="1"/>
  <c r="G22" i="4"/>
  <c r="U109" i="4" s="1"/>
  <c r="F22" i="4"/>
  <c r="E22" i="4"/>
  <c r="S109" i="4" s="1"/>
  <c r="L21" i="4"/>
  <c r="S84" i="4" s="1"/>
  <c r="H21" i="4"/>
  <c r="G21" i="4"/>
  <c r="U108" i="4" s="1"/>
  <c r="F21" i="4"/>
  <c r="T108" i="4" s="1"/>
  <c r="E21" i="4"/>
  <c r="S108" i="4" s="1"/>
  <c r="L20" i="4"/>
  <c r="U20" i="4" s="1"/>
  <c r="H20" i="4"/>
  <c r="S60" i="4" s="1"/>
  <c r="G20" i="4"/>
  <c r="U107" i="4" s="1"/>
  <c r="F20" i="4"/>
  <c r="T107" i="4" s="1"/>
  <c r="E20" i="4"/>
  <c r="L19" i="4"/>
  <c r="S82" i="4" s="1"/>
  <c r="H19" i="4"/>
  <c r="G19" i="4"/>
  <c r="U106" i="4" s="1"/>
  <c r="F19" i="4"/>
  <c r="T106" i="4" s="1"/>
  <c r="E19" i="4"/>
  <c r="S106" i="4" s="1"/>
  <c r="L18" i="4"/>
  <c r="U18" i="4" s="1"/>
  <c r="H18" i="4"/>
  <c r="S58" i="4" s="1"/>
  <c r="G18" i="4"/>
  <c r="U105" i="4" s="1"/>
  <c r="F18" i="4"/>
  <c r="T105" i="4" s="1"/>
  <c r="E18" i="4"/>
  <c r="S105" i="4" s="1"/>
  <c r="L17" i="4"/>
  <c r="S80" i="4" s="1"/>
  <c r="H17" i="4"/>
  <c r="T17" i="4" s="1"/>
  <c r="G17" i="4"/>
  <c r="U104" i="4" s="1"/>
  <c r="F17" i="4"/>
  <c r="T104" i="4" s="1"/>
  <c r="E17" i="4"/>
  <c r="L16" i="4"/>
  <c r="U16" i="4" s="1"/>
  <c r="H16" i="4"/>
  <c r="G16" i="4"/>
  <c r="U103" i="4" s="1"/>
  <c r="F16" i="4"/>
  <c r="T103" i="4" s="1"/>
  <c r="E16" i="4"/>
  <c r="L15" i="4"/>
  <c r="S78" i="4" s="1"/>
  <c r="H15" i="4"/>
  <c r="T15" i="4" s="1"/>
  <c r="G15" i="4"/>
  <c r="U102" i="4" s="1"/>
  <c r="F15" i="4"/>
  <c r="T102" i="4" s="1"/>
  <c r="E15" i="4"/>
  <c r="S102" i="4" s="1"/>
  <c r="L14" i="4"/>
  <c r="H14" i="4"/>
  <c r="S54" i="4" s="1"/>
  <c r="G14" i="4"/>
  <c r="U101" i="4" s="1"/>
  <c r="F14" i="4"/>
  <c r="T101" i="4" s="1"/>
  <c r="E14" i="4"/>
  <c r="S101" i="4" s="1"/>
  <c r="L13" i="4"/>
  <c r="U13" i="4" s="1"/>
  <c r="H13" i="4"/>
  <c r="S53" i="4" s="1"/>
  <c r="G13" i="4"/>
  <c r="U100" i="4" s="1"/>
  <c r="F13" i="4"/>
  <c r="T100" i="4" s="1"/>
  <c r="E13" i="4"/>
  <c r="L12" i="4"/>
  <c r="H12" i="4"/>
  <c r="S52" i="4" s="1"/>
  <c r="G12" i="4"/>
  <c r="U99" i="4" s="1"/>
  <c r="F12" i="4"/>
  <c r="T99" i="4" s="1"/>
  <c r="E12" i="4"/>
  <c r="L11" i="4"/>
  <c r="S74" i="4" s="1"/>
  <c r="H11" i="4"/>
  <c r="T11" i="4" s="1"/>
  <c r="G11" i="4"/>
  <c r="U98" i="4" s="1"/>
  <c r="F11" i="4"/>
  <c r="T98" i="4" s="1"/>
  <c r="E11" i="4"/>
  <c r="S98" i="4" s="1"/>
  <c r="L10" i="4"/>
  <c r="S73" i="4" s="1"/>
  <c r="H10" i="4"/>
  <c r="S50" i="4" s="1"/>
  <c r="G10" i="4"/>
  <c r="U97" i="4" s="1"/>
  <c r="F10" i="4"/>
  <c r="T97" i="4" s="1"/>
  <c r="E10" i="4"/>
  <c r="L9" i="4"/>
  <c r="U9" i="4" s="1"/>
  <c r="H9" i="4"/>
  <c r="S49" i="4" s="1"/>
  <c r="G9" i="4"/>
  <c r="U96" i="4" s="1"/>
  <c r="F9" i="4"/>
  <c r="T96" i="4" s="1"/>
  <c r="E9" i="4"/>
  <c r="S96" i="4" s="1"/>
  <c r="L8" i="4"/>
  <c r="U8" i="4" s="1"/>
  <c r="H8" i="4"/>
  <c r="T8" i="4" s="1"/>
  <c r="G8" i="4"/>
  <c r="U95" i="4" s="1"/>
  <c r="F8" i="4"/>
  <c r="T95" i="4" s="1"/>
  <c r="E8" i="4"/>
  <c r="S95" i="4" s="1"/>
  <c r="M90" i="3"/>
  <c r="E90" i="3" s="1"/>
  <c r="E93" i="3" s="1"/>
  <c r="M89" i="3"/>
  <c r="E89" i="3" s="1"/>
  <c r="M88" i="3"/>
  <c r="E88" i="3" s="1"/>
  <c r="M87" i="3"/>
  <c r="E87" i="3" s="1"/>
  <c r="M86" i="3"/>
  <c r="E86" i="3" s="1"/>
  <c r="E94" i="3" s="1"/>
  <c r="M85" i="3"/>
  <c r="E85" i="3" s="1"/>
  <c r="M84" i="3"/>
  <c r="E84" i="3" s="1"/>
  <c r="M83" i="3"/>
  <c r="E83" i="3" s="1"/>
  <c r="M82" i="3"/>
  <c r="E82" i="3" s="1"/>
  <c r="M81" i="3"/>
  <c r="E81" i="3" s="1"/>
  <c r="M80" i="3"/>
  <c r="E80" i="3" s="1"/>
  <c r="M79" i="3"/>
  <c r="E79" i="3" s="1"/>
  <c r="M78" i="3"/>
  <c r="E78" i="3" s="1"/>
  <c r="M77" i="3"/>
  <c r="E77" i="3" s="1"/>
  <c r="M76" i="3"/>
  <c r="M75" i="3"/>
  <c r="M74" i="3"/>
  <c r="E74" i="3" s="1"/>
  <c r="M73" i="3"/>
  <c r="E73" i="3" s="1"/>
  <c r="M72" i="3"/>
  <c r="E72" i="3" s="1"/>
  <c r="M71" i="3"/>
  <c r="E71" i="3" s="1"/>
  <c r="M70" i="3"/>
  <c r="E70" i="3" s="1"/>
  <c r="M69" i="3"/>
  <c r="E69" i="3" s="1"/>
  <c r="M68" i="3"/>
  <c r="E68" i="3" s="1"/>
  <c r="M67" i="3"/>
  <c r="E67" i="3" s="1"/>
  <c r="M66" i="3"/>
  <c r="E66" i="3" s="1"/>
  <c r="M65" i="3"/>
  <c r="E65" i="3" s="1"/>
  <c r="M30" i="3"/>
  <c r="E30" i="3" s="1"/>
  <c r="E33" i="3" s="1"/>
  <c r="M29" i="3"/>
  <c r="E29" i="3" s="1"/>
  <c r="M28" i="3"/>
  <c r="E28" i="3" s="1"/>
  <c r="M27" i="3"/>
  <c r="E27" i="3" s="1"/>
  <c r="M26" i="3"/>
  <c r="E26" i="3" s="1"/>
  <c r="E34" i="3" s="1"/>
  <c r="M25" i="3"/>
  <c r="E25" i="3" s="1"/>
  <c r="M24" i="3"/>
  <c r="E24" i="3" s="1"/>
  <c r="M23" i="3"/>
  <c r="E23" i="3" s="1"/>
  <c r="M22" i="3"/>
  <c r="E22" i="3" s="1"/>
  <c r="M21" i="3"/>
  <c r="E21" i="3" s="1"/>
  <c r="M20" i="3"/>
  <c r="E20" i="3" s="1"/>
  <c r="M19" i="3"/>
  <c r="E19" i="3" s="1"/>
  <c r="M18" i="3"/>
  <c r="E18" i="3" s="1"/>
  <c r="M17" i="3"/>
  <c r="E17" i="3" s="1"/>
  <c r="M16" i="3"/>
  <c r="E16" i="3" s="1"/>
  <c r="M15" i="3"/>
  <c r="E15" i="3" s="1"/>
  <c r="M14" i="3"/>
  <c r="E14" i="3" s="1"/>
  <c r="M13" i="3"/>
  <c r="E13" i="3" s="1"/>
  <c r="M12" i="3"/>
  <c r="E12" i="3" s="1"/>
  <c r="M11" i="3"/>
  <c r="E11" i="3" s="1"/>
  <c r="M10" i="3"/>
  <c r="E10" i="3" s="1"/>
  <c r="M9" i="3"/>
  <c r="E9" i="3" s="1"/>
  <c r="M8" i="3"/>
  <c r="E8" i="3" s="1"/>
  <c r="M7" i="3"/>
  <c r="E7" i="3" s="1"/>
  <c r="M6" i="3"/>
  <c r="E6" i="3" s="1"/>
  <c r="M5" i="3"/>
  <c r="E5" i="3" s="1"/>
  <c r="E4" i="3"/>
  <c r="CA59" i="2"/>
  <c r="CB63" i="2" s="1"/>
  <c r="CC63" i="2" s="1"/>
  <c r="BY36" i="2"/>
  <c r="BZ36" i="2" s="1"/>
  <c r="BV26" i="2"/>
  <c r="BW26" i="2" s="1"/>
  <c r="CB10" i="2"/>
  <c r="CC10" i="2" s="1"/>
  <c r="CB11" i="2"/>
  <c r="CC11" i="2" s="1"/>
  <c r="CB12" i="2"/>
  <c r="CC12" i="2" s="1"/>
  <c r="CB17" i="2"/>
  <c r="CC17" i="2" s="1"/>
  <c r="CB18" i="2"/>
  <c r="CC18" i="2" s="1"/>
  <c r="CB20" i="2"/>
  <c r="CC20" i="2" s="1"/>
  <c r="CB21" i="2"/>
  <c r="CC21" i="2" s="1"/>
  <c r="CB26" i="2"/>
  <c r="CC26" i="2" s="1"/>
  <c r="CB27" i="2"/>
  <c r="CC27" i="2" s="1"/>
  <c r="CB28" i="2"/>
  <c r="CC28" i="2" s="1"/>
  <c r="CB33" i="2"/>
  <c r="CC33" i="2" s="1"/>
  <c r="CB34" i="2"/>
  <c r="CC34" i="2" s="1"/>
  <c r="CB36" i="2"/>
  <c r="CC36" i="2" s="1"/>
  <c r="CB44" i="2"/>
  <c r="CC44" i="2" s="1"/>
  <c r="CB45" i="2"/>
  <c r="CC45" i="2" s="1"/>
  <c r="CB46" i="2"/>
  <c r="CC46" i="2" s="1"/>
  <c r="CB51" i="2"/>
  <c r="CC51" i="2" s="1"/>
  <c r="CB52" i="2"/>
  <c r="CC52" i="2" s="1"/>
  <c r="CB54" i="2"/>
  <c r="CC54" i="2" s="1"/>
  <c r="CB55" i="2"/>
  <c r="CC55" i="2" s="1"/>
  <c r="CB65" i="2"/>
  <c r="CC65" i="2" s="1"/>
  <c r="CB70" i="2"/>
  <c r="CC70" i="2" s="1"/>
  <c r="BV62" i="2"/>
  <c r="BW62" i="2" s="1"/>
  <c r="BY26" i="2"/>
  <c r="BZ26" i="2" s="1"/>
  <c r="BY46" i="2"/>
  <c r="BZ46" i="2" s="1"/>
  <c r="BV44" i="2"/>
  <c r="BW44" i="2" s="1"/>
  <c r="BV27" i="2"/>
  <c r="BW27" i="2" s="1"/>
  <c r="BY28" i="2"/>
  <c r="BZ28" i="2" s="1"/>
  <c r="BY21" i="2"/>
  <c r="BZ21" i="2" s="1"/>
  <c r="BY20" i="2"/>
  <c r="BZ20" i="2" s="1"/>
  <c r="BY10" i="2"/>
  <c r="BZ10" i="2" s="1"/>
  <c r="BY12" i="2"/>
  <c r="BZ12" i="2" s="1"/>
  <c r="BV10" i="2"/>
  <c r="BW10" i="2" s="1"/>
  <c r="BY71" i="2"/>
  <c r="BZ71" i="2" s="1"/>
  <c r="BY70" i="2"/>
  <c r="BZ70" i="2" s="1"/>
  <c r="BY66" i="2"/>
  <c r="BZ66" i="2" s="1"/>
  <c r="BY65" i="2"/>
  <c r="BZ65" i="2" s="1"/>
  <c r="BY63" i="2"/>
  <c r="BZ63" i="2" s="1"/>
  <c r="BY62" i="2"/>
  <c r="BZ62" i="2" s="1"/>
  <c r="BY55" i="2"/>
  <c r="BZ55" i="2" s="1"/>
  <c r="BY54" i="2"/>
  <c r="BZ54" i="2" s="1"/>
  <c r="BY52" i="2"/>
  <c r="BZ52" i="2" s="1"/>
  <c r="BY51" i="2"/>
  <c r="BZ51" i="2" s="1"/>
  <c r="BY45" i="2"/>
  <c r="BZ45" i="2" s="1"/>
  <c r="BY44" i="2"/>
  <c r="BZ44" i="2" s="1"/>
  <c r="BY37" i="2"/>
  <c r="BZ37" i="2" s="1"/>
  <c r="BY34" i="2"/>
  <c r="BZ34" i="2" s="1"/>
  <c r="BY33" i="2"/>
  <c r="BZ33" i="2" s="1"/>
  <c r="BY27" i="2"/>
  <c r="BZ27" i="2" s="1"/>
  <c r="BY18" i="2"/>
  <c r="BZ18" i="2" s="1"/>
  <c r="BY17" i="2"/>
  <c r="BZ17" i="2" s="1"/>
  <c r="BY11" i="2"/>
  <c r="BZ11" i="2" s="1"/>
  <c r="BV70" i="2"/>
  <c r="BW70" i="2" s="1"/>
  <c r="BV71" i="2"/>
  <c r="BW71" i="2" s="1"/>
  <c r="BV20" i="2"/>
  <c r="BW20" i="2" s="1"/>
  <c r="BV21" i="2"/>
  <c r="BW21" i="2" s="1"/>
  <c r="BV66" i="2"/>
  <c r="BW66" i="2" s="1"/>
  <c r="BV65" i="2"/>
  <c r="BW65" i="2" s="1"/>
  <c r="BV63" i="2"/>
  <c r="BW63" i="2" s="1"/>
  <c r="BV55" i="2"/>
  <c r="BW55" i="2" s="1"/>
  <c r="BV54" i="2"/>
  <c r="BW54" i="2" s="1"/>
  <c r="BV52" i="2"/>
  <c r="BW52" i="2" s="1"/>
  <c r="BV51" i="2"/>
  <c r="BW51" i="2" s="1"/>
  <c r="BV45" i="2"/>
  <c r="BW45" i="2" s="1"/>
  <c r="BV37" i="2"/>
  <c r="BW37" i="2" s="1"/>
  <c r="BV36" i="2"/>
  <c r="BW36" i="2" s="1"/>
  <c r="BV34" i="2"/>
  <c r="BW34" i="2" s="1"/>
  <c r="BV33" i="2"/>
  <c r="BW33" i="2" s="1"/>
  <c r="BV18" i="2"/>
  <c r="BW18" i="2" s="1"/>
  <c r="BV17" i="2"/>
  <c r="BW17" i="2" s="1"/>
  <c r="BV11" i="2"/>
  <c r="BW11" i="2" s="1"/>
  <c r="BS10" i="2"/>
  <c r="BT10" i="2" s="1"/>
  <c r="BS11" i="2"/>
  <c r="BT11" i="2" s="1"/>
  <c r="BS17" i="2"/>
  <c r="BT17" i="2" s="1"/>
  <c r="BS18" i="2"/>
  <c r="BT18" i="2" s="1"/>
  <c r="BS20" i="2"/>
  <c r="BT20" i="2" s="1"/>
  <c r="BS21" i="2"/>
  <c r="BT21" i="2" s="1"/>
  <c r="BS37" i="2"/>
  <c r="BT37" i="2" s="1"/>
  <c r="BS36" i="2"/>
  <c r="BT36" i="2" s="1"/>
  <c r="BS34" i="2"/>
  <c r="BT34" i="2" s="1"/>
  <c r="BS33" i="2"/>
  <c r="BT33" i="2" s="1"/>
  <c r="BS27" i="2"/>
  <c r="BT27" i="2" s="1"/>
  <c r="BS26" i="2"/>
  <c r="BT26" i="2" s="1"/>
  <c r="BS55" i="2"/>
  <c r="BT55" i="2" s="1"/>
  <c r="BS54" i="2"/>
  <c r="BT54" i="2" s="1"/>
  <c r="BS52" i="2"/>
  <c r="BT52" i="2" s="1"/>
  <c r="BS51" i="2"/>
  <c r="BT51" i="2" s="1"/>
  <c r="BS45" i="2"/>
  <c r="BT45" i="2" s="1"/>
  <c r="BS44" i="2"/>
  <c r="BT44" i="2" s="1"/>
  <c r="BS71" i="2"/>
  <c r="BT71" i="2" s="1"/>
  <c r="BS70" i="2"/>
  <c r="BT70" i="2" s="1"/>
  <c r="BS66" i="2"/>
  <c r="BT66" i="2" s="1"/>
  <c r="BS65" i="2"/>
  <c r="BT65" i="2" s="1"/>
  <c r="BS63" i="2"/>
  <c r="BT63" i="2" s="1"/>
  <c r="BS62" i="2"/>
  <c r="BT62" i="2" s="1"/>
  <c r="BP62" i="2"/>
  <c r="BQ62" i="2" s="1"/>
  <c r="BP71" i="2"/>
  <c r="BQ71" i="2" s="1"/>
  <c r="BP70" i="2"/>
  <c r="BQ70" i="2" s="1"/>
  <c r="BP66" i="2"/>
  <c r="BQ66" i="2" s="1"/>
  <c r="BP65" i="2"/>
  <c r="BQ65" i="2" s="1"/>
  <c r="BP63" i="2"/>
  <c r="BQ63" i="2" s="1"/>
  <c r="BP55" i="2"/>
  <c r="BQ55" i="2" s="1"/>
  <c r="BP54" i="2"/>
  <c r="BQ54" i="2" s="1"/>
  <c r="BP52" i="2"/>
  <c r="BQ52" i="2" s="1"/>
  <c r="BP51" i="2"/>
  <c r="BQ51" i="2" s="1"/>
  <c r="BP45" i="2"/>
  <c r="BQ45" i="2" s="1"/>
  <c r="BP44" i="2"/>
  <c r="BQ44" i="2" s="1"/>
  <c r="BP37" i="2"/>
  <c r="BQ37" i="2" s="1"/>
  <c r="BP36" i="2"/>
  <c r="BQ36" i="2" s="1"/>
  <c r="BP34" i="2"/>
  <c r="BQ34" i="2" s="1"/>
  <c r="BP33" i="2"/>
  <c r="BQ33" i="2" s="1"/>
  <c r="BP27" i="2"/>
  <c r="BQ27" i="2" s="1"/>
  <c r="BP26" i="2"/>
  <c r="BQ26" i="2" s="1"/>
  <c r="BP21" i="2"/>
  <c r="BQ21" i="2" s="1"/>
  <c r="BP20" i="2"/>
  <c r="BQ20" i="2" s="1"/>
  <c r="BP18" i="2"/>
  <c r="BQ18" i="2" s="1"/>
  <c r="BP17" i="2"/>
  <c r="BQ17" i="2" s="1"/>
  <c r="BP11" i="2"/>
  <c r="BQ11" i="2" s="1"/>
  <c r="BP10" i="2"/>
  <c r="BQ10" i="2" s="1"/>
  <c r="BM71" i="2"/>
  <c r="BN71" i="2" s="1"/>
  <c r="BM70" i="2"/>
  <c r="BN70" i="2" s="1"/>
  <c r="BM66" i="2"/>
  <c r="BN66" i="2" s="1"/>
  <c r="BM65" i="2"/>
  <c r="BN65" i="2" s="1"/>
  <c r="BM63" i="2"/>
  <c r="BN63" i="2" s="1"/>
  <c r="BM62" i="2"/>
  <c r="BN62" i="2" s="1"/>
  <c r="BM55" i="2"/>
  <c r="BN55" i="2" s="1"/>
  <c r="BM54" i="2"/>
  <c r="BN54" i="2" s="1"/>
  <c r="BM52" i="2"/>
  <c r="BN52" i="2" s="1"/>
  <c r="BM51" i="2"/>
  <c r="BN51" i="2" s="1"/>
  <c r="BM45" i="2"/>
  <c r="BN45" i="2" s="1"/>
  <c r="BM44" i="2"/>
  <c r="BN44" i="2" s="1"/>
  <c r="BM37" i="2"/>
  <c r="BN37" i="2" s="1"/>
  <c r="BM36" i="2"/>
  <c r="BN36" i="2" s="1"/>
  <c r="BM34" i="2"/>
  <c r="BN34" i="2" s="1"/>
  <c r="BM33" i="2"/>
  <c r="BN33" i="2" s="1"/>
  <c r="BM27" i="2"/>
  <c r="BN27" i="2" s="1"/>
  <c r="BM26" i="2"/>
  <c r="BN26" i="2" s="1"/>
  <c r="BM21" i="2"/>
  <c r="BN21" i="2" s="1"/>
  <c r="BM20" i="2"/>
  <c r="BN20" i="2" s="1"/>
  <c r="BM18" i="2"/>
  <c r="BN18" i="2" s="1"/>
  <c r="BM17" i="2"/>
  <c r="BN17" i="2" s="1"/>
  <c r="BM11" i="2"/>
  <c r="BN11" i="2" s="1"/>
  <c r="BM10" i="2"/>
  <c r="BN10" i="2" s="1"/>
  <c r="BJ71" i="2"/>
  <c r="BK71" i="2" s="1"/>
  <c r="BJ70" i="2"/>
  <c r="BK70" i="2" s="1"/>
  <c r="BJ66" i="2"/>
  <c r="BK66" i="2" s="1"/>
  <c r="BJ65" i="2"/>
  <c r="BK65" i="2" s="1"/>
  <c r="BJ63" i="2"/>
  <c r="BK63" i="2" s="1"/>
  <c r="BJ62" i="2"/>
  <c r="BK62" i="2" s="1"/>
  <c r="BJ55" i="2"/>
  <c r="BK55" i="2" s="1"/>
  <c r="BJ54" i="2"/>
  <c r="BK54" i="2" s="1"/>
  <c r="BJ52" i="2"/>
  <c r="BK52" i="2" s="1"/>
  <c r="BJ51" i="2"/>
  <c r="BK51" i="2" s="1"/>
  <c r="BJ45" i="2"/>
  <c r="BK45" i="2" s="1"/>
  <c r="BJ44" i="2"/>
  <c r="BK44" i="2" s="1"/>
  <c r="BJ37" i="2"/>
  <c r="BK37" i="2" s="1"/>
  <c r="BJ36" i="2"/>
  <c r="BK36" i="2" s="1"/>
  <c r="BJ34" i="2"/>
  <c r="BK34" i="2" s="1"/>
  <c r="BJ33" i="2"/>
  <c r="BK33" i="2" s="1"/>
  <c r="BJ27" i="2"/>
  <c r="BK27" i="2" s="1"/>
  <c r="BJ26" i="2"/>
  <c r="BK26" i="2" s="1"/>
  <c r="BJ21" i="2"/>
  <c r="BK21" i="2" s="1"/>
  <c r="BJ20" i="2"/>
  <c r="BK20" i="2" s="1"/>
  <c r="BJ18" i="2"/>
  <c r="BK18" i="2" s="1"/>
  <c r="BJ17" i="2"/>
  <c r="BK17" i="2" s="1"/>
  <c r="BJ11" i="2"/>
  <c r="BK11" i="2" s="1"/>
  <c r="BJ10" i="2"/>
  <c r="BK10" i="2" s="1"/>
  <c r="BH70" i="2"/>
  <c r="BH65" i="2"/>
  <c r="BH10" i="2"/>
  <c r="BH11" i="2"/>
  <c r="BH17" i="2"/>
  <c r="BH18" i="2"/>
  <c r="BH20" i="2"/>
  <c r="BH21" i="2"/>
  <c r="BH26" i="2"/>
  <c r="BH27" i="2"/>
  <c r="BH33" i="2"/>
  <c r="BH34" i="2"/>
  <c r="BH36" i="2"/>
  <c r="BH37" i="2"/>
  <c r="BH44" i="2"/>
  <c r="BH45" i="2"/>
  <c r="BH51" i="2"/>
  <c r="BH52" i="2"/>
  <c r="BH54" i="2"/>
  <c r="BH55" i="2"/>
  <c r="BH62" i="2"/>
  <c r="BH63" i="2"/>
  <c r="BH66" i="2"/>
  <c r="BH71" i="2"/>
  <c r="BF71" i="2"/>
  <c r="BF70" i="2"/>
  <c r="BF66" i="2"/>
  <c r="BF65" i="2"/>
  <c r="BF63" i="2"/>
  <c r="BF62" i="2"/>
  <c r="BF55" i="2"/>
  <c r="BF54" i="2"/>
  <c r="BF52" i="2"/>
  <c r="BF51" i="2"/>
  <c r="BF45" i="2"/>
  <c r="BF44" i="2"/>
  <c r="BF37" i="2"/>
  <c r="BF36" i="2"/>
  <c r="BF34" i="2"/>
  <c r="BF33" i="2"/>
  <c r="BF27" i="2"/>
  <c r="BF26" i="2"/>
  <c r="BF21" i="2"/>
  <c r="BF20" i="2"/>
  <c r="BF18" i="2"/>
  <c r="BF17" i="2"/>
  <c r="BF11" i="2"/>
  <c r="BF10" i="2"/>
  <c r="E68" i="2"/>
  <c r="F50" i="2"/>
  <c r="E50" i="2"/>
  <c r="D50" i="2"/>
  <c r="AR50" i="2"/>
  <c r="AL20" i="2"/>
  <c r="AN20" i="2"/>
  <c r="AP20" i="2"/>
  <c r="AL21" i="2"/>
  <c r="AN21" i="2"/>
  <c r="AP21" i="2"/>
  <c r="AL10" i="2"/>
  <c r="AN10" i="2"/>
  <c r="AP10" i="2"/>
  <c r="AL11" i="2"/>
  <c r="AN11" i="2"/>
  <c r="AP11" i="2"/>
  <c r="AL15" i="2"/>
  <c r="AN15" i="2"/>
  <c r="AP15" i="2"/>
  <c r="AL16" i="2"/>
  <c r="AN16" i="2"/>
  <c r="AP16" i="2"/>
  <c r="AL18" i="2"/>
  <c r="AN18" i="2"/>
  <c r="AP18" i="2"/>
  <c r="AV70" i="2"/>
  <c r="AV69" i="2"/>
  <c r="AV68" i="2"/>
  <c r="AT70" i="2"/>
  <c r="AT69" i="2"/>
  <c r="AT68" i="2"/>
  <c r="AR70" i="2"/>
  <c r="AR69" i="2"/>
  <c r="AR68" i="2"/>
  <c r="AP70" i="2"/>
  <c r="AP69" i="2"/>
  <c r="AP68" i="2"/>
  <c r="AN70" i="2"/>
  <c r="AN69" i="2"/>
  <c r="AN68" i="2"/>
  <c r="AL70" i="2"/>
  <c r="AL69" i="2"/>
  <c r="AL68" i="2"/>
  <c r="BB66" i="2"/>
  <c r="BB65" i="2"/>
  <c r="AZ66" i="2"/>
  <c r="AZ65" i="2"/>
  <c r="AX66" i="2"/>
  <c r="AX65" i="2"/>
  <c r="AV66" i="2"/>
  <c r="AV65" i="2"/>
  <c r="AT66" i="2"/>
  <c r="AT65" i="2"/>
  <c r="AR66" i="2"/>
  <c r="AR65" i="2"/>
  <c r="AP66" i="2"/>
  <c r="AP65" i="2"/>
  <c r="AN66" i="2"/>
  <c r="AN65" i="2"/>
  <c r="AL66" i="2"/>
  <c r="AL65" i="2"/>
  <c r="AN49" i="2"/>
  <c r="AV51" i="2"/>
  <c r="AT51" i="2"/>
  <c r="AR51" i="2"/>
  <c r="AP51" i="2"/>
  <c r="AN51" i="2"/>
  <c r="AL51" i="2"/>
  <c r="AV50" i="2"/>
  <c r="AV49" i="2"/>
  <c r="AT50" i="2"/>
  <c r="AT49" i="2"/>
  <c r="AR49" i="2"/>
  <c r="AP50" i="2"/>
  <c r="AP49" i="2"/>
  <c r="AN50" i="2"/>
  <c r="AL50" i="2"/>
  <c r="AL49" i="2"/>
  <c r="BB45" i="2"/>
  <c r="BB44" i="2"/>
  <c r="AZ45" i="2"/>
  <c r="AZ44" i="2"/>
  <c r="AX45" i="2"/>
  <c r="AX44" i="2"/>
  <c r="AV45" i="2"/>
  <c r="AV44" i="2"/>
  <c r="AT45" i="2"/>
  <c r="AT44" i="2"/>
  <c r="AR45" i="2"/>
  <c r="AR44" i="2"/>
  <c r="AP45" i="2"/>
  <c r="AP44" i="2"/>
  <c r="AN45" i="2"/>
  <c r="AN44" i="2"/>
  <c r="AL45" i="2"/>
  <c r="AL44" i="2"/>
  <c r="AV34" i="2"/>
  <c r="AT34" i="2"/>
  <c r="AR34" i="2"/>
  <c r="AP34" i="2"/>
  <c r="AN34" i="2"/>
  <c r="AV32" i="2"/>
  <c r="AV31" i="2"/>
  <c r="AT32" i="2"/>
  <c r="AT31" i="2"/>
  <c r="AR32" i="2"/>
  <c r="AR31" i="2"/>
  <c r="AP32" i="2"/>
  <c r="AP31" i="2"/>
  <c r="AN32" i="2"/>
  <c r="AN31" i="2"/>
  <c r="BB27" i="2"/>
  <c r="BB26" i="2"/>
  <c r="AZ27" i="2"/>
  <c r="AZ26" i="2"/>
  <c r="AX27" i="2"/>
  <c r="AX26" i="2"/>
  <c r="AV27" i="2"/>
  <c r="AV26" i="2"/>
  <c r="AT27" i="2"/>
  <c r="AT26" i="2"/>
  <c r="AR27" i="2"/>
  <c r="AR26" i="2"/>
  <c r="AP27" i="2"/>
  <c r="AP26" i="2"/>
  <c r="AN27" i="2"/>
  <c r="AN26" i="2"/>
  <c r="AV18" i="2"/>
  <c r="AT18" i="2"/>
  <c r="AR18" i="2"/>
  <c r="AV16" i="2"/>
  <c r="AV15" i="2"/>
  <c r="AT16" i="2"/>
  <c r="AT15" i="2"/>
  <c r="AR16" i="2"/>
  <c r="AR15" i="2"/>
  <c r="BD11" i="2"/>
  <c r="BD10" i="2"/>
  <c r="BB11" i="2"/>
  <c r="BB10" i="2"/>
  <c r="AZ11" i="2"/>
  <c r="AZ10" i="2"/>
  <c r="AX11" i="2"/>
  <c r="AX10" i="2"/>
  <c r="AV11" i="2"/>
  <c r="AV10" i="2"/>
  <c r="AT11" i="2"/>
  <c r="AT10" i="2"/>
  <c r="AR11" i="2"/>
  <c r="AR10" i="2"/>
  <c r="BD71" i="2"/>
  <c r="BD70" i="2"/>
  <c r="BD66" i="2"/>
  <c r="BD65" i="2"/>
  <c r="BD63" i="2"/>
  <c r="BD62" i="2"/>
  <c r="BD55" i="2"/>
  <c r="BD54" i="2"/>
  <c r="BD52" i="2"/>
  <c r="BD51" i="2"/>
  <c r="BD45" i="2"/>
  <c r="BD44" i="2"/>
  <c r="BD37" i="2"/>
  <c r="BD36" i="2"/>
  <c r="BD34" i="2"/>
  <c r="BD33" i="2"/>
  <c r="BD27" i="2"/>
  <c r="BD26" i="2"/>
  <c r="BD21" i="2"/>
  <c r="BD20" i="2"/>
  <c r="BD18" i="2"/>
  <c r="BD17" i="2"/>
  <c r="BB52" i="2"/>
  <c r="BB51" i="2"/>
  <c r="AZ52" i="2"/>
  <c r="AZ51" i="2"/>
  <c r="AX52" i="2"/>
  <c r="AX51" i="2"/>
  <c r="BB71" i="2"/>
  <c r="BB70" i="2"/>
  <c r="AZ71" i="2"/>
  <c r="AZ70" i="2"/>
  <c r="AX71" i="2"/>
  <c r="AX70" i="2"/>
  <c r="BB34" i="2"/>
  <c r="BB33" i="2"/>
  <c r="AZ34" i="2"/>
  <c r="AZ33" i="2"/>
  <c r="AX34" i="2"/>
  <c r="AX33" i="2"/>
  <c r="BB18" i="2"/>
  <c r="BB17" i="2"/>
  <c r="AZ18" i="2"/>
  <c r="AZ17" i="2"/>
  <c r="AX18" i="2"/>
  <c r="AX17" i="2"/>
  <c r="BB63" i="2"/>
  <c r="BB62" i="2"/>
  <c r="AZ63" i="2"/>
  <c r="AZ62" i="2"/>
  <c r="AX63" i="2"/>
  <c r="AX62" i="2"/>
  <c r="AV63" i="2"/>
  <c r="AV62" i="2"/>
  <c r="AT63" i="2"/>
  <c r="AT62" i="2"/>
  <c r="AR63" i="2"/>
  <c r="AR62" i="2"/>
  <c r="AP63" i="2"/>
  <c r="AP62" i="2"/>
  <c r="AN63" i="2"/>
  <c r="AN62" i="2"/>
  <c r="BB55" i="2"/>
  <c r="BB54" i="2"/>
  <c r="AZ55" i="2"/>
  <c r="AZ54" i="2"/>
  <c r="AX55" i="2"/>
  <c r="AX54" i="2"/>
  <c r="AV55" i="2"/>
  <c r="AV54" i="2"/>
  <c r="AT55" i="2"/>
  <c r="AT54" i="2"/>
  <c r="AR55" i="2"/>
  <c r="AR54" i="2"/>
  <c r="AP55" i="2"/>
  <c r="AP54" i="2"/>
  <c r="AN55" i="2"/>
  <c r="AN54" i="2"/>
  <c r="BB37" i="2"/>
  <c r="BB36" i="2"/>
  <c r="AZ37" i="2"/>
  <c r="AZ36" i="2"/>
  <c r="AX37" i="2"/>
  <c r="AX36" i="2"/>
  <c r="AV37" i="2"/>
  <c r="AV36" i="2"/>
  <c r="AT37" i="2"/>
  <c r="AT36" i="2"/>
  <c r="AR37" i="2"/>
  <c r="AR36" i="2"/>
  <c r="AP37" i="2"/>
  <c r="AP36" i="2"/>
  <c r="AN37" i="2"/>
  <c r="AN36" i="2"/>
  <c r="BB21" i="2"/>
  <c r="BB20" i="2"/>
  <c r="AZ21" i="2"/>
  <c r="AZ20" i="2"/>
  <c r="AX21" i="2"/>
  <c r="AX20" i="2"/>
  <c r="AV21" i="2"/>
  <c r="AV20" i="2"/>
  <c r="AT21" i="2"/>
  <c r="AT20" i="2"/>
  <c r="AR21" i="2"/>
  <c r="AR20" i="2"/>
  <c r="AL63" i="2"/>
  <c r="AL62" i="2"/>
  <c r="AL55" i="2"/>
  <c r="AL54" i="2"/>
  <c r="AL37" i="2"/>
  <c r="AL36" i="2"/>
  <c r="AL34" i="2"/>
  <c r="AL32" i="2"/>
  <c r="AL31" i="2"/>
  <c r="AL27" i="2"/>
  <c r="AL26" i="2"/>
  <c r="CB37" i="2"/>
  <c r="CC37" i="2" s="1"/>
  <c r="F25" i="9"/>
  <c r="U23" i="9" s="1"/>
  <c r="F27" i="9"/>
  <c r="U25" i="9" s="1"/>
  <c r="D28" i="9"/>
  <c r="S26" i="9" s="1"/>
  <c r="V69" i="9"/>
  <c r="V68" i="9"/>
  <c r="T70" i="9"/>
  <c r="S82" i="9"/>
  <c r="M8" i="9"/>
  <c r="R78" i="9" s="1"/>
  <c r="R89" i="10"/>
  <c r="W81" i="10" s="1"/>
  <c r="V14" i="11"/>
  <c r="V19" i="11"/>
  <c r="T22" i="5"/>
  <c r="AA10" i="5" s="1"/>
  <c r="H10" i="6"/>
  <c r="U17" i="4"/>
  <c r="T10" i="4"/>
  <c r="T12" i="4"/>
  <c r="T14" i="4"/>
  <c r="S103" i="4"/>
  <c r="S65" i="4"/>
  <c r="T25" i="4"/>
  <c r="D18" i="4"/>
  <c r="T9" i="4"/>
  <c r="U15" i="4"/>
  <c r="S107" i="4"/>
  <c r="S91" i="4"/>
  <c r="S115" i="4"/>
  <c r="T121" i="4"/>
  <c r="U121" i="4"/>
  <c r="G8" i="21"/>
  <c r="D8" i="21" s="1"/>
  <c r="G28" i="21"/>
  <c r="G32" i="21"/>
  <c r="S106" i="13"/>
  <c r="M26" i="13"/>
  <c r="G32" i="13"/>
  <c r="V48" i="13" s="1"/>
  <c r="AB36" i="13" s="1"/>
  <c r="M34" i="13"/>
  <c r="V78" i="13"/>
  <c r="AB66" i="13" s="1"/>
  <c r="G29" i="13"/>
  <c r="V45" i="13" s="1"/>
  <c r="AB33" i="13" s="1"/>
  <c r="D34" i="13"/>
  <c r="S50" i="13" s="1"/>
  <c r="Y38" i="13" s="1"/>
  <c r="E36" i="13"/>
  <c r="M36" i="13"/>
  <c r="S102" i="9"/>
  <c r="S78" i="11"/>
  <c r="B100" i="11"/>
  <c r="M31" i="9"/>
  <c r="R101" i="9" s="1"/>
  <c r="E15" i="9"/>
  <c r="T13" i="9" s="1"/>
  <c r="L9" i="10"/>
  <c r="B17" i="11"/>
  <c r="H16" i="10"/>
  <c r="L10" i="10"/>
  <c r="L18" i="10"/>
  <c r="R90" i="10" s="1"/>
  <c r="N23" i="10"/>
  <c r="J13" i="10"/>
  <c r="B22" i="11"/>
  <c r="J21" i="10"/>
  <c r="N14" i="10"/>
  <c r="R8" i="11"/>
  <c r="R40" i="11" s="1"/>
  <c r="I10" i="10"/>
  <c r="B77" i="11"/>
  <c r="L8" i="10"/>
  <c r="R81" i="10" s="1"/>
  <c r="F34" i="9"/>
  <c r="N16" i="10"/>
  <c r="J29" i="10"/>
  <c r="S68" i="10" s="1"/>
  <c r="X56" i="10" s="1"/>
  <c r="S85" i="11"/>
  <c r="U69" i="9"/>
  <c r="T60" i="9"/>
  <c r="H22" i="9"/>
  <c r="R60" i="9" s="1"/>
  <c r="T48" i="9"/>
  <c r="H31" i="9"/>
  <c r="R69" i="9" s="1"/>
  <c r="M34" i="9"/>
  <c r="M27" i="9"/>
  <c r="R97" i="9" s="1"/>
  <c r="U68" i="9"/>
  <c r="F30" i="9"/>
  <c r="U28" i="9" s="1"/>
  <c r="M32" i="9"/>
  <c r="R102" i="9" s="1"/>
  <c r="S63" i="9"/>
  <c r="S70" i="9"/>
  <c r="D32" i="9"/>
  <c r="S30" i="9" s="1"/>
  <c r="H32" i="9"/>
  <c r="R70" i="9" s="1"/>
  <c r="T102" i="9"/>
  <c r="E32" i="9"/>
  <c r="T30" i="9" s="1"/>
  <c r="E12" i="9"/>
  <c r="T10" i="9" s="1"/>
  <c r="S60" i="9"/>
  <c r="M28" i="9"/>
  <c r="R98" i="9" s="1"/>
  <c r="E34" i="9"/>
  <c r="H11" i="6"/>
  <c r="B20" i="7"/>
  <c r="B27" i="7"/>
  <c r="B76" i="7"/>
  <c r="B83" i="7"/>
  <c r="C13" i="5"/>
  <c r="R12" i="5" s="1"/>
  <c r="T12" i="5"/>
  <c r="S27" i="5"/>
  <c r="Z15" i="5" s="1"/>
  <c r="S72" i="4"/>
  <c r="S100" i="4"/>
  <c r="S76" i="4"/>
  <c r="T109" i="4"/>
  <c r="S62" i="4"/>
  <c r="T116" i="4"/>
  <c r="D32" i="4"/>
  <c r="S32" i="4" s="1"/>
  <c r="S83" i="4"/>
  <c r="T20" i="4"/>
  <c r="B89" i="7"/>
  <c r="I9" i="6"/>
  <c r="I10" i="6"/>
  <c r="B10" i="7"/>
  <c r="B19" i="7"/>
  <c r="B84" i="7"/>
  <c r="N22" i="6"/>
  <c r="S89" i="6" s="1"/>
  <c r="X77" i="6" s="1"/>
  <c r="T6" i="5"/>
  <c r="AA6" i="5" s="1"/>
  <c r="C12" i="5"/>
  <c r="R11" i="5" s="1"/>
  <c r="Y7" i="5" s="1"/>
  <c r="S15" i="5"/>
  <c r="S21" i="5"/>
  <c r="Z9" i="5" s="1"/>
  <c r="F8" i="29"/>
  <c r="H8" i="29" s="1"/>
  <c r="H18" i="29"/>
  <c r="H14" i="29"/>
  <c r="H28" i="29"/>
  <c r="G26" i="23"/>
  <c r="D26" i="23" s="1"/>
  <c r="O26" i="23" s="1"/>
  <c r="S14" i="23" s="1"/>
  <c r="G22" i="23"/>
  <c r="D22" i="23" s="1"/>
  <c r="G20" i="21"/>
  <c r="D20" i="21" s="1"/>
  <c r="B25" i="22"/>
  <c r="G16" i="21"/>
  <c r="C11" i="22"/>
  <c r="O16" i="26"/>
  <c r="AA16" i="26" s="1"/>
  <c r="G17" i="21"/>
  <c r="K23" i="21"/>
  <c r="I23" i="21" s="1"/>
  <c r="P60" i="21" s="1"/>
  <c r="T48" i="21" s="1"/>
  <c r="C18" i="4"/>
  <c r="S18" i="4"/>
  <c r="T70" i="11"/>
  <c r="R55" i="10"/>
  <c r="T13" i="4"/>
  <c r="S59" i="4"/>
  <c r="T19" i="4"/>
  <c r="U12" i="4"/>
  <c r="S75" i="4"/>
  <c r="U120" i="4"/>
  <c r="C32" i="4"/>
  <c r="S80" i="6"/>
  <c r="L22" i="10"/>
  <c r="R94" i="10" s="1"/>
  <c r="W82" i="10" s="1"/>
  <c r="U22" i="4"/>
  <c r="R83" i="11"/>
  <c r="V30" i="11"/>
  <c r="S97" i="4"/>
  <c r="S81" i="9"/>
  <c r="R75" i="11"/>
  <c r="V22" i="11"/>
  <c r="V80" i="13"/>
  <c r="AB68" i="13" s="1"/>
  <c r="G30" i="13"/>
  <c r="V46" i="13" s="1"/>
  <c r="AB34" i="13" s="1"/>
  <c r="R71" i="14"/>
  <c r="W59" i="14" s="1"/>
  <c r="H15" i="14"/>
  <c r="R64" i="14" s="1"/>
  <c r="H28" i="14"/>
  <c r="R77" i="14" s="1"/>
  <c r="W65" i="14" s="1"/>
  <c r="J8" i="10"/>
  <c r="S48" i="10" s="1"/>
  <c r="B9" i="11"/>
  <c r="H12" i="14"/>
  <c r="R61" i="14" s="1"/>
  <c r="B28" i="11"/>
  <c r="B25" i="7"/>
  <c r="B20" i="11"/>
  <c r="L25" i="10"/>
  <c r="R97" i="10" s="1"/>
  <c r="W85" i="10" s="1"/>
  <c r="S93" i="13"/>
  <c r="M13" i="13"/>
  <c r="B33" i="7"/>
  <c r="U70" i="9"/>
  <c r="S67" i="13"/>
  <c r="C9" i="15"/>
  <c r="C24" i="15"/>
  <c r="J22" i="14"/>
  <c r="S71" i="14" s="1"/>
  <c r="X59" i="14" s="1"/>
  <c r="T82" i="13"/>
  <c r="Z70" i="13" s="1"/>
  <c r="G15" i="19"/>
  <c r="F15" i="19" s="1"/>
  <c r="B15" i="20"/>
  <c r="D36" i="13"/>
  <c r="C96" i="15"/>
  <c r="N25" i="14"/>
  <c r="H7" i="19"/>
  <c r="G12" i="19"/>
  <c r="D12" i="19" s="1"/>
  <c r="O8" i="19" s="1"/>
  <c r="R10" i="26"/>
  <c r="AD10" i="26" s="1"/>
  <c r="C9" i="22"/>
  <c r="G32" i="23"/>
  <c r="D32" i="23" s="1"/>
  <c r="U83" i="13"/>
  <c r="AA71" i="13" s="1"/>
  <c r="F33" i="13"/>
  <c r="U49" i="13" s="1"/>
  <c r="AA37" i="13" s="1"/>
  <c r="B31" i="24"/>
  <c r="O32" i="26"/>
  <c r="AA32" i="26" s="1"/>
  <c r="H33" i="23"/>
  <c r="AA33" i="25" s="1"/>
  <c r="AJ33" i="25" s="1"/>
  <c r="G16" i="19"/>
  <c r="D16" i="19" s="1"/>
  <c r="B28" i="20"/>
  <c r="G28" i="19"/>
  <c r="H15" i="23"/>
  <c r="O21" i="26"/>
  <c r="AA21" i="26" s="1"/>
  <c r="H22" i="23"/>
  <c r="B8" i="20"/>
  <c r="G8" i="19"/>
  <c r="D8" i="19" s="1"/>
  <c r="B24" i="22"/>
  <c r="G26" i="21"/>
  <c r="D26" i="21" s="1"/>
  <c r="O26" i="21" s="1"/>
  <c r="S14" i="21" s="1"/>
  <c r="J21" i="14"/>
  <c r="S70" i="14" s="1"/>
  <c r="X58" i="14" s="1"/>
  <c r="G9" i="19"/>
  <c r="B9" i="20"/>
  <c r="B20" i="20"/>
  <c r="G20" i="19"/>
  <c r="D20" i="19" s="1"/>
  <c r="G24" i="19"/>
  <c r="D24" i="19" s="1"/>
  <c r="O12" i="19" s="1"/>
  <c r="B24" i="20"/>
  <c r="O25" i="26"/>
  <c r="AA25" i="26" s="1"/>
  <c r="B8" i="22"/>
  <c r="O8" i="26"/>
  <c r="AA8" i="26" s="1"/>
  <c r="T11" i="26"/>
  <c r="AF11" i="26" s="1"/>
  <c r="G12" i="23"/>
  <c r="D12" i="23" s="1"/>
  <c r="H23" i="23"/>
  <c r="E23" i="23" s="1"/>
  <c r="H30" i="23"/>
  <c r="T16" i="26"/>
  <c r="AF16" i="26" s="1"/>
  <c r="O26" i="26"/>
  <c r="AA26" i="26" s="1"/>
  <c r="H27" i="23"/>
  <c r="T19" i="26"/>
  <c r="AF19" i="26" s="1"/>
  <c r="G35" i="23"/>
  <c r="K14" i="23"/>
  <c r="N86" i="26"/>
  <c r="T86" i="26" s="1"/>
  <c r="K22" i="23"/>
  <c r="I22" i="23" s="1"/>
  <c r="P58" i="23" s="1"/>
  <c r="B15" i="24"/>
  <c r="N88" i="26"/>
  <c r="T88" i="26" s="1"/>
  <c r="K24" i="21"/>
  <c r="T9" i="26"/>
  <c r="AF9" i="26" s="1"/>
  <c r="H14" i="23"/>
  <c r="T27" i="26"/>
  <c r="AF27" i="26" s="1"/>
  <c r="G28" i="23"/>
  <c r="B7" i="24"/>
  <c r="N95" i="26"/>
  <c r="T95" i="26" s="1"/>
  <c r="T24" i="26"/>
  <c r="AF24" i="26" s="1"/>
  <c r="H13" i="29"/>
  <c r="O9" i="26"/>
  <c r="AA9" i="26" s="1"/>
  <c r="H21" i="29"/>
  <c r="T25" i="26"/>
  <c r="AF25" i="26" s="1"/>
  <c r="B27" i="24"/>
  <c r="N92" i="26"/>
  <c r="T92" i="26" s="1"/>
  <c r="N77" i="26"/>
  <c r="T77" i="26" s="1"/>
  <c r="N85" i="26"/>
  <c r="T85" i="26" s="1"/>
  <c r="H34" i="29"/>
  <c r="N72" i="26"/>
  <c r="T72" i="26" s="1"/>
  <c r="H11" i="29"/>
  <c r="D17" i="21"/>
  <c r="O17" i="21" s="1"/>
  <c r="D16" i="21"/>
  <c r="G32" i="10"/>
  <c r="Q71" i="10" s="1"/>
  <c r="V59" i="10" s="1"/>
  <c r="S71" i="10"/>
  <c r="X59" i="10" s="1"/>
  <c r="AA30" i="25"/>
  <c r="AJ30" i="25" s="1"/>
  <c r="D28" i="19"/>
  <c r="O16" i="19" s="1"/>
  <c r="H11" i="21"/>
  <c r="B9" i="22"/>
  <c r="B87" i="7" l="1"/>
  <c r="N22" i="14"/>
  <c r="C87" i="15"/>
  <c r="P126" i="15"/>
  <c r="K24" i="19"/>
  <c r="I24" i="19" s="1"/>
  <c r="S63" i="4"/>
  <c r="B83" i="11"/>
  <c r="D17" i="13"/>
  <c r="S33" i="13" s="1"/>
  <c r="B21" i="22"/>
  <c r="C10" i="5"/>
  <c r="R9" i="5" s="1"/>
  <c r="S90" i="4"/>
  <c r="H17" i="6"/>
  <c r="R43" i="7"/>
  <c r="S57" i="4"/>
  <c r="B71" i="7"/>
  <c r="J17" i="6"/>
  <c r="F17" i="6" s="1"/>
  <c r="S43" i="7"/>
  <c r="K7" i="19"/>
  <c r="I7" i="19" s="1"/>
  <c r="C78" i="15"/>
  <c r="L7" i="10"/>
  <c r="U23" i="4"/>
  <c r="C30" i="15"/>
  <c r="N16" i="14"/>
  <c r="S117" i="4"/>
  <c r="D26" i="13"/>
  <c r="H20" i="13"/>
  <c r="D20" i="4"/>
  <c r="C20" i="4" s="1"/>
  <c r="E26" i="13"/>
  <c r="T42" i="13" s="1"/>
  <c r="Z30" i="13" s="1"/>
  <c r="O22" i="26"/>
  <c r="AA22" i="26" s="1"/>
  <c r="V16" i="11"/>
  <c r="M16" i="13"/>
  <c r="D17" i="4"/>
  <c r="E16" i="13"/>
  <c r="T32" i="13" s="1"/>
  <c r="B36" i="8"/>
  <c r="B35" i="8"/>
  <c r="B34" i="8"/>
  <c r="O19" i="26"/>
  <c r="AA19" i="26" s="1"/>
  <c r="B25" i="24"/>
  <c r="N26" i="26" s="1"/>
  <c r="Z26" i="26" s="1"/>
  <c r="C76" i="15"/>
  <c r="C19" i="15"/>
  <c r="J11" i="10"/>
  <c r="S51" i="10" s="1"/>
  <c r="X47" i="10" s="1"/>
  <c r="N11" i="10"/>
  <c r="S84" i="10" s="1"/>
  <c r="X80" i="10" s="1"/>
  <c r="H23" i="13"/>
  <c r="N89" i="26"/>
  <c r="T89" i="26" s="1"/>
  <c r="O11" i="26"/>
  <c r="AA11" i="26" s="1"/>
  <c r="T26" i="26"/>
  <c r="AF26" i="26" s="1"/>
  <c r="N6" i="10"/>
  <c r="S79" i="10" s="1"/>
  <c r="X79" i="10" s="1"/>
  <c r="O110" i="11"/>
  <c r="H13" i="23"/>
  <c r="O44" i="24"/>
  <c r="H13" i="21"/>
  <c r="O42" i="22"/>
  <c r="B18" i="24"/>
  <c r="K9" i="23"/>
  <c r="C27" i="15"/>
  <c r="S55" i="4"/>
  <c r="H10" i="14"/>
  <c r="T41" i="15"/>
  <c r="G13" i="23"/>
  <c r="P44" i="24"/>
  <c r="B26" i="24"/>
  <c r="S81" i="4"/>
  <c r="L11" i="10"/>
  <c r="U24" i="4"/>
  <c r="H5" i="14"/>
  <c r="T40" i="15"/>
  <c r="H18" i="21"/>
  <c r="O43" i="22"/>
  <c r="D13" i="13"/>
  <c r="S29" i="13" s="1"/>
  <c r="C11" i="15"/>
  <c r="D34" i="4"/>
  <c r="J5" i="14"/>
  <c r="U40" i="15"/>
  <c r="M24" i="16"/>
  <c r="B33" i="16"/>
  <c r="B34" i="16"/>
  <c r="G7" i="19"/>
  <c r="D7" i="19" s="1"/>
  <c r="O7" i="19" s="1"/>
  <c r="P42" i="20"/>
  <c r="H8" i="21"/>
  <c r="O41" i="22"/>
  <c r="N18" i="14"/>
  <c r="S98" i="14" s="1"/>
  <c r="B86" i="7"/>
  <c r="N84" i="26"/>
  <c r="T84" i="26" s="1"/>
  <c r="G23" i="21"/>
  <c r="F23" i="21" s="1"/>
  <c r="O60" i="21" s="1"/>
  <c r="S48" i="21" s="1"/>
  <c r="N103" i="7"/>
  <c r="N104" i="7"/>
  <c r="J6" i="10"/>
  <c r="S46" i="10" s="1"/>
  <c r="X46" i="10" s="1"/>
  <c r="O27" i="26"/>
  <c r="AA27" i="26" s="1"/>
  <c r="AD25" i="25"/>
  <c r="AM25" i="25" s="1"/>
  <c r="L19" i="14"/>
  <c r="R99" i="14" s="1"/>
  <c r="S121" i="4"/>
  <c r="L10" i="14"/>
  <c r="R91" i="14" s="1"/>
  <c r="W87" i="14" s="1"/>
  <c r="G8" i="23"/>
  <c r="D8" i="23" s="1"/>
  <c r="O8" i="23" s="1"/>
  <c r="S8" i="23" s="1"/>
  <c r="P43" i="24"/>
  <c r="B23" i="7"/>
  <c r="L6" i="10"/>
  <c r="R79" i="10" s="1"/>
  <c r="W79" i="10" s="1"/>
  <c r="T27" i="4"/>
  <c r="H6" i="6"/>
  <c r="N11" i="6"/>
  <c r="O104" i="7"/>
  <c r="B17" i="24"/>
  <c r="B30" i="22"/>
  <c r="N31" i="26" s="1"/>
  <c r="Z31" i="26" s="1"/>
  <c r="T18" i="26"/>
  <c r="AF18" i="26" s="1"/>
  <c r="T76" i="13"/>
  <c r="Z64" i="13" s="1"/>
  <c r="G17" i="19"/>
  <c r="D17" i="19" s="1"/>
  <c r="O9" i="19" s="1"/>
  <c r="P44" i="20"/>
  <c r="AB25" i="25"/>
  <c r="AK25" i="25" s="1"/>
  <c r="H18" i="23"/>
  <c r="E18" i="23" s="1"/>
  <c r="P18" i="23" s="1"/>
  <c r="T10" i="23" s="1"/>
  <c r="O45" i="24"/>
  <c r="B10" i="24"/>
  <c r="O31" i="26"/>
  <c r="AA31" i="26" s="1"/>
  <c r="H11" i="10"/>
  <c r="R51" i="10" s="1"/>
  <c r="W47" i="10" s="1"/>
  <c r="H6" i="10"/>
  <c r="X42" i="11"/>
  <c r="D9" i="4"/>
  <c r="C9" i="4" s="1"/>
  <c r="D12" i="4"/>
  <c r="S64" i="4"/>
  <c r="C7" i="5"/>
  <c r="R6" i="5" s="1"/>
  <c r="Y6" i="5" s="1"/>
  <c r="N81" i="26"/>
  <c r="T81" i="26" s="1"/>
  <c r="B95" i="22"/>
  <c r="O7" i="26"/>
  <c r="AA7" i="26" s="1"/>
  <c r="T30" i="26"/>
  <c r="AF30" i="26" s="1"/>
  <c r="T15" i="26"/>
  <c r="AF15" i="26" s="1"/>
  <c r="T23" i="26"/>
  <c r="AF23" i="26" s="1"/>
  <c r="Z15" i="25"/>
  <c r="AI15" i="25" s="1"/>
  <c r="T22" i="26"/>
  <c r="AF22" i="26" s="1"/>
  <c r="O30" i="26"/>
  <c r="AA30" i="26" s="1"/>
  <c r="B22" i="20"/>
  <c r="G22" i="14"/>
  <c r="F30" i="13"/>
  <c r="U46" i="13" s="1"/>
  <c r="AA34" i="13" s="1"/>
  <c r="F25" i="14"/>
  <c r="S38" i="14" s="1"/>
  <c r="W26" i="14" s="1"/>
  <c r="E14" i="13"/>
  <c r="T30" i="13" s="1"/>
  <c r="Z26" i="13" s="1"/>
  <c r="M21" i="13"/>
  <c r="D33" i="13"/>
  <c r="S49" i="13" s="1"/>
  <c r="Y37" i="13" s="1"/>
  <c r="T73" i="13"/>
  <c r="D10" i="13"/>
  <c r="S26" i="13" s="1"/>
  <c r="R90" i="14"/>
  <c r="B36" i="16"/>
  <c r="B35" i="16"/>
  <c r="R56" i="14"/>
  <c r="B87" i="11"/>
  <c r="D8" i="9"/>
  <c r="B37" i="8"/>
  <c r="B11" i="7"/>
  <c r="B29" i="7"/>
  <c r="R75" i="6"/>
  <c r="L7" i="29"/>
  <c r="D17" i="23"/>
  <c r="Z17" i="25"/>
  <c r="AI17" i="25" s="1"/>
  <c r="AD20" i="25"/>
  <c r="AM20" i="25" s="1"/>
  <c r="G16" i="23"/>
  <c r="G24" i="23"/>
  <c r="Z10" i="25"/>
  <c r="AI10" i="25" s="1"/>
  <c r="K17" i="23"/>
  <c r="I17" i="23" s="1"/>
  <c r="O23" i="26"/>
  <c r="AA23" i="26" s="1"/>
  <c r="B12" i="24"/>
  <c r="N96" i="26"/>
  <c r="T96" i="26" s="1"/>
  <c r="B22" i="24"/>
  <c r="N80" i="26"/>
  <c r="T80" i="26" s="1"/>
  <c r="B6" i="24"/>
  <c r="B8" i="24"/>
  <c r="N9" i="26" s="1"/>
  <c r="Z9" i="26" s="1"/>
  <c r="T7" i="26"/>
  <c r="AF7" i="26" s="1"/>
  <c r="G23" i="23"/>
  <c r="D23" i="23" s="1"/>
  <c r="O23" i="23" s="1"/>
  <c r="S11" i="23" s="1"/>
  <c r="B14" i="24"/>
  <c r="H8" i="23"/>
  <c r="E8" i="23" s="1"/>
  <c r="P8" i="23" s="1"/>
  <c r="T8" i="23" s="1"/>
  <c r="O15" i="26"/>
  <c r="AA15" i="26" s="1"/>
  <c r="B21" i="24"/>
  <c r="N22" i="26" s="1"/>
  <c r="Z22" i="26" s="1"/>
  <c r="B29" i="24"/>
  <c r="H31" i="23"/>
  <c r="G31" i="23"/>
  <c r="D31" i="23" s="1"/>
  <c r="O31" i="23" s="1"/>
  <c r="S19" i="23" s="1"/>
  <c r="N97" i="26"/>
  <c r="T97" i="26" s="1"/>
  <c r="G14" i="23"/>
  <c r="D14" i="23" s="1"/>
  <c r="O14" i="23" s="1"/>
  <c r="B13" i="24"/>
  <c r="H29" i="21"/>
  <c r="B20" i="22"/>
  <c r="B28" i="22"/>
  <c r="H35" i="22"/>
  <c r="T31" i="26"/>
  <c r="AF31" i="26" s="1"/>
  <c r="N83" i="26"/>
  <c r="T83" i="26" s="1"/>
  <c r="B29" i="22"/>
  <c r="T17" i="26"/>
  <c r="AF17" i="26" s="1"/>
  <c r="T21" i="26"/>
  <c r="AF21" i="26" s="1"/>
  <c r="T10" i="26"/>
  <c r="AF10" i="26" s="1"/>
  <c r="H36" i="22"/>
  <c r="H37" i="22"/>
  <c r="T13" i="26"/>
  <c r="AF13" i="26" s="1"/>
  <c r="N78" i="26"/>
  <c r="T78" i="26" s="1"/>
  <c r="O29" i="26"/>
  <c r="AA29" i="26" s="1"/>
  <c r="G22" i="21"/>
  <c r="D22" i="21" s="1"/>
  <c r="O22" i="21" s="1"/>
  <c r="AA22" i="25"/>
  <c r="AJ22" i="25" s="1"/>
  <c r="AD23" i="25"/>
  <c r="AM23" i="25" s="1"/>
  <c r="Z29" i="25"/>
  <c r="AI29" i="25" s="1"/>
  <c r="F16" i="21"/>
  <c r="O53" i="21" s="1"/>
  <c r="B29" i="20"/>
  <c r="C12" i="20"/>
  <c r="O43" i="20" s="1"/>
  <c r="G34" i="19"/>
  <c r="D34" i="19" s="1"/>
  <c r="O22" i="19" s="1"/>
  <c r="H35" i="20"/>
  <c r="H36" i="20"/>
  <c r="H37" i="20"/>
  <c r="H38" i="20"/>
  <c r="H29" i="19"/>
  <c r="B30" i="20"/>
  <c r="E30" i="19"/>
  <c r="P18" i="19" s="1"/>
  <c r="E25" i="19"/>
  <c r="P13" i="19" s="1"/>
  <c r="E31" i="19"/>
  <c r="P19" i="19" s="1"/>
  <c r="F9" i="19"/>
  <c r="O19" i="17"/>
  <c r="D24" i="13"/>
  <c r="S40" i="13" s="1"/>
  <c r="Y28" i="13" s="1"/>
  <c r="M10" i="13"/>
  <c r="T64" i="13"/>
  <c r="Z60" i="13" s="1"/>
  <c r="S97" i="13"/>
  <c r="H14" i="13"/>
  <c r="D11" i="13"/>
  <c r="S27" i="13" s="1"/>
  <c r="R57" i="14"/>
  <c r="K25" i="14"/>
  <c r="F27" i="13"/>
  <c r="U43" i="13" s="1"/>
  <c r="AA31" i="13" s="1"/>
  <c r="E29" i="13"/>
  <c r="T45" i="13" s="1"/>
  <c r="Z33" i="13" s="1"/>
  <c r="L36" i="15"/>
  <c r="L39" i="15"/>
  <c r="L38" i="15"/>
  <c r="L37" i="15"/>
  <c r="R60" i="14"/>
  <c r="W56" i="14" s="1"/>
  <c r="E10" i="14"/>
  <c r="R86" i="14"/>
  <c r="W86" i="14" s="1"/>
  <c r="N12" i="14"/>
  <c r="S92" i="14" s="1"/>
  <c r="S68" i="14"/>
  <c r="F19" i="14"/>
  <c r="S32" i="14" s="1"/>
  <c r="R78" i="14"/>
  <c r="W66" i="14" s="1"/>
  <c r="D29" i="14"/>
  <c r="R42" i="14" s="1"/>
  <c r="V30" i="14" s="1"/>
  <c r="G29" i="14"/>
  <c r="M19" i="13"/>
  <c r="C22" i="15"/>
  <c r="K5" i="14"/>
  <c r="M9" i="13"/>
  <c r="K7" i="14"/>
  <c r="C31" i="15"/>
  <c r="H32" i="13"/>
  <c r="H26" i="13"/>
  <c r="C32" i="15"/>
  <c r="D32" i="13"/>
  <c r="S48" i="13" s="1"/>
  <c r="Y36" i="13" s="1"/>
  <c r="F31" i="13"/>
  <c r="U47" i="13" s="1"/>
  <c r="AA35" i="13" s="1"/>
  <c r="U81" i="13"/>
  <c r="AA69" i="13" s="1"/>
  <c r="C18" i="15"/>
  <c r="J33" i="14"/>
  <c r="J36" i="14" s="1"/>
  <c r="E22" i="13"/>
  <c r="T38" i="13" s="1"/>
  <c r="R55" i="14"/>
  <c r="W55" i="14" s="1"/>
  <c r="S108" i="14"/>
  <c r="X96" i="14" s="1"/>
  <c r="K28" i="14"/>
  <c r="C101" i="15"/>
  <c r="C25" i="15"/>
  <c r="I18" i="13"/>
  <c r="S68" i="13" s="1"/>
  <c r="C95" i="15"/>
  <c r="M17" i="13"/>
  <c r="H20" i="14"/>
  <c r="G20" i="14" s="1"/>
  <c r="R59" i="14"/>
  <c r="C77" i="15"/>
  <c r="R82" i="14"/>
  <c r="W70" i="14" s="1"/>
  <c r="H36" i="14"/>
  <c r="H34" i="14"/>
  <c r="H37" i="14"/>
  <c r="H35" i="14"/>
  <c r="R87" i="14"/>
  <c r="C81" i="15"/>
  <c r="R88" i="14"/>
  <c r="K16" i="14"/>
  <c r="K24" i="14"/>
  <c r="C99" i="15"/>
  <c r="G17" i="14"/>
  <c r="G28" i="14"/>
  <c r="D28" i="14"/>
  <c r="R41" i="14" s="1"/>
  <c r="V29" i="14" s="1"/>
  <c r="F17" i="14"/>
  <c r="S30" i="14" s="1"/>
  <c r="D9" i="13"/>
  <c r="S25" i="13" s="1"/>
  <c r="Y25" i="13" s="1"/>
  <c r="H9" i="13"/>
  <c r="F28" i="13"/>
  <c r="U44" i="13" s="1"/>
  <c r="AA32" i="13" s="1"/>
  <c r="S81" i="13"/>
  <c r="Y69" i="13" s="1"/>
  <c r="D31" i="13"/>
  <c r="S47" i="13" s="1"/>
  <c r="Y35" i="13" s="1"/>
  <c r="M25" i="13"/>
  <c r="E12" i="13"/>
  <c r="T28" i="13" s="1"/>
  <c r="M39" i="13"/>
  <c r="M40" i="13"/>
  <c r="M37" i="13"/>
  <c r="E40" i="13"/>
  <c r="E37" i="13"/>
  <c r="E39" i="13"/>
  <c r="I39" i="13"/>
  <c r="I40" i="13"/>
  <c r="E20" i="13"/>
  <c r="T36" i="13" s="1"/>
  <c r="J39" i="13"/>
  <c r="J40" i="13"/>
  <c r="V81" i="13"/>
  <c r="AB69" i="13" s="1"/>
  <c r="L38" i="13"/>
  <c r="E10" i="13"/>
  <c r="T26" i="13" s="1"/>
  <c r="U76" i="13"/>
  <c r="AA64" i="13" s="1"/>
  <c r="K40" i="13"/>
  <c r="E9" i="13"/>
  <c r="G26" i="13"/>
  <c r="L40" i="13"/>
  <c r="N39" i="13"/>
  <c r="N40" i="13"/>
  <c r="E17" i="13"/>
  <c r="T33" i="13" s="1"/>
  <c r="O39" i="13"/>
  <c r="O40" i="13"/>
  <c r="T72" i="13"/>
  <c r="D37" i="13"/>
  <c r="D39" i="13"/>
  <c r="D40" i="13"/>
  <c r="H22" i="13"/>
  <c r="B91" i="11"/>
  <c r="D21" i="9"/>
  <c r="S19" i="9" s="1"/>
  <c r="G26" i="9"/>
  <c r="V24" i="9" s="1"/>
  <c r="F26" i="9"/>
  <c r="U24" i="9" s="1"/>
  <c r="D23" i="9"/>
  <c r="S21" i="9" s="1"/>
  <c r="K37" i="11"/>
  <c r="K36" i="11"/>
  <c r="K39" i="11"/>
  <c r="K38" i="11"/>
  <c r="B88" i="11"/>
  <c r="E27" i="9"/>
  <c r="T25" i="9" s="1"/>
  <c r="M12" i="9"/>
  <c r="R82" i="9" s="1"/>
  <c r="H19" i="9"/>
  <c r="R57" i="9" s="1"/>
  <c r="F29" i="9"/>
  <c r="U27" i="9" s="1"/>
  <c r="H11" i="9"/>
  <c r="R49" i="9" s="1"/>
  <c r="D11" i="9"/>
  <c r="S9" i="9" s="1"/>
  <c r="E20" i="9"/>
  <c r="T18" i="9" s="1"/>
  <c r="U67" i="9"/>
  <c r="D27" i="9"/>
  <c r="S25" i="9" s="1"/>
  <c r="M26" i="9"/>
  <c r="R96" i="9" s="1"/>
  <c r="D25" i="9"/>
  <c r="S23" i="9" s="1"/>
  <c r="M17" i="9"/>
  <c r="R87" i="9" s="1"/>
  <c r="E25" i="9"/>
  <c r="T23" i="9" s="1"/>
  <c r="M24" i="9"/>
  <c r="R94" i="9" s="1"/>
  <c r="H30" i="9"/>
  <c r="R68" i="9" s="1"/>
  <c r="S46" i="9"/>
  <c r="V12" i="11"/>
  <c r="M21" i="9"/>
  <c r="R91" i="9" s="1"/>
  <c r="F14" i="10"/>
  <c r="S12" i="10" s="1"/>
  <c r="M18" i="9"/>
  <c r="R88" i="9" s="1"/>
  <c r="E24" i="9"/>
  <c r="T22" i="9" s="1"/>
  <c r="G27" i="9"/>
  <c r="V25" i="9" s="1"/>
  <c r="H12" i="9"/>
  <c r="R50" i="9" s="1"/>
  <c r="E21" i="9"/>
  <c r="T19" i="9" s="1"/>
  <c r="J30" i="10"/>
  <c r="G30" i="10" s="1"/>
  <c r="Q69" i="10" s="1"/>
  <c r="V57" i="10" s="1"/>
  <c r="H15" i="9"/>
  <c r="R53" i="9" s="1"/>
  <c r="B31" i="11"/>
  <c r="B78" i="11"/>
  <c r="V25" i="11"/>
  <c r="V17" i="11"/>
  <c r="B82" i="11"/>
  <c r="J25" i="10"/>
  <c r="G25" i="10" s="1"/>
  <c r="Q64" i="10" s="1"/>
  <c r="V52" i="10" s="1"/>
  <c r="J34" i="10"/>
  <c r="S73" i="10" s="1"/>
  <c r="X61" i="10" s="1"/>
  <c r="B97" i="11"/>
  <c r="M23" i="9"/>
  <c r="R93" i="9" s="1"/>
  <c r="B75" i="11"/>
  <c r="E11" i="10"/>
  <c r="R49" i="10"/>
  <c r="S61" i="9"/>
  <c r="H9" i="9"/>
  <c r="R47" i="9" s="1"/>
  <c r="B90" i="11"/>
  <c r="R104" i="9"/>
  <c r="M35" i="9"/>
  <c r="G29" i="9"/>
  <c r="L36" i="9"/>
  <c r="K28" i="10"/>
  <c r="Q100" i="10" s="1"/>
  <c r="V88" i="10" s="1"/>
  <c r="B18" i="11"/>
  <c r="K9" i="10"/>
  <c r="Q82" i="10" s="1"/>
  <c r="R82" i="10"/>
  <c r="U62" i="9"/>
  <c r="K37" i="9"/>
  <c r="K38" i="9"/>
  <c r="H29" i="9"/>
  <c r="R67" i="9" s="1"/>
  <c r="G24" i="9"/>
  <c r="L38" i="9"/>
  <c r="B14" i="11"/>
  <c r="D14" i="9"/>
  <c r="S12" i="9" s="1"/>
  <c r="B32" i="11"/>
  <c r="D17" i="10"/>
  <c r="R15" i="10" s="1"/>
  <c r="W7" i="10" s="1"/>
  <c r="R48" i="10"/>
  <c r="R80" i="10"/>
  <c r="V11" i="11"/>
  <c r="U32" i="9"/>
  <c r="F35" i="9"/>
  <c r="M20" i="9"/>
  <c r="R90" i="9" s="1"/>
  <c r="R46" i="10"/>
  <c r="W46" i="10" s="1"/>
  <c r="R106" i="10"/>
  <c r="W94" i="10" s="1"/>
  <c r="L35" i="10"/>
  <c r="B23" i="11"/>
  <c r="V21" i="11"/>
  <c r="B89" i="11"/>
  <c r="N18" i="10"/>
  <c r="S90" i="10" s="1"/>
  <c r="S86" i="10"/>
  <c r="K14" i="10"/>
  <c r="Q86" i="10" s="1"/>
  <c r="D9" i="10"/>
  <c r="F27" i="10"/>
  <c r="S25" i="10" s="1"/>
  <c r="X13" i="10" s="1"/>
  <c r="D36" i="5"/>
  <c r="D37" i="5"/>
  <c r="D38" i="5"/>
  <c r="D35" i="5"/>
  <c r="E37" i="5"/>
  <c r="E38" i="5"/>
  <c r="E35" i="5"/>
  <c r="E36" i="5"/>
  <c r="U33" i="5"/>
  <c r="AB21" i="5" s="1"/>
  <c r="F38" i="5"/>
  <c r="F35" i="5"/>
  <c r="F36" i="5"/>
  <c r="F37" i="5"/>
  <c r="C15" i="5"/>
  <c r="R14" i="5" s="1"/>
  <c r="V33" i="5"/>
  <c r="AC21" i="5" s="1"/>
  <c r="G38" i="5"/>
  <c r="G35" i="5"/>
  <c r="G36" i="5"/>
  <c r="H37" i="5"/>
  <c r="H35" i="5"/>
  <c r="H38" i="5"/>
  <c r="H36" i="5"/>
  <c r="M36" i="5"/>
  <c r="M37" i="5"/>
  <c r="M38" i="5"/>
  <c r="M35" i="5"/>
  <c r="C11" i="5"/>
  <c r="R10" i="5" s="1"/>
  <c r="D6" i="6"/>
  <c r="K30" i="6"/>
  <c r="Q97" i="6" s="1"/>
  <c r="V85" i="6" s="1"/>
  <c r="G31" i="6"/>
  <c r="Q67" i="6" s="1"/>
  <c r="V55" i="6" s="1"/>
  <c r="B79" i="7"/>
  <c r="K7" i="7"/>
  <c r="J7" i="6" s="1"/>
  <c r="R47" i="6"/>
  <c r="R48" i="6"/>
  <c r="J11" i="6"/>
  <c r="S48" i="6" s="1"/>
  <c r="X44" i="6" s="1"/>
  <c r="K6" i="7"/>
  <c r="S41" i="7" s="1"/>
  <c r="G29" i="6"/>
  <c r="Q65" i="6" s="1"/>
  <c r="V53" i="6" s="1"/>
  <c r="D15" i="6"/>
  <c r="R15" i="6" s="1"/>
  <c r="R82" i="6"/>
  <c r="R50" i="6"/>
  <c r="R58" i="6"/>
  <c r="W46" i="6" s="1"/>
  <c r="D22" i="6"/>
  <c r="R22" i="6" s="1"/>
  <c r="W9" i="6" s="1"/>
  <c r="D30" i="6"/>
  <c r="R66" i="6"/>
  <c r="W54" i="6" s="1"/>
  <c r="B30" i="7"/>
  <c r="B94" i="7"/>
  <c r="L31" i="6"/>
  <c r="G13" i="6"/>
  <c r="D13" i="6"/>
  <c r="R49" i="6"/>
  <c r="D23" i="6"/>
  <c r="R23" i="6" s="1"/>
  <c r="R59" i="6"/>
  <c r="B95" i="7"/>
  <c r="L32" i="6"/>
  <c r="D32" i="6" s="1"/>
  <c r="B85" i="7"/>
  <c r="R52" i="6"/>
  <c r="D16" i="6"/>
  <c r="R16" i="6" s="1"/>
  <c r="R60" i="6"/>
  <c r="W48" i="6" s="1"/>
  <c r="D24" i="6"/>
  <c r="R24" i="6" s="1"/>
  <c r="R68" i="6"/>
  <c r="W56" i="6" s="1"/>
  <c r="G32" i="6"/>
  <c r="Q68" i="6" s="1"/>
  <c r="V56" i="6" s="1"/>
  <c r="L25" i="6"/>
  <c r="R92" i="6" s="1"/>
  <c r="W80" i="6" s="1"/>
  <c r="D21" i="6"/>
  <c r="R21" i="6" s="1"/>
  <c r="R57" i="6"/>
  <c r="B73" i="7"/>
  <c r="L37" i="6"/>
  <c r="L38" i="6"/>
  <c r="R101" i="6"/>
  <c r="W89" i="6" s="1"/>
  <c r="L36" i="6"/>
  <c r="L35" i="6"/>
  <c r="K34" i="6"/>
  <c r="H7" i="6"/>
  <c r="D7" i="6" s="1"/>
  <c r="D17" i="6"/>
  <c r="R17" i="6" s="1"/>
  <c r="W8" i="6" s="1"/>
  <c r="R53" i="6"/>
  <c r="W45" i="6" s="1"/>
  <c r="B26" i="7"/>
  <c r="H25" i="6"/>
  <c r="H35" i="6"/>
  <c r="R70" i="6"/>
  <c r="W58" i="6" s="1"/>
  <c r="H38" i="6"/>
  <c r="D34" i="6"/>
  <c r="H36" i="6"/>
  <c r="H37" i="6"/>
  <c r="R54" i="6"/>
  <c r="D18" i="6"/>
  <c r="R18" i="6" s="1"/>
  <c r="D26" i="6"/>
  <c r="R62" i="6"/>
  <c r="W50" i="6" s="1"/>
  <c r="B14" i="7"/>
  <c r="B90" i="7"/>
  <c r="L27" i="6"/>
  <c r="D27" i="6" s="1"/>
  <c r="R55" i="6"/>
  <c r="D19" i="6"/>
  <c r="R19" i="6" s="1"/>
  <c r="R63" i="6"/>
  <c r="W51" i="6" s="1"/>
  <c r="I69" i="7"/>
  <c r="R80" i="6"/>
  <c r="K13" i="6"/>
  <c r="Q80" i="6" s="1"/>
  <c r="C34" i="6"/>
  <c r="Q34" i="6" s="1"/>
  <c r="V21" i="6" s="1"/>
  <c r="B21" i="7"/>
  <c r="H20" i="6"/>
  <c r="G20" i="6" s="1"/>
  <c r="Q56" i="6" s="1"/>
  <c r="D28" i="6"/>
  <c r="R28" i="6" s="1"/>
  <c r="R64" i="6"/>
  <c r="W52" i="6" s="1"/>
  <c r="B77" i="7"/>
  <c r="L14" i="6"/>
  <c r="R81" i="6" s="1"/>
  <c r="D29" i="6"/>
  <c r="R29" i="6" s="1"/>
  <c r="W16" i="6" s="1"/>
  <c r="R96" i="6"/>
  <c r="W84" i="6" s="1"/>
  <c r="E10" i="6"/>
  <c r="G21" i="6"/>
  <c r="Q57" i="6" s="1"/>
  <c r="N7" i="6"/>
  <c r="B70" i="7"/>
  <c r="W76" i="6"/>
  <c r="K17" i="6"/>
  <c r="Q84" i="6" s="1"/>
  <c r="V76" i="6" s="1"/>
  <c r="D32" i="19"/>
  <c r="O20" i="19" s="1"/>
  <c r="F32" i="19"/>
  <c r="R72" i="14"/>
  <c r="W60" i="14" s="1"/>
  <c r="G23" i="14"/>
  <c r="D23" i="14"/>
  <c r="R36" i="14" s="1"/>
  <c r="V24" i="14" s="1"/>
  <c r="E22" i="19"/>
  <c r="P10" i="19" s="1"/>
  <c r="I22" i="19"/>
  <c r="K31" i="10"/>
  <c r="Q103" i="10" s="1"/>
  <c r="V91" i="10" s="1"/>
  <c r="S103" i="10"/>
  <c r="X91" i="10" s="1"/>
  <c r="B23" i="24"/>
  <c r="C94" i="15"/>
  <c r="G11" i="23"/>
  <c r="D11" i="23" s="1"/>
  <c r="B9" i="24"/>
  <c r="N10" i="26" s="1"/>
  <c r="Z10" i="26" s="1"/>
  <c r="B94" i="11"/>
  <c r="D7" i="9"/>
  <c r="S6" i="9" s="1"/>
  <c r="L10" i="6"/>
  <c r="K10" i="6" s="1"/>
  <c r="Q78" i="6" s="1"/>
  <c r="B95" i="11"/>
  <c r="C40" i="17"/>
  <c r="C39" i="17"/>
  <c r="O28" i="17"/>
  <c r="F30" i="19"/>
  <c r="C11" i="20"/>
  <c r="H11" i="19" s="1"/>
  <c r="O18" i="26"/>
  <c r="AA18" i="26" s="1"/>
  <c r="E9" i="6"/>
  <c r="H11" i="22"/>
  <c r="O10" i="26"/>
  <c r="AA10" i="26" s="1"/>
  <c r="E29" i="9"/>
  <c r="T27" i="9" s="1"/>
  <c r="R74" i="6"/>
  <c r="W74" i="6" s="1"/>
  <c r="B96" i="11"/>
  <c r="H18" i="9"/>
  <c r="R56" i="9" s="1"/>
  <c r="C17" i="15"/>
  <c r="B26" i="11"/>
  <c r="G16" i="14"/>
  <c r="N24" i="6"/>
  <c r="S91" i="6" s="1"/>
  <c r="X79" i="6" s="1"/>
  <c r="D17" i="14"/>
  <c r="O26" i="17"/>
  <c r="E32" i="13"/>
  <c r="T48" i="13" s="1"/>
  <c r="Z36" i="13" s="1"/>
  <c r="D10" i="4"/>
  <c r="E11" i="9"/>
  <c r="T9" i="9" s="1"/>
  <c r="U34" i="4"/>
  <c r="F24" i="9"/>
  <c r="U22" i="9" s="1"/>
  <c r="D25" i="14"/>
  <c r="R38" i="14" s="1"/>
  <c r="V26" i="14" s="1"/>
  <c r="H32" i="23"/>
  <c r="B12" i="22"/>
  <c r="C34" i="4"/>
  <c r="C37" i="4" s="1"/>
  <c r="D37" i="4"/>
  <c r="O35" i="17"/>
  <c r="K19" i="23"/>
  <c r="E19" i="23" s="1"/>
  <c r="P19" i="23" s="1"/>
  <c r="N90" i="26"/>
  <c r="T90" i="26" s="1"/>
  <c r="K24" i="16"/>
  <c r="F18" i="6"/>
  <c r="S18" i="6" s="1"/>
  <c r="G27" i="14"/>
  <c r="S65" i="9"/>
  <c r="C97" i="15"/>
  <c r="O24" i="17"/>
  <c r="E23" i="19"/>
  <c r="P11" i="19" s="1"/>
  <c r="B14" i="22"/>
  <c r="B25" i="20"/>
  <c r="N76" i="26"/>
  <c r="T76" i="26" s="1"/>
  <c r="L24" i="16"/>
  <c r="V9" i="11"/>
  <c r="B80" i="7"/>
  <c r="T65" i="9"/>
  <c r="B91" i="7"/>
  <c r="G21" i="21"/>
  <c r="T34" i="4"/>
  <c r="H37" i="4"/>
  <c r="O30" i="17"/>
  <c r="G21" i="14"/>
  <c r="K21" i="6"/>
  <c r="Q88" i="6" s="1"/>
  <c r="B88" i="7"/>
  <c r="T117" i="4"/>
  <c r="F38" i="4"/>
  <c r="E6" i="10"/>
  <c r="N23" i="14"/>
  <c r="S103" i="14" s="1"/>
  <c r="X91" i="14" s="1"/>
  <c r="C14" i="15"/>
  <c r="C21" i="15"/>
  <c r="F26" i="14"/>
  <c r="S39" i="14" s="1"/>
  <c r="W27" i="14" s="1"/>
  <c r="B15" i="22"/>
  <c r="E20" i="23"/>
  <c r="P20" i="23" s="1"/>
  <c r="H19" i="29"/>
  <c r="D29" i="9"/>
  <c r="S27" i="9" s="1"/>
  <c r="U117" i="4"/>
  <c r="G38" i="4"/>
  <c r="B92" i="7"/>
  <c r="K6" i="14"/>
  <c r="F26" i="21"/>
  <c r="O63" i="21" s="1"/>
  <c r="S51" i="21" s="1"/>
  <c r="S88" i="4"/>
  <c r="L39" i="4"/>
  <c r="L40" i="4"/>
  <c r="F8" i="10"/>
  <c r="S7" i="10" s="1"/>
  <c r="N91" i="26"/>
  <c r="T91" i="26" s="1"/>
  <c r="O13" i="26"/>
  <c r="AA13" i="26" s="1"/>
  <c r="N30" i="14"/>
  <c r="S110" i="14" s="1"/>
  <c r="X98" i="14" s="1"/>
  <c r="J30" i="14"/>
  <c r="M29" i="9"/>
  <c r="R99" i="9" s="1"/>
  <c r="F7" i="14"/>
  <c r="S21" i="14" s="1"/>
  <c r="V23" i="11"/>
  <c r="T30" i="4"/>
  <c r="H38" i="4"/>
  <c r="S6" i="5"/>
  <c r="Z6" i="5" s="1"/>
  <c r="C29" i="15"/>
  <c r="C84" i="15"/>
  <c r="G25" i="19"/>
  <c r="D25" i="19" s="1"/>
  <c r="B16" i="22"/>
  <c r="N93" i="26"/>
  <c r="T93" i="26" s="1"/>
  <c r="B68" i="22"/>
  <c r="G18" i="6"/>
  <c r="Q54" i="6" s="1"/>
  <c r="E18" i="9"/>
  <c r="T16" i="9" s="1"/>
  <c r="D28" i="4"/>
  <c r="S28" i="4" s="1"/>
  <c r="D25" i="4"/>
  <c r="S25" i="4" s="1"/>
  <c r="E40" i="4"/>
  <c r="E39" i="4"/>
  <c r="U30" i="4"/>
  <c r="L38" i="4"/>
  <c r="B93" i="7"/>
  <c r="F6" i="14"/>
  <c r="S20" i="14" s="1"/>
  <c r="O27" i="17"/>
  <c r="E16" i="23"/>
  <c r="P16" i="23" s="1"/>
  <c r="B19" i="22"/>
  <c r="H21" i="9"/>
  <c r="R59" i="9" s="1"/>
  <c r="E7" i="9"/>
  <c r="T6" i="9" s="1"/>
  <c r="T112" i="4"/>
  <c r="F40" i="4"/>
  <c r="F39" i="4"/>
  <c r="D8" i="6"/>
  <c r="B72" i="7"/>
  <c r="H22" i="10"/>
  <c r="R61" i="10" s="1"/>
  <c r="W49" i="10" s="1"/>
  <c r="C23" i="15"/>
  <c r="X11" i="26"/>
  <c r="AJ11" i="26" s="1"/>
  <c r="N15" i="14"/>
  <c r="D15" i="9"/>
  <c r="S13" i="9" s="1"/>
  <c r="K8" i="10"/>
  <c r="Q81" i="10" s="1"/>
  <c r="U25" i="4"/>
  <c r="U112" i="4"/>
  <c r="G39" i="4"/>
  <c r="G40" i="4"/>
  <c r="D31" i="4"/>
  <c r="D86" i="15"/>
  <c r="L15" i="14" s="1"/>
  <c r="F19" i="19"/>
  <c r="G25" i="23"/>
  <c r="G38" i="23" s="1"/>
  <c r="V28" i="11"/>
  <c r="H39" i="4"/>
  <c r="H40" i="4"/>
  <c r="H7" i="9"/>
  <c r="R45" i="9" s="1"/>
  <c r="O14" i="17"/>
  <c r="F20" i="19"/>
  <c r="S94" i="10"/>
  <c r="X82" i="10" s="1"/>
  <c r="K22" i="10"/>
  <c r="Q94" i="10" s="1"/>
  <c r="V82" i="10" s="1"/>
  <c r="I16" i="21"/>
  <c r="E16" i="21"/>
  <c r="P16" i="21" s="1"/>
  <c r="S63" i="10"/>
  <c r="X51" i="10" s="1"/>
  <c r="F24" i="10"/>
  <c r="S22" i="10" s="1"/>
  <c r="X10" i="10" s="1"/>
  <c r="S76" i="6"/>
  <c r="F8" i="6"/>
  <c r="S8" i="6" s="1"/>
  <c r="R102" i="14"/>
  <c r="W90" i="14" s="1"/>
  <c r="K22" i="14"/>
  <c r="D22" i="14"/>
  <c r="R35" i="14" s="1"/>
  <c r="V23" i="14" s="1"/>
  <c r="K7" i="6"/>
  <c r="Q75" i="6" s="1"/>
  <c r="S75" i="6"/>
  <c r="K16" i="6"/>
  <c r="Q83" i="6" s="1"/>
  <c r="S83" i="6"/>
  <c r="S109" i="14"/>
  <c r="X97" i="14" s="1"/>
  <c r="F29" i="14"/>
  <c r="K29" i="14"/>
  <c r="S12" i="4"/>
  <c r="C12" i="4"/>
  <c r="B12" i="20"/>
  <c r="H12" i="19"/>
  <c r="S105" i="14"/>
  <c r="X93" i="14" s="1"/>
  <c r="B78" i="7"/>
  <c r="H24" i="13"/>
  <c r="D7" i="10"/>
  <c r="C88" i="15"/>
  <c r="B26" i="22"/>
  <c r="N27" i="26" s="1"/>
  <c r="Z27" i="26" s="1"/>
  <c r="E21" i="13"/>
  <c r="T37" i="13" s="1"/>
  <c r="G25" i="14"/>
  <c r="D11" i="4"/>
  <c r="V15" i="11"/>
  <c r="U19" i="4"/>
  <c r="C20" i="5"/>
  <c r="R19" i="5" s="1"/>
  <c r="O31" i="17"/>
  <c r="O20" i="26"/>
  <c r="AA20" i="26" s="1"/>
  <c r="R74" i="14"/>
  <c r="W62" i="14" s="1"/>
  <c r="O29" i="17"/>
  <c r="B17" i="20"/>
  <c r="O17" i="26"/>
  <c r="AA17" i="26" s="1"/>
  <c r="Z22" i="25"/>
  <c r="AI22" i="25" s="1"/>
  <c r="K29" i="23"/>
  <c r="AD29" i="25" s="1"/>
  <c r="AM29" i="25" s="1"/>
  <c r="B16" i="20"/>
  <c r="U11" i="4"/>
  <c r="C25" i="5"/>
  <c r="R24" i="5" s="1"/>
  <c r="Y12" i="5" s="1"/>
  <c r="B28" i="7"/>
  <c r="B13" i="22"/>
  <c r="N14" i="26" s="1"/>
  <c r="Z14" i="26" s="1"/>
  <c r="S95" i="9"/>
  <c r="N19" i="10"/>
  <c r="K19" i="10" s="1"/>
  <c r="Q91" i="10" s="1"/>
  <c r="N26" i="10"/>
  <c r="F26" i="10" s="1"/>
  <c r="O25" i="17"/>
  <c r="B18" i="20"/>
  <c r="H15" i="21"/>
  <c r="F15" i="21" s="1"/>
  <c r="O52" i="21" s="1"/>
  <c r="T8" i="26"/>
  <c r="AF8" i="26" s="1"/>
  <c r="B18" i="7"/>
  <c r="B23" i="20"/>
  <c r="S61" i="10"/>
  <c r="X49" i="10" s="1"/>
  <c r="S99" i="4"/>
  <c r="O34" i="17"/>
  <c r="N16" i="26"/>
  <c r="Z16" i="26" s="1"/>
  <c r="N25" i="26"/>
  <c r="Z25" i="26" s="1"/>
  <c r="S112" i="4"/>
  <c r="C21" i="5"/>
  <c r="R20" i="5" s="1"/>
  <c r="B22" i="7"/>
  <c r="B19" i="20"/>
  <c r="E28" i="9"/>
  <c r="T26" i="9" s="1"/>
  <c r="B80" i="11"/>
  <c r="M33" i="13"/>
  <c r="B22" i="22"/>
  <c r="N23" i="26" s="1"/>
  <c r="Z23" i="26" s="1"/>
  <c r="B19" i="24"/>
  <c r="D19" i="14"/>
  <c r="C19" i="14" s="1"/>
  <c r="N94" i="26"/>
  <c r="T94" i="26" s="1"/>
  <c r="H28" i="21"/>
  <c r="E28" i="21" s="1"/>
  <c r="P28" i="21" s="1"/>
  <c r="T16" i="21" s="1"/>
  <c r="T14" i="26"/>
  <c r="AF14" i="26" s="1"/>
  <c r="T32" i="26"/>
  <c r="AF32" i="26" s="1"/>
  <c r="Z35" i="25"/>
  <c r="AI35" i="25" s="1"/>
  <c r="D35" i="23"/>
  <c r="S56" i="14"/>
  <c r="F7" i="29"/>
  <c r="D19" i="9"/>
  <c r="S17" i="9" s="1"/>
  <c r="H16" i="9"/>
  <c r="R54" i="9" s="1"/>
  <c r="F13" i="10"/>
  <c r="S11" i="10" s="1"/>
  <c r="B12" i="11"/>
  <c r="K18" i="14"/>
  <c r="H18" i="13"/>
  <c r="F21" i="19"/>
  <c r="B20" i="24"/>
  <c r="E22" i="9"/>
  <c r="T20" i="9" s="1"/>
  <c r="V32" i="11"/>
  <c r="V7" i="11"/>
  <c r="G15" i="14"/>
  <c r="D30" i="9"/>
  <c r="S28" i="9" s="1"/>
  <c r="D9" i="9"/>
  <c r="S7" i="9" s="1"/>
  <c r="B8" i="7"/>
  <c r="T67" i="13"/>
  <c r="O32" i="17"/>
  <c r="B7" i="20"/>
  <c r="B13" i="20"/>
  <c r="B17" i="22"/>
  <c r="N18" i="26" s="1"/>
  <c r="Z18" i="26" s="1"/>
  <c r="H15" i="13"/>
  <c r="C8" i="5"/>
  <c r="R7" i="5" s="1"/>
  <c r="B32" i="7"/>
  <c r="E8" i="19"/>
  <c r="C8" i="19" s="1"/>
  <c r="N79" i="26"/>
  <c r="T79" i="26" s="1"/>
  <c r="B7" i="22"/>
  <c r="N8" i="26" s="1"/>
  <c r="Z8" i="26" s="1"/>
  <c r="D15" i="13"/>
  <c r="S31" i="13" s="1"/>
  <c r="D30" i="4"/>
  <c r="D38" i="4" s="1"/>
  <c r="L9" i="6"/>
  <c r="C100" i="15"/>
  <c r="O9" i="17"/>
  <c r="E9" i="19"/>
  <c r="B6" i="22"/>
  <c r="N7" i="26" s="1"/>
  <c r="Z7" i="26" s="1"/>
  <c r="E14" i="21"/>
  <c r="D18" i="13"/>
  <c r="S34" i="13" s="1"/>
  <c r="D15" i="23"/>
  <c r="O15" i="23" s="1"/>
  <c r="D22" i="4"/>
  <c r="C22" i="4" s="1"/>
  <c r="E15" i="19"/>
  <c r="F11" i="21"/>
  <c r="B31" i="22"/>
  <c r="N32" i="26" s="1"/>
  <c r="Z32" i="26" s="1"/>
  <c r="F19" i="21"/>
  <c r="AA13" i="25"/>
  <c r="AJ13" i="25" s="1"/>
  <c r="E34" i="19"/>
  <c r="P22" i="19" s="1"/>
  <c r="F34" i="19"/>
  <c r="O33" i="17"/>
  <c r="S104" i="4"/>
  <c r="S9" i="4"/>
  <c r="D15" i="4"/>
  <c r="C15" i="4" s="1"/>
  <c r="D19" i="4"/>
  <c r="C19" i="4" s="1"/>
  <c r="U116" i="4"/>
  <c r="S20" i="4"/>
  <c r="D8" i="4"/>
  <c r="C8" i="4" s="1"/>
  <c r="D26" i="4"/>
  <c r="C26" i="4" s="1"/>
  <c r="S120" i="4"/>
  <c r="S79" i="4"/>
  <c r="D21" i="4"/>
  <c r="S21" i="4" s="1"/>
  <c r="D33" i="4"/>
  <c r="D14" i="4"/>
  <c r="S14" i="4" s="1"/>
  <c r="D23" i="4"/>
  <c r="S51" i="4"/>
  <c r="D16" i="4"/>
  <c r="T18" i="4"/>
  <c r="F8" i="14"/>
  <c r="S22" i="14" s="1"/>
  <c r="S89" i="14"/>
  <c r="S64" i="14"/>
  <c r="E96" i="3"/>
  <c r="E95" i="3"/>
  <c r="D13" i="4"/>
  <c r="U111" i="4"/>
  <c r="G26" i="10"/>
  <c r="Q65" i="10" s="1"/>
  <c r="V53" i="10" s="1"/>
  <c r="R65" i="10"/>
  <c r="W53" i="10" s="1"/>
  <c r="B11" i="22"/>
  <c r="G6" i="14"/>
  <c r="F9" i="29"/>
  <c r="H9" i="29" s="1"/>
  <c r="N23" i="6"/>
  <c r="S48" i="4"/>
  <c r="C30" i="5"/>
  <c r="R29" i="5" s="1"/>
  <c r="Y17" i="5" s="1"/>
  <c r="S29" i="5"/>
  <c r="Z17" i="5" s="1"/>
  <c r="T89" i="9"/>
  <c r="E19" i="9"/>
  <c r="T17" i="9" s="1"/>
  <c r="M19" i="9"/>
  <c r="R89" i="9" s="1"/>
  <c r="T95" i="9"/>
  <c r="M25" i="9"/>
  <c r="R95" i="9" s="1"/>
  <c r="T100" i="9"/>
  <c r="E30" i="9"/>
  <c r="T28" i="9" s="1"/>
  <c r="B25" i="11"/>
  <c r="H24" i="10"/>
  <c r="R63" i="10" s="1"/>
  <c r="W51" i="10" s="1"/>
  <c r="S65" i="10"/>
  <c r="X53" i="10" s="1"/>
  <c r="G24" i="14"/>
  <c r="R73" i="14"/>
  <c r="W61" i="14" s="1"/>
  <c r="B11" i="24"/>
  <c r="E36" i="3"/>
  <c r="E35" i="3"/>
  <c r="S87" i="6"/>
  <c r="K20" i="6"/>
  <c r="Q87" i="6" s="1"/>
  <c r="F20" i="6"/>
  <c r="S20" i="6" s="1"/>
  <c r="S48" i="9"/>
  <c r="D10" i="9"/>
  <c r="S8" i="9" s="1"/>
  <c r="H10" i="9"/>
  <c r="R48" i="9" s="1"/>
  <c r="B14" i="20"/>
  <c r="G14" i="19"/>
  <c r="F14" i="19" s="1"/>
  <c r="O12" i="26"/>
  <c r="AA12" i="26" s="1"/>
  <c r="S71" i="4"/>
  <c r="T83" i="9"/>
  <c r="E13" i="9"/>
  <c r="T11" i="9" s="1"/>
  <c r="D17" i="9"/>
  <c r="S15" i="9" s="1"/>
  <c r="H17" i="9"/>
  <c r="R55" i="9" s="1"/>
  <c r="T64" i="9"/>
  <c r="E26" i="9"/>
  <c r="T24" i="9" s="1"/>
  <c r="H13" i="10"/>
  <c r="R52" i="10" s="1"/>
  <c r="T71" i="11"/>
  <c r="V18" i="11"/>
  <c r="V20" i="11"/>
  <c r="G12" i="21"/>
  <c r="B10" i="22"/>
  <c r="N11" i="26" s="1"/>
  <c r="Z11" i="26" s="1"/>
  <c r="I35" i="23"/>
  <c r="I39" i="23" s="1"/>
  <c r="H23" i="29"/>
  <c r="H8" i="11"/>
  <c r="I7" i="10" s="1"/>
  <c r="E7" i="10" s="1"/>
  <c r="J8" i="9"/>
  <c r="E8" i="9" s="1"/>
  <c r="C26" i="15"/>
  <c r="K24" i="6"/>
  <c r="K37" i="6" s="1"/>
  <c r="W79" i="6"/>
  <c r="B19" i="11"/>
  <c r="H18" i="10"/>
  <c r="G18" i="10" s="1"/>
  <c r="Q57" i="10" s="1"/>
  <c r="B21" i="11"/>
  <c r="H20" i="10"/>
  <c r="B10" i="20"/>
  <c r="G25" i="21"/>
  <c r="B23" i="22"/>
  <c r="N24" i="26" s="1"/>
  <c r="Z24" i="26" s="1"/>
  <c r="S64" i="9"/>
  <c r="D26" i="9"/>
  <c r="E10" i="19"/>
  <c r="C10" i="19" s="1"/>
  <c r="G12" i="14"/>
  <c r="D24" i="4"/>
  <c r="C16" i="5"/>
  <c r="R15" i="5" s="1"/>
  <c r="S23" i="5"/>
  <c r="Z11" i="5" s="1"/>
  <c r="C24" i="5"/>
  <c r="R23" i="5" s="1"/>
  <c r="Y11" i="5" s="1"/>
  <c r="K15" i="6"/>
  <c r="Q82" i="6" s="1"/>
  <c r="S82" i="6"/>
  <c r="B81" i="7"/>
  <c r="M25" i="8"/>
  <c r="T95" i="13"/>
  <c r="M15" i="13"/>
  <c r="D30" i="19"/>
  <c r="O18" i="19" s="1"/>
  <c r="S58" i="9"/>
  <c r="D20" i="9"/>
  <c r="S18" i="9" s="1"/>
  <c r="C7" i="15"/>
  <c r="L11" i="6"/>
  <c r="R79" i="6" s="1"/>
  <c r="W75" i="6" s="1"/>
  <c r="B74" i="7"/>
  <c r="K18" i="6"/>
  <c r="Q85" i="6" s="1"/>
  <c r="T107" i="13"/>
  <c r="S62" i="14"/>
  <c r="F13" i="14"/>
  <c r="S26" i="14" s="1"/>
  <c r="N31" i="14"/>
  <c r="S111" i="14" s="1"/>
  <c r="X99" i="14" s="1"/>
  <c r="C102" i="15"/>
  <c r="V24" i="11"/>
  <c r="S92" i="6"/>
  <c r="X80" i="6" s="1"/>
  <c r="F25" i="6"/>
  <c r="S25" i="6" s="1"/>
  <c r="X12" i="6" s="1"/>
  <c r="H10" i="10"/>
  <c r="B11" i="11"/>
  <c r="L29" i="10"/>
  <c r="D29" i="10" s="1"/>
  <c r="R27" i="10" s="1"/>
  <c r="W15" i="10" s="1"/>
  <c r="B98" i="11"/>
  <c r="S78" i="13"/>
  <c r="Y66" i="13" s="1"/>
  <c r="D28" i="13"/>
  <c r="S44" i="13" s="1"/>
  <c r="Y32" i="13" s="1"/>
  <c r="R75" i="14"/>
  <c r="W63" i="14" s="1"/>
  <c r="D26" i="14"/>
  <c r="G26" i="14"/>
  <c r="H20" i="21"/>
  <c r="B18" i="22"/>
  <c r="N19" i="26" s="1"/>
  <c r="Z19" i="26" s="1"/>
  <c r="S80" i="13"/>
  <c r="Y68" i="13" s="1"/>
  <c r="D30" i="13"/>
  <c r="S46" i="13" s="1"/>
  <c r="Y34" i="13" s="1"/>
  <c r="H30" i="13"/>
  <c r="O24" i="26"/>
  <c r="AA24" i="26" s="1"/>
  <c r="AA19" i="25"/>
  <c r="AJ19" i="25" s="1"/>
  <c r="V66" i="9"/>
  <c r="T16" i="4"/>
  <c r="S56" i="4"/>
  <c r="J14" i="6"/>
  <c r="G14" i="6" s="1"/>
  <c r="Q50" i="6" s="1"/>
  <c r="B15" i="7"/>
  <c r="S79" i="6"/>
  <c r="X75" i="6" s="1"/>
  <c r="F11" i="6"/>
  <c r="S11" i="6" s="1"/>
  <c r="X7" i="6" s="1"/>
  <c r="B82" i="7"/>
  <c r="S67" i="10"/>
  <c r="X55" i="10" s="1"/>
  <c r="F28" i="10"/>
  <c r="S26" i="10" s="1"/>
  <c r="X14" i="10" s="1"/>
  <c r="S86" i="11"/>
  <c r="V33" i="11"/>
  <c r="S75" i="14"/>
  <c r="X63" i="14" s="1"/>
  <c r="B31" i="20"/>
  <c r="G31" i="19"/>
  <c r="D31" i="19" s="1"/>
  <c r="O19" i="19" s="1"/>
  <c r="B98" i="20"/>
  <c r="K29" i="19"/>
  <c r="I29" i="19" s="1"/>
  <c r="F17" i="21"/>
  <c r="O54" i="21" s="1"/>
  <c r="C80" i="15"/>
  <c r="C35" i="15"/>
  <c r="C36" i="15" s="1"/>
  <c r="B16" i="7"/>
  <c r="B24" i="7"/>
  <c r="B31" i="7"/>
  <c r="L16" i="10"/>
  <c r="R88" i="10" s="1"/>
  <c r="B85" i="11"/>
  <c r="L23" i="10"/>
  <c r="K23" i="10" s="1"/>
  <c r="Q95" i="10" s="1"/>
  <c r="V83" i="10" s="1"/>
  <c r="B92" i="11"/>
  <c r="T60" i="13"/>
  <c r="H10" i="13"/>
  <c r="D21" i="14"/>
  <c r="R34" i="14" s="1"/>
  <c r="V22" i="14" s="1"/>
  <c r="K26" i="14"/>
  <c r="R106" i="14"/>
  <c r="W94" i="14" s="1"/>
  <c r="E10" i="21"/>
  <c r="P10" i="21" s="1"/>
  <c r="D12" i="14"/>
  <c r="AD10" i="25"/>
  <c r="AM10" i="25" s="1"/>
  <c r="K10" i="14"/>
  <c r="G21" i="10"/>
  <c r="Q60" i="10" s="1"/>
  <c r="S60" i="10"/>
  <c r="S77" i="4"/>
  <c r="U14" i="4"/>
  <c r="S31" i="4"/>
  <c r="C31" i="4"/>
  <c r="K8" i="6"/>
  <c r="Q76" i="6" s="1"/>
  <c r="R76" i="6"/>
  <c r="N30" i="10"/>
  <c r="B99" i="11"/>
  <c r="E26" i="19"/>
  <c r="P14" i="19" s="1"/>
  <c r="B32" i="20"/>
  <c r="G30" i="21"/>
  <c r="F30" i="21" s="1"/>
  <c r="O67" i="21" s="1"/>
  <c r="S55" i="21" s="1"/>
  <c r="S52" i="13"/>
  <c r="Y40" i="13" s="1"/>
  <c r="E23" i="9"/>
  <c r="T21" i="9" s="1"/>
  <c r="V31" i="11"/>
  <c r="R84" i="11"/>
  <c r="B93" i="11"/>
  <c r="L24" i="10"/>
  <c r="L38" i="10" s="1"/>
  <c r="S96" i="14"/>
  <c r="X88" i="14" s="1"/>
  <c r="F16" i="14"/>
  <c r="S29" i="14" s="1"/>
  <c r="W21" i="14" s="1"/>
  <c r="C85" i="15"/>
  <c r="N14" i="14"/>
  <c r="C91" i="15"/>
  <c r="N20" i="14"/>
  <c r="F20" i="14" s="1"/>
  <c r="N27" i="14"/>
  <c r="S107" i="14" s="1"/>
  <c r="X95" i="14" s="1"/>
  <c r="C98" i="15"/>
  <c r="B26" i="20"/>
  <c r="G26" i="19"/>
  <c r="D26" i="19" s="1"/>
  <c r="N82" i="26"/>
  <c r="T82" i="26" s="1"/>
  <c r="K18" i="21"/>
  <c r="I18" i="21" s="1"/>
  <c r="P55" i="21" s="1"/>
  <c r="T47" i="21" s="1"/>
  <c r="T28" i="26"/>
  <c r="AF28" i="26" s="1"/>
  <c r="F15" i="14"/>
  <c r="S28" i="14" s="1"/>
  <c r="T21" i="4"/>
  <c r="S61" i="4"/>
  <c r="S66" i="4"/>
  <c r="T26" i="4"/>
  <c r="H9" i="6"/>
  <c r="G9" i="6" s="1"/>
  <c r="Q46" i="6" s="1"/>
  <c r="B9" i="7"/>
  <c r="J16" i="6"/>
  <c r="G16" i="6" s="1"/>
  <c r="Q52" i="6" s="1"/>
  <c r="B17" i="7"/>
  <c r="F24" i="6"/>
  <c r="S24" i="6" s="1"/>
  <c r="X11" i="6" s="1"/>
  <c r="S60" i="6"/>
  <c r="X48" i="6" s="1"/>
  <c r="B29" i="11"/>
  <c r="H28" i="10"/>
  <c r="R67" i="10" s="1"/>
  <c r="W55" i="10" s="1"/>
  <c r="C36" i="11"/>
  <c r="H34" i="10"/>
  <c r="B35" i="11"/>
  <c r="M10" i="10"/>
  <c r="E10" i="10" s="1"/>
  <c r="B79" i="11"/>
  <c r="N17" i="10"/>
  <c r="B86" i="11"/>
  <c r="E27" i="19"/>
  <c r="P15" i="19" s="1"/>
  <c r="S13" i="6"/>
  <c r="S49" i="6"/>
  <c r="D15" i="19"/>
  <c r="T12" i="26"/>
  <c r="AF12" i="26" s="1"/>
  <c r="T29" i="26"/>
  <c r="AF29" i="26" s="1"/>
  <c r="C18" i="5"/>
  <c r="R17" i="5" s="1"/>
  <c r="M16" i="9"/>
  <c r="R86" i="9" s="1"/>
  <c r="CB71" i="2"/>
  <c r="CC71" i="2" s="1"/>
  <c r="CB66" i="2"/>
  <c r="CC66" i="2" s="1"/>
  <c r="CB62" i="2"/>
  <c r="CC62" i="2" s="1"/>
  <c r="D29" i="4"/>
  <c r="W15" i="6"/>
  <c r="C28" i="6"/>
  <c r="Q28" i="6" s="1"/>
  <c r="V15" i="6" s="1"/>
  <c r="R79" i="14"/>
  <c r="W67" i="14" s="1"/>
  <c r="D30" i="14"/>
  <c r="R43" i="14" s="1"/>
  <c r="V31" i="14" s="1"/>
  <c r="C92" i="15"/>
  <c r="F18" i="19"/>
  <c r="G27" i="19"/>
  <c r="F27" i="19" s="1"/>
  <c r="B27" i="20"/>
  <c r="AA25" i="25"/>
  <c r="AJ25" i="25" s="1"/>
  <c r="Q49" i="6"/>
  <c r="S30" i="4"/>
  <c r="C30" i="4"/>
  <c r="C38" i="4" s="1"/>
  <c r="K14" i="6"/>
  <c r="Q81" i="6" s="1"/>
  <c r="N74" i="26"/>
  <c r="T74" i="26" s="1"/>
  <c r="O16" i="21"/>
  <c r="F32" i="21"/>
  <c r="O69" i="21" s="1"/>
  <c r="S57" i="21" s="1"/>
  <c r="D32" i="21"/>
  <c r="S88" i="6"/>
  <c r="F21" i="6"/>
  <c r="S21" i="6" s="1"/>
  <c r="R93" i="10"/>
  <c r="D21" i="10"/>
  <c r="R19" i="10" s="1"/>
  <c r="U79" i="11"/>
  <c r="V26" i="11"/>
  <c r="V29" i="11"/>
  <c r="C79" i="15"/>
  <c r="M8" i="14"/>
  <c r="K8" i="14" s="1"/>
  <c r="B21" i="20"/>
  <c r="B27" i="22"/>
  <c r="N28" i="26" s="1"/>
  <c r="Z28" i="26" s="1"/>
  <c r="B16" i="24"/>
  <c r="G18" i="23"/>
  <c r="G30" i="23"/>
  <c r="D30" i="23" s="1"/>
  <c r="O30" i="23" s="1"/>
  <c r="S18" i="23" s="1"/>
  <c r="B28" i="24"/>
  <c r="C15" i="15"/>
  <c r="E24" i="19"/>
  <c r="U21" i="4"/>
  <c r="C28" i="15"/>
  <c r="AD15" i="25"/>
  <c r="AM15" i="25" s="1"/>
  <c r="B7" i="11"/>
  <c r="U10" i="4"/>
  <c r="S76" i="13"/>
  <c r="Y64" i="13" s="1"/>
  <c r="AD26" i="25"/>
  <c r="AM26" i="25" s="1"/>
  <c r="D27" i="4"/>
  <c r="S68" i="4"/>
  <c r="B101" i="11"/>
  <c r="AB17" i="25"/>
  <c r="AK17" i="25" s="1"/>
  <c r="AA16" i="25"/>
  <c r="AJ16" i="25" s="1"/>
  <c r="C35" i="28"/>
  <c r="C37" i="28"/>
  <c r="C38" i="28"/>
  <c r="C36" i="28"/>
  <c r="T52" i="13"/>
  <c r="Z40" i="13" s="1"/>
  <c r="C19" i="5"/>
  <c r="R18" i="5" s="1"/>
  <c r="S105" i="10"/>
  <c r="X93" i="10" s="1"/>
  <c r="N32" i="10"/>
  <c r="D37" i="28"/>
  <c r="D36" i="28"/>
  <c r="D35" i="28"/>
  <c r="D38" i="28"/>
  <c r="Q96" i="6"/>
  <c r="V84" i="6" s="1"/>
  <c r="K36" i="6"/>
  <c r="T111" i="13"/>
  <c r="B103" i="11"/>
  <c r="N34" i="10"/>
  <c r="T106" i="13"/>
  <c r="F17" i="23"/>
  <c r="O53" i="23" s="1"/>
  <c r="S34" i="4"/>
  <c r="S116" i="4"/>
  <c r="D12" i="13"/>
  <c r="S28" i="13" s="1"/>
  <c r="E24" i="13"/>
  <c r="B100" i="20"/>
  <c r="AA10" i="25"/>
  <c r="AJ10" i="25" s="1"/>
  <c r="E16" i="9"/>
  <c r="T14" i="9" s="1"/>
  <c r="S8" i="11"/>
  <c r="V8" i="11" s="1"/>
  <c r="AD13" i="25"/>
  <c r="AM13" i="25" s="1"/>
  <c r="E9" i="21"/>
  <c r="P9" i="21" s="1"/>
  <c r="N99" i="26"/>
  <c r="T99" i="26" s="1"/>
  <c r="C22" i="5"/>
  <c r="R21" i="5" s="1"/>
  <c r="Y9" i="5" s="1"/>
  <c r="V10" i="11"/>
  <c r="B84" i="11"/>
  <c r="E12" i="19"/>
  <c r="D33" i="21"/>
  <c r="F33" i="21"/>
  <c r="O70" i="21" s="1"/>
  <c r="S58" i="21" s="1"/>
  <c r="AA32" i="25"/>
  <c r="AJ32" i="25" s="1"/>
  <c r="J24" i="16"/>
  <c r="E6" i="14"/>
  <c r="F5" i="14"/>
  <c r="S19" i="14" s="1"/>
  <c r="W19" i="14" s="1"/>
  <c r="J107" i="15"/>
  <c r="J108" i="15"/>
  <c r="J105" i="15"/>
  <c r="J106" i="15"/>
  <c r="L33" i="14"/>
  <c r="D107" i="15"/>
  <c r="D108" i="15"/>
  <c r="D105" i="15"/>
  <c r="D106" i="15"/>
  <c r="H36" i="13"/>
  <c r="G33" i="14"/>
  <c r="D16" i="14"/>
  <c r="F24" i="14"/>
  <c r="S37" i="14" s="1"/>
  <c r="W25" i="14" s="1"/>
  <c r="N33" i="14"/>
  <c r="C104" i="15"/>
  <c r="E9" i="14"/>
  <c r="K9" i="14"/>
  <c r="G19" i="14"/>
  <c r="E7" i="14"/>
  <c r="D37" i="15"/>
  <c r="D36" i="15"/>
  <c r="D39" i="15"/>
  <c r="D38" i="15"/>
  <c r="M28" i="13"/>
  <c r="E18" i="13"/>
  <c r="T34" i="13" s="1"/>
  <c r="D19" i="13"/>
  <c r="S35" i="13" s="1"/>
  <c r="Y27" i="13" s="1"/>
  <c r="F26" i="13"/>
  <c r="U42" i="13" s="1"/>
  <c r="AA30" i="13" s="1"/>
  <c r="E28" i="13"/>
  <c r="E5" i="14"/>
  <c r="F9" i="14"/>
  <c r="S23" i="14" s="1"/>
  <c r="F21" i="14"/>
  <c r="S34" i="14" s="1"/>
  <c r="W22" i="14" s="1"/>
  <c r="H11" i="13"/>
  <c r="T91" i="13"/>
  <c r="M11" i="13"/>
  <c r="S73" i="13"/>
  <c r="D23" i="13"/>
  <c r="S39" i="13" s="1"/>
  <c r="T103" i="13"/>
  <c r="M23" i="13"/>
  <c r="S104" i="13"/>
  <c r="M24" i="13"/>
  <c r="T77" i="13"/>
  <c r="Z65" i="13" s="1"/>
  <c r="E27" i="13"/>
  <c r="T43" i="13" s="1"/>
  <c r="Z31" i="13" s="1"/>
  <c r="H29" i="13"/>
  <c r="D29" i="13"/>
  <c r="S111" i="13"/>
  <c r="M31" i="13"/>
  <c r="M38" i="13" s="1"/>
  <c r="U82" i="13"/>
  <c r="AA70" i="13" s="1"/>
  <c r="F32" i="13"/>
  <c r="S59" i="14"/>
  <c r="D10" i="14"/>
  <c r="R24" i="14" s="1"/>
  <c r="V20" i="14" s="1"/>
  <c r="R62" i="14"/>
  <c r="G13" i="14"/>
  <c r="D13" i="14"/>
  <c r="R63" i="14"/>
  <c r="D14" i="14"/>
  <c r="R67" i="14"/>
  <c r="D18" i="14"/>
  <c r="D7" i="14"/>
  <c r="G7" i="14"/>
  <c r="H8" i="14"/>
  <c r="R58" i="14" s="1"/>
  <c r="C10" i="15"/>
  <c r="G9" i="14"/>
  <c r="R66" i="14"/>
  <c r="E11" i="13"/>
  <c r="T92" i="13"/>
  <c r="M12" i="13"/>
  <c r="D21" i="13"/>
  <c r="H21" i="13"/>
  <c r="E31" i="13"/>
  <c r="E38" i="13" s="1"/>
  <c r="T81" i="13"/>
  <c r="Z69" i="13" s="1"/>
  <c r="H31" i="13"/>
  <c r="D6" i="14"/>
  <c r="R104" i="14"/>
  <c r="W92" i="14" s="1"/>
  <c r="D24" i="14"/>
  <c r="F28" i="14"/>
  <c r="S41" i="14" s="1"/>
  <c r="W29" i="14" s="1"/>
  <c r="C12" i="15"/>
  <c r="J10" i="14"/>
  <c r="H31" i="14"/>
  <c r="R80" i="14" s="1"/>
  <c r="W68" i="14" s="1"/>
  <c r="C33" i="15"/>
  <c r="S94" i="13"/>
  <c r="M14" i="13"/>
  <c r="D14" i="13"/>
  <c r="T66" i="13"/>
  <c r="H16" i="13"/>
  <c r="S98" i="13"/>
  <c r="M18" i="13"/>
  <c r="T69" i="13"/>
  <c r="Z61" i="13" s="1"/>
  <c r="H19" i="13"/>
  <c r="S100" i="13"/>
  <c r="M20" i="13"/>
  <c r="S102" i="13"/>
  <c r="M22" i="13"/>
  <c r="H25" i="13"/>
  <c r="D25" i="13"/>
  <c r="S75" i="13"/>
  <c r="Y63" i="13" s="1"/>
  <c r="U79" i="13"/>
  <c r="AA67" i="13" s="1"/>
  <c r="F29" i="13"/>
  <c r="U45" i="13" s="1"/>
  <c r="AA33" i="13" s="1"/>
  <c r="R93" i="14"/>
  <c r="K13" i="14"/>
  <c r="R97" i="14"/>
  <c r="K17" i="14"/>
  <c r="R101" i="14"/>
  <c r="W89" i="14" s="1"/>
  <c r="K21" i="14"/>
  <c r="G5" i="14"/>
  <c r="D5" i="14"/>
  <c r="C20" i="15"/>
  <c r="J18" i="14"/>
  <c r="H12" i="13"/>
  <c r="G12" i="13"/>
  <c r="S72" i="13"/>
  <c r="D22" i="13"/>
  <c r="S107" i="13"/>
  <c r="M27" i="13"/>
  <c r="T110" i="13"/>
  <c r="M30" i="13"/>
  <c r="V83" i="13"/>
  <c r="AB71" i="13" s="1"/>
  <c r="H33" i="13"/>
  <c r="E34" i="13"/>
  <c r="T50" i="13" s="1"/>
  <c r="Z38" i="13" s="1"/>
  <c r="H34" i="13"/>
  <c r="F36" i="13"/>
  <c r="R107" i="14"/>
  <c r="W95" i="14" s="1"/>
  <c r="D27" i="14"/>
  <c r="C8" i="15"/>
  <c r="D9" i="14"/>
  <c r="C16" i="15"/>
  <c r="J14" i="14"/>
  <c r="E15" i="13"/>
  <c r="E23" i="13"/>
  <c r="H28" i="13"/>
  <c r="G31" i="13"/>
  <c r="V47" i="13" s="1"/>
  <c r="AB35" i="13" s="1"/>
  <c r="S55" i="14"/>
  <c r="X55" i="14" s="1"/>
  <c r="S73" i="14"/>
  <c r="X61" i="14" s="1"/>
  <c r="H13" i="13"/>
  <c r="M32" i="13"/>
  <c r="E13" i="13"/>
  <c r="T29" i="13" s="1"/>
  <c r="D16" i="13"/>
  <c r="C16" i="13" s="1"/>
  <c r="E25" i="13"/>
  <c r="H27" i="13"/>
  <c r="M29" i="13"/>
  <c r="G34" i="13"/>
  <c r="V50" i="13" s="1"/>
  <c r="AB38" i="13" s="1"/>
  <c r="D34" i="9"/>
  <c r="S32" i="9" s="1"/>
  <c r="H34" i="9"/>
  <c r="R72" i="9" s="1"/>
  <c r="R69" i="10"/>
  <c r="W57" i="10" s="1"/>
  <c r="D30" i="10"/>
  <c r="R28" i="10" s="1"/>
  <c r="W16" i="10" s="1"/>
  <c r="R92" i="10"/>
  <c r="K20" i="10"/>
  <c r="Q92" i="10" s="1"/>
  <c r="S92" i="10"/>
  <c r="F20" i="10"/>
  <c r="S18" i="10" s="1"/>
  <c r="B105" i="11"/>
  <c r="B104" i="11"/>
  <c r="B24" i="11"/>
  <c r="I105" i="11"/>
  <c r="I106" i="11"/>
  <c r="I107" i="11"/>
  <c r="I104" i="11"/>
  <c r="B15" i="11"/>
  <c r="B33" i="11"/>
  <c r="R105" i="10"/>
  <c r="W93" i="10" s="1"/>
  <c r="K33" i="10"/>
  <c r="Q105" i="10" s="1"/>
  <c r="V93" i="10" s="1"/>
  <c r="E10" i="9"/>
  <c r="T8" i="9" s="1"/>
  <c r="D20" i="10"/>
  <c r="R18" i="10" s="1"/>
  <c r="B27" i="11"/>
  <c r="C105" i="11"/>
  <c r="C106" i="11"/>
  <c r="C107" i="11"/>
  <c r="C104" i="11"/>
  <c r="S49" i="10"/>
  <c r="F9" i="10"/>
  <c r="S8" i="10" s="1"/>
  <c r="S55" i="10"/>
  <c r="G16" i="10"/>
  <c r="Q55" i="10" s="1"/>
  <c r="S47" i="10"/>
  <c r="F7" i="10"/>
  <c r="S6" i="10" s="1"/>
  <c r="B36" i="11"/>
  <c r="E8" i="10"/>
  <c r="B10" i="11"/>
  <c r="K7" i="10"/>
  <c r="Q80" i="10" s="1"/>
  <c r="F16" i="10"/>
  <c r="S14" i="10" s="1"/>
  <c r="M9" i="9"/>
  <c r="R79" i="9" s="1"/>
  <c r="D26" i="10"/>
  <c r="R24" i="10" s="1"/>
  <c r="W12" i="10" s="1"/>
  <c r="D16" i="9"/>
  <c r="S14" i="9" s="1"/>
  <c r="E9" i="10"/>
  <c r="C37" i="11"/>
  <c r="C38" i="11"/>
  <c r="C39" i="11"/>
  <c r="R68" i="10"/>
  <c r="W56" i="10" s="1"/>
  <c r="D8" i="10"/>
  <c r="G8" i="10"/>
  <c r="Q48" i="10" s="1"/>
  <c r="G19" i="10"/>
  <c r="Q58" i="10" s="1"/>
  <c r="R58" i="10"/>
  <c r="F15" i="10"/>
  <c r="S13" i="10" s="1"/>
  <c r="G15" i="10"/>
  <c r="Q54" i="10" s="1"/>
  <c r="S54" i="10"/>
  <c r="D31" i="10"/>
  <c r="R29" i="10" s="1"/>
  <c r="W17" i="10" s="1"/>
  <c r="R70" i="10"/>
  <c r="W58" i="10" s="1"/>
  <c r="M15" i="9"/>
  <c r="R85" i="9" s="1"/>
  <c r="M14" i="9"/>
  <c r="R84" i="9" s="1"/>
  <c r="G19" i="9"/>
  <c r="S55" i="9"/>
  <c r="T54" i="9"/>
  <c r="T79" i="9"/>
  <c r="M22" i="9"/>
  <c r="R92" i="9" s="1"/>
  <c r="S59" i="9"/>
  <c r="H14" i="9"/>
  <c r="R52" i="9" s="1"/>
  <c r="H27" i="9"/>
  <c r="R65" i="9" s="1"/>
  <c r="H26" i="9"/>
  <c r="R64" i="9" s="1"/>
  <c r="D12" i="9"/>
  <c r="S10" i="9" s="1"/>
  <c r="D31" i="9"/>
  <c r="S29" i="9" s="1"/>
  <c r="E17" i="9"/>
  <c r="T15" i="9" s="1"/>
  <c r="M30" i="9"/>
  <c r="R100" i="9" s="1"/>
  <c r="V27" i="11"/>
  <c r="M7" i="9"/>
  <c r="R77" i="9" s="1"/>
  <c r="V67" i="9"/>
  <c r="D18" i="9"/>
  <c r="S16" i="9" s="1"/>
  <c r="B30" i="11"/>
  <c r="D33" i="10"/>
  <c r="R31" i="10" s="1"/>
  <c r="W19" i="10" s="1"/>
  <c r="R72" i="10"/>
  <c r="W60" i="10" s="1"/>
  <c r="G33" i="10"/>
  <c r="Q72" i="10" s="1"/>
  <c r="V60" i="10" s="1"/>
  <c r="E9" i="9"/>
  <c r="H24" i="9"/>
  <c r="R62" i="9" s="1"/>
  <c r="H20" i="9"/>
  <c r="R58" i="9" s="1"/>
  <c r="H28" i="9"/>
  <c r="R66" i="9" s="1"/>
  <c r="E14" i="9"/>
  <c r="T12" i="9" s="1"/>
  <c r="T69" i="9"/>
  <c r="K15" i="10"/>
  <c r="Q87" i="10" s="1"/>
  <c r="F10" i="10"/>
  <c r="S9" i="10" s="1"/>
  <c r="F28" i="9"/>
  <c r="U26" i="9" s="1"/>
  <c r="H13" i="9"/>
  <c r="R51" i="9" s="1"/>
  <c r="G9" i="10"/>
  <c r="Q49" i="10" s="1"/>
  <c r="D15" i="10"/>
  <c r="R13" i="10" s="1"/>
  <c r="B16" i="11"/>
  <c r="F23" i="10"/>
  <c r="S21" i="10" s="1"/>
  <c r="X9" i="10" s="1"/>
  <c r="S95" i="10"/>
  <c r="X83" i="10" s="1"/>
  <c r="K16" i="10"/>
  <c r="Q88" i="10" s="1"/>
  <c r="H23" i="9"/>
  <c r="R61" i="9" s="1"/>
  <c r="M10" i="9"/>
  <c r="R80" i="9" s="1"/>
  <c r="T58" i="9"/>
  <c r="F31" i="10"/>
  <c r="S29" i="10" s="1"/>
  <c r="X17" i="10" s="1"/>
  <c r="H25" i="9"/>
  <c r="R63" i="9" s="1"/>
  <c r="M11" i="9"/>
  <c r="R81" i="9" s="1"/>
  <c r="D27" i="10"/>
  <c r="K27" i="10"/>
  <c r="Q99" i="10" s="1"/>
  <c r="V87" i="10" s="1"/>
  <c r="D22" i="9"/>
  <c r="S20" i="9" s="1"/>
  <c r="D24" i="9"/>
  <c r="S22" i="9" s="1"/>
  <c r="H14" i="10"/>
  <c r="G27" i="10"/>
  <c r="Q66" i="10" s="1"/>
  <c r="V54" i="10" s="1"/>
  <c r="S72" i="10"/>
  <c r="X60" i="10" s="1"/>
  <c r="F33" i="10"/>
  <c r="S31" i="10" s="1"/>
  <c r="X19" i="10" s="1"/>
  <c r="S88" i="10"/>
  <c r="S52" i="10"/>
  <c r="S64" i="10"/>
  <c r="X52" i="10" s="1"/>
  <c r="R54" i="10"/>
  <c r="F21" i="10"/>
  <c r="F11" i="10"/>
  <c r="S10" i="10" s="1"/>
  <c r="X6" i="10" s="1"/>
  <c r="G6" i="10"/>
  <c r="Q46" i="10" s="1"/>
  <c r="V46" i="10" s="1"/>
  <c r="K13" i="10"/>
  <c r="Q85" i="10" s="1"/>
  <c r="D25" i="10"/>
  <c r="K25" i="10"/>
  <c r="Q97" i="10" s="1"/>
  <c r="V85" i="10" s="1"/>
  <c r="S62" i="10"/>
  <c r="X50" i="10" s="1"/>
  <c r="G29" i="10"/>
  <c r="Q68" i="10" s="1"/>
  <c r="V56" i="10" s="1"/>
  <c r="F29" i="10"/>
  <c r="S27" i="10" s="1"/>
  <c r="X15" i="10" s="1"/>
  <c r="R66" i="10"/>
  <c r="W54" i="10" s="1"/>
  <c r="G23" i="10"/>
  <c r="Q62" i="10" s="1"/>
  <c r="V50" i="10" s="1"/>
  <c r="D32" i="10"/>
  <c r="G31" i="10"/>
  <c r="Q70" i="10" s="1"/>
  <c r="V58" i="10" s="1"/>
  <c r="D19" i="10"/>
  <c r="G17" i="10"/>
  <c r="Q56" i="10" s="1"/>
  <c r="V48" i="10" s="1"/>
  <c r="D16" i="10"/>
  <c r="K21" i="10"/>
  <c r="Q93" i="10" s="1"/>
  <c r="V26" i="9"/>
  <c r="M13" i="9"/>
  <c r="R83" i="9" s="1"/>
  <c r="V27" i="9"/>
  <c r="I35" i="9"/>
  <c r="I37" i="9"/>
  <c r="I36" i="9"/>
  <c r="I38" i="9"/>
  <c r="N37" i="9"/>
  <c r="N35" i="9"/>
  <c r="N38" i="9"/>
  <c r="N36" i="9"/>
  <c r="J38" i="9"/>
  <c r="J36" i="9"/>
  <c r="J35" i="9"/>
  <c r="J37" i="9"/>
  <c r="O38" i="9"/>
  <c r="O36" i="9"/>
  <c r="O35" i="9"/>
  <c r="O37" i="9"/>
  <c r="C15" i="9"/>
  <c r="R13" i="9" s="1"/>
  <c r="E35" i="9"/>
  <c r="T32" i="9"/>
  <c r="E38" i="9"/>
  <c r="D13" i="9"/>
  <c r="V29" i="9"/>
  <c r="V30" i="9"/>
  <c r="C32" i="9"/>
  <c r="R30" i="9" s="1"/>
  <c r="V28" i="9"/>
  <c r="V70" i="9"/>
  <c r="G34" i="9"/>
  <c r="S51" i="9"/>
  <c r="L25" i="8"/>
  <c r="K25" i="8"/>
  <c r="J25" i="8"/>
  <c r="B35" i="7"/>
  <c r="B38" i="7" s="1"/>
  <c r="I100" i="7"/>
  <c r="I101" i="7"/>
  <c r="I99" i="7"/>
  <c r="I98" i="7"/>
  <c r="C99" i="7"/>
  <c r="C100" i="7"/>
  <c r="C101" i="7"/>
  <c r="C98" i="7"/>
  <c r="B97" i="7"/>
  <c r="E6" i="6"/>
  <c r="S58" i="6"/>
  <c r="X46" i="6" s="1"/>
  <c r="G22" i="6"/>
  <c r="Q58" i="6" s="1"/>
  <c r="V46" i="6" s="1"/>
  <c r="F7" i="6"/>
  <c r="S7" i="6" s="1"/>
  <c r="S44" i="6"/>
  <c r="S51" i="6"/>
  <c r="G15" i="6"/>
  <c r="Q51" i="6" s="1"/>
  <c r="F15" i="6"/>
  <c r="S15" i="6" s="1"/>
  <c r="K36" i="7"/>
  <c r="K37" i="7"/>
  <c r="K38" i="7"/>
  <c r="K39" i="7"/>
  <c r="F22" i="6"/>
  <c r="R43" i="6"/>
  <c r="W43" i="6" s="1"/>
  <c r="C38" i="7"/>
  <c r="C39" i="7"/>
  <c r="C36" i="7"/>
  <c r="C37" i="7"/>
  <c r="G8" i="6"/>
  <c r="Q45" i="6" s="1"/>
  <c r="R45" i="6"/>
  <c r="E8" i="6"/>
  <c r="S46" i="6"/>
  <c r="F9" i="6"/>
  <c r="S9" i="6" s="1"/>
  <c r="E11" i="6"/>
  <c r="W44" i="6"/>
  <c r="G11" i="6"/>
  <c r="Q48" i="6" s="1"/>
  <c r="V44" i="6" s="1"/>
  <c r="E7" i="6"/>
  <c r="G7" i="6"/>
  <c r="Q44" i="6" s="1"/>
  <c r="F19" i="6"/>
  <c r="S55" i="6"/>
  <c r="G19" i="6"/>
  <c r="Q55" i="6" s="1"/>
  <c r="G10" i="6"/>
  <c r="Q47" i="6" s="1"/>
  <c r="S47" i="6"/>
  <c r="F10" i="6"/>
  <c r="G24" i="6"/>
  <c r="Q60" i="6" s="1"/>
  <c r="V48" i="6" s="1"/>
  <c r="N38" i="6"/>
  <c r="N37" i="6"/>
  <c r="J38" i="6"/>
  <c r="J37" i="6"/>
  <c r="R44" i="6"/>
  <c r="S34" i="6"/>
  <c r="X21" i="6" s="1"/>
  <c r="F36" i="6"/>
  <c r="F35" i="6"/>
  <c r="G35" i="6"/>
  <c r="K22" i="6"/>
  <c r="Q89" i="6" s="1"/>
  <c r="V77" i="6" s="1"/>
  <c r="S62" i="13"/>
  <c r="H17" i="13"/>
  <c r="E19" i="13"/>
  <c r="D20" i="13"/>
  <c r="S109" i="13"/>
  <c r="E30" i="13"/>
  <c r="S112" i="13"/>
  <c r="G36" i="13"/>
  <c r="S42" i="13"/>
  <c r="Y30" i="13" s="1"/>
  <c r="T63" i="13"/>
  <c r="E33" i="13"/>
  <c r="T49" i="13" s="1"/>
  <c r="Z37" i="13" s="1"/>
  <c r="F34" i="13"/>
  <c r="U50" i="13" s="1"/>
  <c r="AA38" i="13" s="1"/>
  <c r="S77" i="13"/>
  <c r="Y65" i="13" s="1"/>
  <c r="D27" i="13"/>
  <c r="R108" i="5"/>
  <c r="Y96" i="5" s="1"/>
  <c r="S33" i="5"/>
  <c r="Z21" i="5" s="1"/>
  <c r="R69" i="5"/>
  <c r="Y57" i="5" s="1"/>
  <c r="T33" i="5"/>
  <c r="AA21" i="5" s="1"/>
  <c r="C34" i="5"/>
  <c r="C14" i="5"/>
  <c r="R13" i="5" s="1"/>
  <c r="C26" i="5"/>
  <c r="R25" i="5" s="1"/>
  <c r="Y13" i="5" s="1"/>
  <c r="C9" i="5"/>
  <c r="R8" i="5" s="1"/>
  <c r="S10" i="5"/>
  <c r="C32" i="5"/>
  <c r="R31" i="5" s="1"/>
  <c r="Y19" i="5" s="1"/>
  <c r="C27" i="5"/>
  <c r="R26" i="5" s="1"/>
  <c r="Y14" i="5" s="1"/>
  <c r="C17" i="5"/>
  <c r="R16" i="5" s="1"/>
  <c r="Y8" i="5" s="1"/>
  <c r="C28" i="5"/>
  <c r="C31" i="5"/>
  <c r="R30" i="5" s="1"/>
  <c r="Y18" i="5" s="1"/>
  <c r="C29" i="5"/>
  <c r="R28" i="5" s="1"/>
  <c r="Y16" i="5" s="1"/>
  <c r="F38" i="30"/>
  <c r="F36" i="30"/>
  <c r="F37" i="30"/>
  <c r="F39" i="30"/>
  <c r="G36" i="23"/>
  <c r="E27" i="23"/>
  <c r="P27" i="23" s="1"/>
  <c r="T15" i="23" s="1"/>
  <c r="E30" i="23"/>
  <c r="P30" i="23" s="1"/>
  <c r="T18" i="23" s="1"/>
  <c r="P53" i="23"/>
  <c r="W15" i="25"/>
  <c r="AF15" i="25" s="1"/>
  <c r="Z19" i="25"/>
  <c r="AI19" i="25" s="1"/>
  <c r="AD32" i="25"/>
  <c r="AM32" i="25" s="1"/>
  <c r="AA17" i="25"/>
  <c r="AJ17" i="25" s="1"/>
  <c r="E15" i="23"/>
  <c r="P15" i="23" s="1"/>
  <c r="AD30" i="25"/>
  <c r="AM30" i="25" s="1"/>
  <c r="K39" i="23"/>
  <c r="K38" i="23"/>
  <c r="K37" i="23"/>
  <c r="K36" i="23"/>
  <c r="Z26" i="25"/>
  <c r="AI26" i="25" s="1"/>
  <c r="AD17" i="25"/>
  <c r="AM17" i="25" s="1"/>
  <c r="F13" i="23"/>
  <c r="O49" i="23" s="1"/>
  <c r="S45" i="23" s="1"/>
  <c r="F24" i="23"/>
  <c r="O60" i="23" s="1"/>
  <c r="S48" i="23" s="1"/>
  <c r="E11" i="23"/>
  <c r="P11" i="23" s="1"/>
  <c r="F10" i="23"/>
  <c r="O46" i="23" s="1"/>
  <c r="F12" i="23"/>
  <c r="O48" i="23" s="1"/>
  <c r="F20" i="23"/>
  <c r="O56" i="23" s="1"/>
  <c r="E26" i="23"/>
  <c r="P26" i="23" s="1"/>
  <c r="T14" i="23" s="1"/>
  <c r="B98" i="24"/>
  <c r="B99" i="24"/>
  <c r="B97" i="24"/>
  <c r="B96" i="24"/>
  <c r="P47" i="23"/>
  <c r="O20" i="23"/>
  <c r="O11" i="23"/>
  <c r="AB23" i="25"/>
  <c r="AK23" i="25" s="1"/>
  <c r="P59" i="23"/>
  <c r="T47" i="23" s="1"/>
  <c r="E22" i="23"/>
  <c r="P22" i="23" s="1"/>
  <c r="AA12" i="25"/>
  <c r="AJ12" i="25" s="1"/>
  <c r="E32" i="23"/>
  <c r="C32" i="23" s="1"/>
  <c r="AA14" i="25"/>
  <c r="AJ14" i="25" s="1"/>
  <c r="Z24" i="25"/>
  <c r="AI24" i="25" s="1"/>
  <c r="AA27" i="25"/>
  <c r="AJ27" i="25" s="1"/>
  <c r="E10" i="23"/>
  <c r="P10" i="23" s="1"/>
  <c r="E13" i="23"/>
  <c r="P13" i="23" s="1"/>
  <c r="T9" i="23" s="1"/>
  <c r="I15" i="23"/>
  <c r="P51" i="23" s="1"/>
  <c r="F11" i="23"/>
  <c r="O47" i="23" s="1"/>
  <c r="E33" i="23"/>
  <c r="P33" i="23" s="1"/>
  <c r="T21" i="23" s="1"/>
  <c r="F27" i="23"/>
  <c r="O63" i="23" s="1"/>
  <c r="S51" i="23" s="1"/>
  <c r="D24" i="23"/>
  <c r="O24" i="23" s="1"/>
  <c r="S12" i="23" s="1"/>
  <c r="F15" i="23"/>
  <c r="O51" i="23" s="1"/>
  <c r="AB32" i="25"/>
  <c r="AK32" i="25" s="1"/>
  <c r="F22" i="23"/>
  <c r="Z12" i="25"/>
  <c r="AI12" i="25" s="1"/>
  <c r="Z21" i="25"/>
  <c r="AI21" i="25" s="1"/>
  <c r="AD22" i="25"/>
  <c r="AM22" i="25" s="1"/>
  <c r="F19" i="23"/>
  <c r="O55" i="23" s="1"/>
  <c r="H37" i="24"/>
  <c r="H36" i="24"/>
  <c r="H35" i="24"/>
  <c r="H34" i="24"/>
  <c r="C37" i="24"/>
  <c r="C36" i="24"/>
  <c r="C35" i="24"/>
  <c r="C34" i="24"/>
  <c r="H35" i="23"/>
  <c r="B33" i="24"/>
  <c r="O12" i="23"/>
  <c r="F28" i="23"/>
  <c r="O64" i="23" s="1"/>
  <c r="S52" i="23" s="1"/>
  <c r="D28" i="23"/>
  <c r="AD14" i="25"/>
  <c r="AM14" i="25" s="1"/>
  <c r="I14" i="23"/>
  <c r="P50" i="23" s="1"/>
  <c r="P23" i="23"/>
  <c r="T11" i="23" s="1"/>
  <c r="O32" i="23"/>
  <c r="S20" i="23" s="1"/>
  <c r="Z32" i="25"/>
  <c r="AI32" i="25" s="1"/>
  <c r="D13" i="23"/>
  <c r="Z16" i="25"/>
  <c r="AI16" i="25" s="1"/>
  <c r="D16" i="23"/>
  <c r="W16" i="25" s="1"/>
  <c r="AF16" i="25" s="1"/>
  <c r="Z9" i="25"/>
  <c r="AI9" i="25" s="1"/>
  <c r="D9" i="23"/>
  <c r="W9" i="25" s="1"/>
  <c r="AF9" i="25" s="1"/>
  <c r="I12" i="23"/>
  <c r="E12" i="23"/>
  <c r="P12" i="23" s="1"/>
  <c r="I16" i="23"/>
  <c r="P52" i="23" s="1"/>
  <c r="AD16" i="25"/>
  <c r="AM16" i="25" s="1"/>
  <c r="F16" i="23"/>
  <c r="E14" i="23"/>
  <c r="X14" i="25" s="1"/>
  <c r="AG14" i="25" s="1"/>
  <c r="F32" i="23"/>
  <c r="AD12" i="25"/>
  <c r="AM12" i="25" s="1"/>
  <c r="E25" i="23"/>
  <c r="P25" i="23" s="1"/>
  <c r="T13" i="23" s="1"/>
  <c r="AA23" i="25"/>
  <c r="AJ23" i="25" s="1"/>
  <c r="O17" i="23"/>
  <c r="E24" i="23"/>
  <c r="F29" i="23"/>
  <c r="O65" i="23" s="1"/>
  <c r="S53" i="23" s="1"/>
  <c r="E29" i="23"/>
  <c r="P29" i="23" s="1"/>
  <c r="T17" i="23" s="1"/>
  <c r="I9" i="23"/>
  <c r="P45" i="23" s="1"/>
  <c r="E9" i="23"/>
  <c r="P9" i="23" s="1"/>
  <c r="O22" i="23"/>
  <c r="W22" i="25"/>
  <c r="AF22" i="25" s="1"/>
  <c r="I28" i="23"/>
  <c r="P64" i="23" s="1"/>
  <c r="T52" i="23" s="1"/>
  <c r="E28" i="23"/>
  <c r="P28" i="23" s="1"/>
  <c r="T16" i="23" s="1"/>
  <c r="F26" i="23"/>
  <c r="O62" i="23" s="1"/>
  <c r="S50" i="23" s="1"/>
  <c r="AA26" i="25"/>
  <c r="AJ26" i="25" s="1"/>
  <c r="AD9" i="25"/>
  <c r="AM9" i="25" s="1"/>
  <c r="AB27" i="25"/>
  <c r="AK27" i="25" s="1"/>
  <c r="P63" i="23"/>
  <c r="T51" i="23" s="1"/>
  <c r="O27" i="23"/>
  <c r="S15" i="23" s="1"/>
  <c r="W20" i="25"/>
  <c r="AF20" i="25" s="1"/>
  <c r="C26" i="23"/>
  <c r="I20" i="23"/>
  <c r="P56" i="23" s="1"/>
  <c r="E21" i="23"/>
  <c r="F21" i="23"/>
  <c r="O57" i="23" s="1"/>
  <c r="D33" i="23"/>
  <c r="F33" i="23"/>
  <c r="Z33" i="25"/>
  <c r="AI33" i="25" s="1"/>
  <c r="F9" i="23"/>
  <c r="O45" i="23" s="1"/>
  <c r="E17" i="23"/>
  <c r="C17" i="23" s="1"/>
  <c r="I21" i="23"/>
  <c r="P57" i="23" s="1"/>
  <c r="AD21" i="25"/>
  <c r="AM21" i="25" s="1"/>
  <c r="AA21" i="25"/>
  <c r="AJ21" i="25" s="1"/>
  <c r="AA24" i="25"/>
  <c r="AJ24" i="25" s="1"/>
  <c r="W26" i="25"/>
  <c r="AF26" i="25" s="1"/>
  <c r="W17" i="25"/>
  <c r="AF17" i="25" s="1"/>
  <c r="F35" i="29"/>
  <c r="F38" i="29"/>
  <c r="F36" i="29"/>
  <c r="F37" i="29"/>
  <c r="H37" i="29"/>
  <c r="H35" i="29"/>
  <c r="H36" i="29"/>
  <c r="H38" i="29"/>
  <c r="P51" i="21"/>
  <c r="P65" i="21"/>
  <c r="T53" i="21" s="1"/>
  <c r="AA11" i="25"/>
  <c r="AJ11" i="25" s="1"/>
  <c r="W29" i="25"/>
  <c r="AF29" i="25" s="1"/>
  <c r="D23" i="21"/>
  <c r="AA28" i="25"/>
  <c r="AJ28" i="25" s="1"/>
  <c r="D10" i="21"/>
  <c r="Z20" i="25"/>
  <c r="AI20" i="25" s="1"/>
  <c r="F14" i="21"/>
  <c r="D19" i="21"/>
  <c r="F9" i="21"/>
  <c r="O46" i="21" s="1"/>
  <c r="G38" i="21"/>
  <c r="G36" i="21"/>
  <c r="G39" i="21"/>
  <c r="Z11" i="25"/>
  <c r="AI11" i="25" s="1"/>
  <c r="AB26" i="25"/>
  <c r="AK26" i="25" s="1"/>
  <c r="AA9" i="25"/>
  <c r="AJ9" i="25" s="1"/>
  <c r="E23" i="21"/>
  <c r="P23" i="21" s="1"/>
  <c r="T11" i="21" s="1"/>
  <c r="AD28" i="25"/>
  <c r="AM28" i="25" s="1"/>
  <c r="D28" i="21"/>
  <c r="C28" i="21" s="1"/>
  <c r="O32" i="21"/>
  <c r="S20" i="21" s="1"/>
  <c r="D35" i="21"/>
  <c r="E8" i="21"/>
  <c r="C8" i="21" s="1"/>
  <c r="AD27" i="25"/>
  <c r="AM27" i="25" s="1"/>
  <c r="D12" i="21"/>
  <c r="E25" i="21"/>
  <c r="F8" i="21"/>
  <c r="W11" i="25"/>
  <c r="AF11" i="25" s="1"/>
  <c r="Z28" i="25"/>
  <c r="AI28" i="25" s="1"/>
  <c r="C17" i="21"/>
  <c r="O9" i="21"/>
  <c r="B94" i="22"/>
  <c r="B93" i="22"/>
  <c r="B96" i="22"/>
  <c r="C37" i="22"/>
  <c r="C36" i="22"/>
  <c r="C35" i="22"/>
  <c r="C34" i="22"/>
  <c r="B33" i="22"/>
  <c r="AA34" i="26"/>
  <c r="H35" i="21"/>
  <c r="AB30" i="25"/>
  <c r="AK30" i="25" s="1"/>
  <c r="P67" i="21"/>
  <c r="T55" i="21" s="1"/>
  <c r="O48" i="21"/>
  <c r="P47" i="21"/>
  <c r="AB10" i="25"/>
  <c r="AK10" i="25" s="1"/>
  <c r="P53" i="21"/>
  <c r="E30" i="21"/>
  <c r="O20" i="21"/>
  <c r="P62" i="21"/>
  <c r="T50" i="21" s="1"/>
  <c r="F18" i="21"/>
  <c r="E27" i="21"/>
  <c r="E26" i="21"/>
  <c r="K35" i="21"/>
  <c r="AD35" i="25" s="1"/>
  <c r="AM35" i="25" s="1"/>
  <c r="O8" i="21"/>
  <c r="S8" i="21" s="1"/>
  <c r="P52" i="21"/>
  <c r="I24" i="21"/>
  <c r="AD24" i="25"/>
  <c r="AM24" i="25" s="1"/>
  <c r="E24" i="21"/>
  <c r="I22" i="21"/>
  <c r="E22" i="21"/>
  <c r="F27" i="21"/>
  <c r="D27" i="21"/>
  <c r="Z27" i="25"/>
  <c r="AI27" i="25" s="1"/>
  <c r="AA29" i="25"/>
  <c r="AJ29" i="25" s="1"/>
  <c r="E29" i="21"/>
  <c r="C29" i="21" s="1"/>
  <c r="F29" i="21"/>
  <c r="P14" i="21"/>
  <c r="C14" i="21"/>
  <c r="I8" i="21"/>
  <c r="AD8" i="25"/>
  <c r="AM8" i="25" s="1"/>
  <c r="I13" i="21"/>
  <c r="E13" i="21"/>
  <c r="D30" i="21"/>
  <c r="P66" i="21"/>
  <c r="T54" i="21" s="1"/>
  <c r="I19" i="21"/>
  <c r="E19" i="21"/>
  <c r="F10" i="21"/>
  <c r="I20" i="21"/>
  <c r="E20" i="21"/>
  <c r="F24" i="21"/>
  <c r="D24" i="21"/>
  <c r="O56" i="21"/>
  <c r="D21" i="21"/>
  <c r="F21" i="21"/>
  <c r="D31" i="21"/>
  <c r="F31" i="21"/>
  <c r="E12" i="21"/>
  <c r="F12" i="21"/>
  <c r="I21" i="21"/>
  <c r="E21" i="21"/>
  <c r="I31" i="21"/>
  <c r="E31" i="21"/>
  <c r="AD31" i="25"/>
  <c r="AM31" i="25" s="1"/>
  <c r="AD33" i="25"/>
  <c r="AM33" i="25" s="1"/>
  <c r="E7" i="19"/>
  <c r="E13" i="19"/>
  <c r="C13" i="19" s="1"/>
  <c r="E17" i="19"/>
  <c r="E20" i="19"/>
  <c r="C20" i="19" s="1"/>
  <c r="F23" i="19"/>
  <c r="F12" i="19"/>
  <c r="F16" i="19"/>
  <c r="C16" i="19"/>
  <c r="F24" i="19"/>
  <c r="F13" i="19"/>
  <c r="F17" i="19"/>
  <c r="E28" i="19"/>
  <c r="C35" i="20"/>
  <c r="C38" i="20"/>
  <c r="C37" i="20"/>
  <c r="C36" i="20"/>
  <c r="E18" i="19"/>
  <c r="C18" i="19" s="1"/>
  <c r="D23" i="19"/>
  <c r="O11" i="19" s="1"/>
  <c r="F29" i="19"/>
  <c r="F8" i="19"/>
  <c r="C22" i="19"/>
  <c r="F28" i="19"/>
  <c r="E19" i="19"/>
  <c r="C19" i="19" s="1"/>
  <c r="B34" i="20"/>
  <c r="D9" i="19"/>
  <c r="C9" i="19" s="1"/>
  <c r="E32" i="19"/>
  <c r="E21" i="19"/>
  <c r="C21" i="19" s="1"/>
  <c r="F22" i="19"/>
  <c r="F10" i="19"/>
  <c r="E14" i="19"/>
  <c r="F31" i="19"/>
  <c r="D11" i="10" l="1"/>
  <c r="B35" i="22"/>
  <c r="N13" i="26"/>
  <c r="Z13" i="26" s="1"/>
  <c r="C15" i="13"/>
  <c r="B11" i="20"/>
  <c r="C24" i="13"/>
  <c r="S53" i="6"/>
  <c r="X45" i="6" s="1"/>
  <c r="N21" i="26"/>
  <c r="Z21" i="26" s="1"/>
  <c r="G36" i="6"/>
  <c r="G37" i="21"/>
  <c r="G17" i="6"/>
  <c r="Q53" i="6" s="1"/>
  <c r="V45" i="6" s="1"/>
  <c r="B6" i="7"/>
  <c r="N29" i="26"/>
  <c r="Z29" i="26" s="1"/>
  <c r="J6" i="6"/>
  <c r="G6" i="6" s="1"/>
  <c r="Q43" i="6" s="1"/>
  <c r="V43" i="6" s="1"/>
  <c r="G11" i="10"/>
  <c r="Q51" i="10" s="1"/>
  <c r="V47" i="10" s="1"/>
  <c r="S19" i="4"/>
  <c r="C25" i="4"/>
  <c r="C19" i="9"/>
  <c r="R17" i="9" s="1"/>
  <c r="S15" i="4"/>
  <c r="K19" i="14"/>
  <c r="S102" i="14"/>
  <c r="X90" i="14" s="1"/>
  <c r="F22" i="14"/>
  <c r="S35" i="14" s="1"/>
  <c r="W23" i="14" s="1"/>
  <c r="S17" i="4"/>
  <c r="C17" i="4"/>
  <c r="D6" i="10"/>
  <c r="R5" i="10" s="1"/>
  <c r="W5" i="10" s="1"/>
  <c r="C25" i="14"/>
  <c r="F25" i="23"/>
  <c r="AA18" i="25"/>
  <c r="AJ18" i="25" s="1"/>
  <c r="G13" i="21"/>
  <c r="P42" i="22"/>
  <c r="C30" i="19"/>
  <c r="W8" i="25"/>
  <c r="AF8" i="25" s="1"/>
  <c r="AD18" i="25"/>
  <c r="AM18" i="25" s="1"/>
  <c r="Z14" i="25"/>
  <c r="AI14" i="25" s="1"/>
  <c r="Y15" i="25"/>
  <c r="AH15" i="25" s="1"/>
  <c r="K6" i="10"/>
  <c r="Q79" i="10" s="1"/>
  <c r="V79" i="10" s="1"/>
  <c r="W14" i="25"/>
  <c r="AF14" i="25" s="1"/>
  <c r="K11" i="10"/>
  <c r="Q84" i="10" s="1"/>
  <c r="V80" i="10" s="1"/>
  <c r="Z8" i="25"/>
  <c r="AI8" i="25" s="1"/>
  <c r="F14" i="23"/>
  <c r="O50" i="23" s="1"/>
  <c r="R84" i="10"/>
  <c r="W80" i="10" s="1"/>
  <c r="AA15" i="25"/>
  <c r="AJ15" i="25" s="1"/>
  <c r="F7" i="19"/>
  <c r="F6" i="10"/>
  <c r="S5" i="10" s="1"/>
  <c r="X5" i="10" s="1"/>
  <c r="N6" i="6"/>
  <c r="S74" i="6" s="1"/>
  <c r="X74" i="6" s="1"/>
  <c r="O103" i="7"/>
  <c r="E15" i="21"/>
  <c r="X15" i="25" s="1"/>
  <c r="AG15" i="25" s="1"/>
  <c r="F18" i="23"/>
  <c r="O54" i="23" s="1"/>
  <c r="S46" i="23" s="1"/>
  <c r="R19" i="14"/>
  <c r="V19" i="14" s="1"/>
  <c r="T40" i="13"/>
  <c r="Z28" i="13" s="1"/>
  <c r="C23" i="13"/>
  <c r="J37" i="14"/>
  <c r="F12" i="14"/>
  <c r="S25" i="14" s="1"/>
  <c r="J34" i="14"/>
  <c r="C17" i="14"/>
  <c r="J35" i="14"/>
  <c r="S82" i="14"/>
  <c r="X70" i="14" s="1"/>
  <c r="H8" i="9"/>
  <c r="R46" i="9" s="1"/>
  <c r="F36" i="9"/>
  <c r="C23" i="9"/>
  <c r="R21" i="9" s="1"/>
  <c r="D25" i="23"/>
  <c r="F23" i="23"/>
  <c r="O59" i="23" s="1"/>
  <c r="S47" i="23" s="1"/>
  <c r="G39" i="23"/>
  <c r="Z23" i="25"/>
  <c r="AI23" i="25" s="1"/>
  <c r="C23" i="23"/>
  <c r="C20" i="23"/>
  <c r="C19" i="23"/>
  <c r="I19" i="23"/>
  <c r="P55" i="23" s="1"/>
  <c r="N15" i="26"/>
  <c r="Z15" i="26" s="1"/>
  <c r="AA8" i="25"/>
  <c r="AJ8" i="25" s="1"/>
  <c r="AD19" i="25"/>
  <c r="AM19" i="25" s="1"/>
  <c r="F8" i="23"/>
  <c r="O44" i="23" s="1"/>
  <c r="S44" i="23" s="1"/>
  <c r="I36" i="23"/>
  <c r="I38" i="23"/>
  <c r="N30" i="26"/>
  <c r="Z30" i="26" s="1"/>
  <c r="I37" i="23"/>
  <c r="F31" i="23"/>
  <c r="O67" i="23" s="1"/>
  <c r="S55" i="23" s="1"/>
  <c r="E31" i="23"/>
  <c r="P31" i="23" s="1"/>
  <c r="T19" i="23" s="1"/>
  <c r="I29" i="23"/>
  <c r="P65" i="23" s="1"/>
  <c r="T53" i="23" s="1"/>
  <c r="AA31" i="25"/>
  <c r="AJ31" i="25" s="1"/>
  <c r="Z31" i="25"/>
  <c r="AI31" i="25" s="1"/>
  <c r="Z30" i="25"/>
  <c r="AI30" i="25" s="1"/>
  <c r="Z18" i="25"/>
  <c r="AI18" i="25" s="1"/>
  <c r="D18" i="23"/>
  <c r="C22" i="23"/>
  <c r="X16" i="25"/>
  <c r="AG16" i="25" s="1"/>
  <c r="C15" i="23"/>
  <c r="N17" i="26"/>
  <c r="Z17" i="26" s="1"/>
  <c r="C16" i="21"/>
  <c r="N20" i="26"/>
  <c r="Z20" i="26" s="1"/>
  <c r="F22" i="21"/>
  <c r="O59" i="21" s="1"/>
  <c r="X23" i="25"/>
  <c r="AG23" i="25" s="1"/>
  <c r="C28" i="19"/>
  <c r="P16" i="19"/>
  <c r="C12" i="19"/>
  <c r="P8" i="19"/>
  <c r="C24" i="19"/>
  <c r="P12" i="19"/>
  <c r="C17" i="19"/>
  <c r="P9" i="19"/>
  <c r="C7" i="19"/>
  <c r="P7" i="19"/>
  <c r="C25" i="19"/>
  <c r="O13" i="19"/>
  <c r="C32" i="19"/>
  <c r="P20" i="19"/>
  <c r="C26" i="19"/>
  <c r="O14" i="19"/>
  <c r="C31" i="19"/>
  <c r="F26" i="19"/>
  <c r="D14" i="19"/>
  <c r="C14" i="19" s="1"/>
  <c r="E29" i="19"/>
  <c r="C23" i="19"/>
  <c r="F25" i="19"/>
  <c r="T47" i="13"/>
  <c r="Z35" i="13" s="1"/>
  <c r="C21" i="13"/>
  <c r="K12" i="14"/>
  <c r="R23" i="14"/>
  <c r="C22" i="14"/>
  <c r="R20" i="14"/>
  <c r="R32" i="14"/>
  <c r="R21" i="14"/>
  <c r="R113" i="14"/>
  <c r="W101" i="14" s="1"/>
  <c r="L37" i="14"/>
  <c r="L35" i="14"/>
  <c r="L36" i="14"/>
  <c r="L34" i="14"/>
  <c r="K30" i="14"/>
  <c r="R69" i="14"/>
  <c r="D20" i="14"/>
  <c r="R33" i="14" s="1"/>
  <c r="K27" i="14"/>
  <c r="S113" i="14"/>
  <c r="X101" i="14" s="1"/>
  <c r="N35" i="14"/>
  <c r="N37" i="14"/>
  <c r="N36" i="14"/>
  <c r="N34" i="14"/>
  <c r="R89" i="14"/>
  <c r="F27" i="14"/>
  <c r="S40" i="14" s="1"/>
  <c r="W28" i="14" s="1"/>
  <c r="G36" i="14"/>
  <c r="G37" i="14"/>
  <c r="G34" i="14"/>
  <c r="G35" i="14"/>
  <c r="C6" i="14"/>
  <c r="K31" i="14"/>
  <c r="F31" i="14"/>
  <c r="S44" i="14" s="1"/>
  <c r="W32" i="14" s="1"/>
  <c r="K23" i="14"/>
  <c r="F23" i="14"/>
  <c r="C23" i="14" s="1"/>
  <c r="R30" i="14"/>
  <c r="C18" i="13"/>
  <c r="T39" i="13"/>
  <c r="D38" i="13"/>
  <c r="C17" i="13"/>
  <c r="C10" i="13"/>
  <c r="G38" i="13"/>
  <c r="G40" i="13"/>
  <c r="G37" i="13"/>
  <c r="H39" i="13"/>
  <c r="H37" i="13"/>
  <c r="H38" i="13"/>
  <c r="H40" i="13"/>
  <c r="T25" i="13"/>
  <c r="Z25" i="13" s="1"/>
  <c r="C9" i="13"/>
  <c r="C25" i="13"/>
  <c r="F37" i="13"/>
  <c r="F38" i="13"/>
  <c r="F40" i="13"/>
  <c r="D22" i="10"/>
  <c r="R20" i="10" s="1"/>
  <c r="W8" i="10" s="1"/>
  <c r="F25" i="10"/>
  <c r="S23" i="10" s="1"/>
  <c r="X11" i="10" s="1"/>
  <c r="E37" i="9"/>
  <c r="G22" i="10"/>
  <c r="Q61" i="10" s="1"/>
  <c r="V49" i="10" s="1"/>
  <c r="S69" i="10"/>
  <c r="X57" i="10" s="1"/>
  <c r="C27" i="9"/>
  <c r="R25" i="9" s="1"/>
  <c r="F18" i="10"/>
  <c r="S16" i="10" s="1"/>
  <c r="E36" i="9"/>
  <c r="C20" i="9"/>
  <c r="R18" i="9" s="1"/>
  <c r="C25" i="9"/>
  <c r="R23" i="9" s="1"/>
  <c r="R7" i="10"/>
  <c r="B38" i="11"/>
  <c r="K18" i="10"/>
  <c r="Q90" i="10" s="1"/>
  <c r="M38" i="9"/>
  <c r="M37" i="9"/>
  <c r="D18" i="10"/>
  <c r="R57" i="10"/>
  <c r="S40" i="11"/>
  <c r="C21" i="9"/>
  <c r="R19" i="9" s="1"/>
  <c r="C7" i="9"/>
  <c r="R6" i="9" s="1"/>
  <c r="B106" i="11"/>
  <c r="F37" i="9"/>
  <c r="C11" i="9"/>
  <c r="R9" i="9" s="1"/>
  <c r="R10" i="10"/>
  <c r="W6" i="10" s="1"/>
  <c r="C29" i="9"/>
  <c r="R27" i="9" s="1"/>
  <c r="V32" i="9"/>
  <c r="G35" i="9"/>
  <c r="G36" i="9"/>
  <c r="G38" i="9"/>
  <c r="H35" i="10"/>
  <c r="H38" i="10"/>
  <c r="H37" i="10"/>
  <c r="H36" i="10"/>
  <c r="R8" i="10"/>
  <c r="F38" i="9"/>
  <c r="R83" i="10"/>
  <c r="F19" i="10"/>
  <c r="S17" i="10" s="1"/>
  <c r="R6" i="10"/>
  <c r="C31" i="9"/>
  <c r="R29" i="9" s="1"/>
  <c r="G10" i="10"/>
  <c r="Q50" i="10" s="1"/>
  <c r="R50" i="10"/>
  <c r="S91" i="10"/>
  <c r="C24" i="9"/>
  <c r="R22" i="9" s="1"/>
  <c r="R47" i="10"/>
  <c r="F34" i="10"/>
  <c r="N35" i="10"/>
  <c r="N38" i="10"/>
  <c r="N37" i="10"/>
  <c r="N36" i="10"/>
  <c r="L36" i="10"/>
  <c r="L37" i="10"/>
  <c r="J35" i="10"/>
  <c r="J38" i="10"/>
  <c r="J37" i="10"/>
  <c r="J36" i="10"/>
  <c r="M36" i="9"/>
  <c r="D10" i="10"/>
  <c r="R9" i="10" s="1"/>
  <c r="G24" i="10"/>
  <c r="Q63" i="10" s="1"/>
  <c r="V51" i="10" s="1"/>
  <c r="D24" i="10"/>
  <c r="R22" i="10" s="1"/>
  <c r="W10" i="10" s="1"/>
  <c r="R101" i="10"/>
  <c r="W89" i="10" s="1"/>
  <c r="K29" i="10"/>
  <c r="Q101" i="10" s="1"/>
  <c r="V89" i="10" s="1"/>
  <c r="D28" i="10"/>
  <c r="R26" i="10" s="1"/>
  <c r="W14" i="10" s="1"/>
  <c r="G28" i="10"/>
  <c r="Q67" i="10" s="1"/>
  <c r="V55" i="10" s="1"/>
  <c r="C37" i="5"/>
  <c r="C38" i="5"/>
  <c r="C35" i="5"/>
  <c r="C36" i="5"/>
  <c r="R27" i="6"/>
  <c r="W14" i="6" s="1"/>
  <c r="C27" i="6"/>
  <c r="Q27" i="6" s="1"/>
  <c r="V14" i="6" s="1"/>
  <c r="C22" i="6"/>
  <c r="Q22" i="6" s="1"/>
  <c r="V9" i="6" s="1"/>
  <c r="K6" i="6"/>
  <c r="Q74" i="6" s="1"/>
  <c r="V74" i="6" s="1"/>
  <c r="B69" i="7"/>
  <c r="K25" i="6"/>
  <c r="Q92" i="6" s="1"/>
  <c r="V80" i="6" s="1"/>
  <c r="B7" i="7"/>
  <c r="C13" i="6"/>
  <c r="Q13" i="6" s="1"/>
  <c r="R13" i="6"/>
  <c r="D37" i="6"/>
  <c r="R34" i="6"/>
  <c r="W21" i="6" s="1"/>
  <c r="D35" i="6"/>
  <c r="D36" i="6"/>
  <c r="D38" i="6"/>
  <c r="D31" i="6"/>
  <c r="R98" i="6"/>
  <c r="W86" i="6" s="1"/>
  <c r="K31" i="6"/>
  <c r="Q98" i="6" s="1"/>
  <c r="V86" i="6" s="1"/>
  <c r="R61" i="6"/>
  <c r="W49" i="6" s="1"/>
  <c r="D25" i="6"/>
  <c r="R25" i="6" s="1"/>
  <c r="R32" i="6"/>
  <c r="W19" i="6" s="1"/>
  <c r="C32" i="6"/>
  <c r="Q32" i="6" s="1"/>
  <c r="V19" i="6" s="1"/>
  <c r="C29" i="6"/>
  <c r="Q29" i="6" s="1"/>
  <c r="V16" i="6" s="1"/>
  <c r="R94" i="6"/>
  <c r="W82" i="6" s="1"/>
  <c r="K27" i="6"/>
  <c r="Q94" i="6" s="1"/>
  <c r="V82" i="6" s="1"/>
  <c r="R30" i="6"/>
  <c r="W17" i="6" s="1"/>
  <c r="C30" i="6"/>
  <c r="Q30" i="6" s="1"/>
  <c r="V17" i="6" s="1"/>
  <c r="K35" i="6"/>
  <c r="Q101" i="6"/>
  <c r="V89" i="6" s="1"/>
  <c r="R26" i="6"/>
  <c r="W13" i="6" s="1"/>
  <c r="C26" i="6"/>
  <c r="Q26" i="6" s="1"/>
  <c r="V13" i="6" s="1"/>
  <c r="D14" i="6"/>
  <c r="R14" i="6" s="1"/>
  <c r="C35" i="6"/>
  <c r="R99" i="6"/>
  <c r="W87" i="6" s="1"/>
  <c r="K32" i="6"/>
  <c r="Q99" i="6" s="1"/>
  <c r="V87" i="6" s="1"/>
  <c r="D20" i="6"/>
  <c r="R20" i="6" s="1"/>
  <c r="R56" i="6"/>
  <c r="S52" i="6"/>
  <c r="F16" i="6"/>
  <c r="C16" i="6" s="1"/>
  <c r="Q16" i="6" s="1"/>
  <c r="C21" i="6"/>
  <c r="Q21" i="6" s="1"/>
  <c r="S50" i="6"/>
  <c r="F14" i="6"/>
  <c r="S14" i="6" s="1"/>
  <c r="S43" i="6"/>
  <c r="X43" i="6" s="1"/>
  <c r="K38" i="6"/>
  <c r="F6" i="6"/>
  <c r="S6" i="6" s="1"/>
  <c r="X6" i="6" s="1"/>
  <c r="Q91" i="6"/>
  <c r="V79" i="6" s="1"/>
  <c r="C18" i="6"/>
  <c r="Q18" i="6" s="1"/>
  <c r="R8" i="6"/>
  <c r="S24" i="10"/>
  <c r="X12" i="10" s="1"/>
  <c r="C26" i="10"/>
  <c r="Q24" i="10" s="1"/>
  <c r="V12" i="10" s="1"/>
  <c r="S79" i="14"/>
  <c r="X67" i="14" s="1"/>
  <c r="F30" i="14"/>
  <c r="F38" i="6"/>
  <c r="R95" i="14"/>
  <c r="D15" i="14"/>
  <c r="R28" i="14" s="1"/>
  <c r="S37" i="13"/>
  <c r="K11" i="21"/>
  <c r="N75" i="26"/>
  <c r="T75" i="26" s="1"/>
  <c r="D27" i="19"/>
  <c r="C28" i="4"/>
  <c r="D10" i="6"/>
  <c r="R10" i="6" s="1"/>
  <c r="R78" i="6"/>
  <c r="K15" i="14"/>
  <c r="S95" i="14"/>
  <c r="G30" i="14"/>
  <c r="G25" i="6"/>
  <c r="Q61" i="6" s="1"/>
  <c r="V49" i="6" s="1"/>
  <c r="C86" i="15"/>
  <c r="C22" i="9"/>
  <c r="R20" i="9" s="1"/>
  <c r="C40" i="4"/>
  <c r="C39" i="4"/>
  <c r="F37" i="6"/>
  <c r="D39" i="4"/>
  <c r="D40" i="4"/>
  <c r="C10" i="4"/>
  <c r="S10" i="4"/>
  <c r="B107" i="11"/>
  <c r="P8" i="21"/>
  <c r="T8" i="21" s="1"/>
  <c r="O58" i="23"/>
  <c r="C8" i="6"/>
  <c r="Q8" i="6" s="1"/>
  <c r="F28" i="21"/>
  <c r="O65" i="21" s="1"/>
  <c r="S53" i="21" s="1"/>
  <c r="S98" i="10"/>
  <c r="X86" i="10" s="1"/>
  <c r="K26" i="10"/>
  <c r="Q98" i="10" s="1"/>
  <c r="V86" i="10" s="1"/>
  <c r="S22" i="6"/>
  <c r="X9" i="6" s="1"/>
  <c r="X28" i="25"/>
  <c r="AG28" i="25" s="1"/>
  <c r="S22" i="4"/>
  <c r="C12" i="13"/>
  <c r="R77" i="6"/>
  <c r="K9" i="6"/>
  <c r="Q77" i="6" s="1"/>
  <c r="H7" i="29"/>
  <c r="S11" i="4"/>
  <c r="C11" i="4"/>
  <c r="C8" i="10"/>
  <c r="Q7" i="10" s="1"/>
  <c r="C15" i="19"/>
  <c r="C18" i="9"/>
  <c r="R16" i="9" s="1"/>
  <c r="S42" i="14"/>
  <c r="W30" i="14" s="1"/>
  <c r="C29" i="14"/>
  <c r="E35" i="23"/>
  <c r="F35" i="23"/>
  <c r="AA35" i="25"/>
  <c r="AJ35" i="25" s="1"/>
  <c r="C23" i="21"/>
  <c r="V23" i="25" s="1"/>
  <c r="AE23" i="25" s="1"/>
  <c r="C23" i="4"/>
  <c r="S23" i="4"/>
  <c r="S33" i="4"/>
  <c r="C33" i="4"/>
  <c r="C14" i="4"/>
  <c r="S8" i="4"/>
  <c r="S26" i="4"/>
  <c r="C21" i="4"/>
  <c r="C16" i="4"/>
  <c r="S16" i="4"/>
  <c r="C8" i="9"/>
  <c r="C30" i="23"/>
  <c r="B39" i="11"/>
  <c r="C38" i="15"/>
  <c r="S89" i="10"/>
  <c r="X81" i="10" s="1"/>
  <c r="K17" i="10"/>
  <c r="Q89" i="10" s="1"/>
  <c r="V81" i="10" s="1"/>
  <c r="F17" i="10"/>
  <c r="S102" i="10"/>
  <c r="X90" i="10" s="1"/>
  <c r="K30" i="10"/>
  <c r="Q102" i="10" s="1"/>
  <c r="V90" i="10" s="1"/>
  <c r="F20" i="21"/>
  <c r="AA20" i="25"/>
  <c r="AJ20" i="25" s="1"/>
  <c r="N34" i="26"/>
  <c r="G7" i="10"/>
  <c r="Q47" i="10" s="1"/>
  <c r="C9" i="10"/>
  <c r="Q8" i="10" s="1"/>
  <c r="C39" i="15"/>
  <c r="R96" i="10"/>
  <c r="W84" i="10" s="1"/>
  <c r="K24" i="10"/>
  <c r="Q96" i="10" s="1"/>
  <c r="V84" i="10" s="1"/>
  <c r="V52" i="13"/>
  <c r="AB40" i="13" s="1"/>
  <c r="C26" i="9"/>
  <c r="R24" i="9" s="1"/>
  <c r="S24" i="9"/>
  <c r="G35" i="19"/>
  <c r="G37" i="19"/>
  <c r="G36" i="19"/>
  <c r="G38" i="19"/>
  <c r="G37" i="23"/>
  <c r="G38" i="6"/>
  <c r="C28" i="9"/>
  <c r="R26" i="9" s="1"/>
  <c r="C10" i="9"/>
  <c r="R8" i="9" s="1"/>
  <c r="U52" i="13"/>
  <c r="AA40" i="13" s="1"/>
  <c r="R95" i="10"/>
  <c r="W83" i="10" s="1"/>
  <c r="D23" i="10"/>
  <c r="R21" i="10" s="1"/>
  <c r="W9" i="10" s="1"/>
  <c r="S13" i="4"/>
  <c r="C13" i="4"/>
  <c r="AB18" i="25"/>
  <c r="AK18" i="25" s="1"/>
  <c r="C8" i="23"/>
  <c r="V8" i="25" s="1"/>
  <c r="AE8" i="25" s="1"/>
  <c r="G37" i="6"/>
  <c r="K10" i="10"/>
  <c r="Q83" i="10" s="1"/>
  <c r="C30" i="9"/>
  <c r="R28" i="9" s="1"/>
  <c r="C29" i="10"/>
  <c r="Q27" i="10" s="1"/>
  <c r="V15" i="10" s="1"/>
  <c r="E8" i="14"/>
  <c r="D25" i="21"/>
  <c r="C25" i="21" s="1"/>
  <c r="F25" i="21"/>
  <c r="O62" i="21" s="1"/>
  <c r="S50" i="21" s="1"/>
  <c r="Z25" i="25"/>
  <c r="AI25" i="25" s="1"/>
  <c r="S19" i="6"/>
  <c r="F30" i="10"/>
  <c r="S28" i="10" s="1"/>
  <c r="X16" i="10" s="1"/>
  <c r="K11" i="6"/>
  <c r="Q79" i="6" s="1"/>
  <c r="V75" i="6" s="1"/>
  <c r="D11" i="6"/>
  <c r="R11" i="6" s="1"/>
  <c r="W7" i="6" s="1"/>
  <c r="N12" i="26"/>
  <c r="Z12" i="26" s="1"/>
  <c r="H35" i="19"/>
  <c r="H37" i="19"/>
  <c r="H36" i="19"/>
  <c r="H38" i="19"/>
  <c r="C9" i="21"/>
  <c r="D13" i="10"/>
  <c r="R11" i="10" s="1"/>
  <c r="B8" i="11"/>
  <c r="R59" i="10"/>
  <c r="G20" i="10"/>
  <c r="Q59" i="10" s="1"/>
  <c r="F23" i="6"/>
  <c r="S23" i="6" s="1"/>
  <c r="X10" i="6" s="1"/>
  <c r="S90" i="6"/>
  <c r="X78" i="6" s="1"/>
  <c r="K23" i="6"/>
  <c r="Q90" i="6" s="1"/>
  <c r="V78" i="6" s="1"/>
  <c r="C26" i="14"/>
  <c r="R39" i="14"/>
  <c r="V27" i="14" s="1"/>
  <c r="K37" i="19"/>
  <c r="K35" i="19"/>
  <c r="K36" i="19"/>
  <c r="K38" i="19"/>
  <c r="W35" i="25"/>
  <c r="AF35" i="25" s="1"/>
  <c r="C27" i="4"/>
  <c r="S27" i="4"/>
  <c r="S100" i="14"/>
  <c r="K20" i="14"/>
  <c r="P71" i="23"/>
  <c r="T59" i="23" s="1"/>
  <c r="R6" i="6"/>
  <c r="W6" i="6" s="1"/>
  <c r="G13" i="10"/>
  <c r="Q52" i="10" s="1"/>
  <c r="C32" i="21"/>
  <c r="V32" i="25" s="1"/>
  <c r="AE32" i="25" s="1"/>
  <c r="W32" i="25"/>
  <c r="AF32" i="25" s="1"/>
  <c r="W47" i="6"/>
  <c r="G23" i="6"/>
  <c r="Q59" i="6" s="1"/>
  <c r="V47" i="6" s="1"/>
  <c r="C33" i="21"/>
  <c r="O33" i="21"/>
  <c r="S21" i="21" s="1"/>
  <c r="D9" i="6"/>
  <c r="R9" i="6" s="1"/>
  <c r="R46" i="6"/>
  <c r="S94" i="14"/>
  <c r="K14" i="14"/>
  <c r="K32" i="10"/>
  <c r="Q104" i="10" s="1"/>
  <c r="V92" i="10" s="1"/>
  <c r="S104" i="10"/>
  <c r="X92" i="10" s="1"/>
  <c r="F32" i="10"/>
  <c r="S30" i="10" s="1"/>
  <c r="X18" i="10" s="1"/>
  <c r="AB16" i="25"/>
  <c r="AK16" i="25" s="1"/>
  <c r="S32" i="13"/>
  <c r="Y17" i="25"/>
  <c r="AH17" i="25" s="1"/>
  <c r="F30" i="23"/>
  <c r="C26" i="13"/>
  <c r="C37" i="15"/>
  <c r="R25" i="14"/>
  <c r="C12" i="14"/>
  <c r="S24" i="4"/>
  <c r="C24" i="4"/>
  <c r="E18" i="21"/>
  <c r="K19" i="6"/>
  <c r="Q86" i="6" s="1"/>
  <c r="C13" i="13"/>
  <c r="T46" i="9"/>
  <c r="B37" i="11"/>
  <c r="C29" i="4"/>
  <c r="S29" i="4"/>
  <c r="E11" i="19"/>
  <c r="C11" i="19" s="1"/>
  <c r="F11" i="19"/>
  <c r="C36" i="13"/>
  <c r="F33" i="14"/>
  <c r="D33" i="14"/>
  <c r="C107" i="15"/>
  <c r="C106" i="15"/>
  <c r="C105" i="15"/>
  <c r="C108" i="15"/>
  <c r="C21" i="14"/>
  <c r="C9" i="14"/>
  <c r="C5" i="14"/>
  <c r="C16" i="14"/>
  <c r="R29" i="14"/>
  <c r="V21" i="14" s="1"/>
  <c r="K33" i="14"/>
  <c r="C7" i="14"/>
  <c r="T44" i="13"/>
  <c r="Z32" i="13" s="1"/>
  <c r="C28" i="13"/>
  <c r="C31" i="13"/>
  <c r="T31" i="13"/>
  <c r="F14" i="14"/>
  <c r="S27" i="14" s="1"/>
  <c r="S63" i="14"/>
  <c r="G14" i="14"/>
  <c r="S38" i="13"/>
  <c r="C22" i="13"/>
  <c r="S60" i="14"/>
  <c r="X56" i="14" s="1"/>
  <c r="F10" i="14"/>
  <c r="S24" i="14" s="1"/>
  <c r="W20" i="14" s="1"/>
  <c r="G10" i="14"/>
  <c r="U48" i="13"/>
  <c r="AA36" i="13" s="1"/>
  <c r="C32" i="13"/>
  <c r="S45" i="13"/>
  <c r="Y33" i="13" s="1"/>
  <c r="C29" i="13"/>
  <c r="F18" i="14"/>
  <c r="S31" i="14" s="1"/>
  <c r="S67" i="14"/>
  <c r="C14" i="13"/>
  <c r="S30" i="13"/>
  <c r="Y26" i="13" s="1"/>
  <c r="T27" i="13"/>
  <c r="C11" i="13"/>
  <c r="R27" i="14"/>
  <c r="T41" i="13"/>
  <c r="Z29" i="13" s="1"/>
  <c r="R40" i="14"/>
  <c r="V28" i="14" s="1"/>
  <c r="G8" i="14"/>
  <c r="D8" i="14"/>
  <c r="R31" i="14"/>
  <c r="S41" i="13"/>
  <c r="Y29" i="13" s="1"/>
  <c r="G31" i="14"/>
  <c r="D31" i="14"/>
  <c r="R44" i="14" s="1"/>
  <c r="V32" i="14" s="1"/>
  <c r="C24" i="14"/>
  <c r="R37" i="14"/>
  <c r="V25" i="14" s="1"/>
  <c r="S33" i="14"/>
  <c r="G18" i="14"/>
  <c r="R26" i="14"/>
  <c r="C13" i="14"/>
  <c r="C28" i="14"/>
  <c r="H35" i="9"/>
  <c r="S106" i="10"/>
  <c r="X94" i="10" s="1"/>
  <c r="K34" i="10"/>
  <c r="D35" i="9"/>
  <c r="H36" i="9"/>
  <c r="D37" i="9"/>
  <c r="D38" i="9"/>
  <c r="H37" i="9"/>
  <c r="D36" i="9"/>
  <c r="H38" i="9"/>
  <c r="G34" i="10"/>
  <c r="D34" i="10"/>
  <c r="R73" i="10"/>
  <c r="W61" i="10" s="1"/>
  <c r="C12" i="9"/>
  <c r="R10" i="9" s="1"/>
  <c r="C16" i="9"/>
  <c r="R14" i="9" s="1"/>
  <c r="C20" i="10"/>
  <c r="Q18" i="10" s="1"/>
  <c r="C30" i="10"/>
  <c r="Q28" i="10" s="1"/>
  <c r="V16" i="10" s="1"/>
  <c r="C6" i="10"/>
  <c r="Q5" i="10" s="1"/>
  <c r="V5" i="10" s="1"/>
  <c r="C16" i="10"/>
  <c r="Q14" i="10" s="1"/>
  <c r="C7" i="10"/>
  <c r="Q6" i="10" s="1"/>
  <c r="C24" i="10"/>
  <c r="Q22" i="10" s="1"/>
  <c r="V10" i="10" s="1"/>
  <c r="C14" i="9"/>
  <c r="R12" i="9" s="1"/>
  <c r="C17" i="9"/>
  <c r="R15" i="9" s="1"/>
  <c r="C31" i="10"/>
  <c r="Q29" i="10" s="1"/>
  <c r="V17" i="10" s="1"/>
  <c r="C33" i="10"/>
  <c r="Q31" i="10" s="1"/>
  <c r="V19" i="10" s="1"/>
  <c r="D14" i="10"/>
  <c r="G14" i="10"/>
  <c r="Q53" i="10" s="1"/>
  <c r="R53" i="10"/>
  <c r="R14" i="10"/>
  <c r="C15" i="10"/>
  <c r="Q13" i="10" s="1"/>
  <c r="R25" i="10"/>
  <c r="W13" i="10" s="1"/>
  <c r="C27" i="10"/>
  <c r="Q25" i="10" s="1"/>
  <c r="V13" i="10" s="1"/>
  <c r="C9" i="9"/>
  <c r="R7" i="9" s="1"/>
  <c r="T7" i="9"/>
  <c r="R30" i="10"/>
  <c r="W18" i="10" s="1"/>
  <c r="R23" i="10"/>
  <c r="W11" i="10" s="1"/>
  <c r="C11" i="10"/>
  <c r="Q10" i="10" s="1"/>
  <c r="V6" i="10" s="1"/>
  <c r="R17" i="10"/>
  <c r="S19" i="10"/>
  <c r="C21" i="10"/>
  <c r="Q19" i="10" s="1"/>
  <c r="S11" i="9"/>
  <c r="C13" i="9"/>
  <c r="R11" i="9" s="1"/>
  <c r="C34" i="9"/>
  <c r="B101" i="7"/>
  <c r="B99" i="7"/>
  <c r="B98" i="7"/>
  <c r="B100" i="7"/>
  <c r="B39" i="7"/>
  <c r="B36" i="7"/>
  <c r="C7" i="6"/>
  <c r="Q7" i="6" s="1"/>
  <c r="R7" i="6"/>
  <c r="W11" i="6"/>
  <c r="S10" i="6"/>
  <c r="C17" i="6"/>
  <c r="Q17" i="6" s="1"/>
  <c r="V8" i="6" s="1"/>
  <c r="S17" i="6"/>
  <c r="X8" i="6" s="1"/>
  <c r="C24" i="6"/>
  <c r="C33" i="13"/>
  <c r="T35" i="13"/>
  <c r="Z27" i="13" s="1"/>
  <c r="C19" i="13"/>
  <c r="C27" i="13"/>
  <c r="S43" i="13"/>
  <c r="Y31" i="13" s="1"/>
  <c r="T46" i="13"/>
  <c r="Z34" i="13" s="1"/>
  <c r="C30" i="13"/>
  <c r="S36" i="13"/>
  <c r="C20" i="13"/>
  <c r="C34" i="13"/>
  <c r="R33" i="5"/>
  <c r="Y21" i="5" s="1"/>
  <c r="R27" i="5"/>
  <c r="Y15" i="5" s="1"/>
  <c r="H38" i="23"/>
  <c r="H39" i="23"/>
  <c r="H37" i="23"/>
  <c r="H36" i="23"/>
  <c r="D36" i="23"/>
  <c r="D39" i="23"/>
  <c r="D37" i="23"/>
  <c r="D38" i="23"/>
  <c r="O35" i="23"/>
  <c r="S23" i="23" s="1"/>
  <c r="C11" i="23"/>
  <c r="C27" i="23"/>
  <c r="Y19" i="25"/>
  <c r="AH19" i="25" s="1"/>
  <c r="Y11" i="25"/>
  <c r="AH11" i="25" s="1"/>
  <c r="Y28" i="25"/>
  <c r="AH28" i="25" s="1"/>
  <c r="Y9" i="25"/>
  <c r="AH9" i="25" s="1"/>
  <c r="C10" i="23"/>
  <c r="C31" i="23"/>
  <c r="AB15" i="25"/>
  <c r="AK15" i="25" s="1"/>
  <c r="Y23" i="25"/>
  <c r="AH23" i="25" s="1"/>
  <c r="X9" i="25"/>
  <c r="AG9" i="25" s="1"/>
  <c r="AB28" i="25"/>
  <c r="AK28" i="25" s="1"/>
  <c r="X10" i="25"/>
  <c r="AG10" i="25" s="1"/>
  <c r="X32" i="25"/>
  <c r="AG32" i="25" s="1"/>
  <c r="P32" i="23"/>
  <c r="T20" i="23" s="1"/>
  <c r="B35" i="24"/>
  <c r="B36" i="24"/>
  <c r="B34" i="24"/>
  <c r="B37" i="24"/>
  <c r="O61" i="23"/>
  <c r="S49" i="23" s="1"/>
  <c r="P21" i="23"/>
  <c r="C21" i="23"/>
  <c r="Y16" i="25"/>
  <c r="AH16" i="25" s="1"/>
  <c r="O52" i="23"/>
  <c r="AB12" i="25"/>
  <c r="AK12" i="25" s="1"/>
  <c r="P48" i="23"/>
  <c r="O13" i="23"/>
  <c r="S9" i="23" s="1"/>
  <c r="C13" i="23"/>
  <c r="P14" i="23"/>
  <c r="C14" i="23"/>
  <c r="V14" i="25" s="1"/>
  <c r="AE14" i="25" s="1"/>
  <c r="C18" i="23"/>
  <c r="O18" i="23"/>
  <c r="S10" i="23" s="1"/>
  <c r="V17" i="25"/>
  <c r="AE17" i="25" s="1"/>
  <c r="P17" i="23"/>
  <c r="X17" i="25"/>
  <c r="AG17" i="25" s="1"/>
  <c r="Y33" i="25"/>
  <c r="AH33" i="25" s="1"/>
  <c r="O69" i="23"/>
  <c r="S57" i="23" s="1"/>
  <c r="C29" i="23"/>
  <c r="V29" i="25" s="1"/>
  <c r="AE29" i="25" s="1"/>
  <c r="O9" i="23"/>
  <c r="C9" i="23"/>
  <c r="O28" i="23"/>
  <c r="S16" i="23" s="1"/>
  <c r="C28" i="23"/>
  <c r="V28" i="25" s="1"/>
  <c r="AE28" i="25" s="1"/>
  <c r="Y26" i="25"/>
  <c r="AH26" i="25" s="1"/>
  <c r="W18" i="25"/>
  <c r="AF18" i="25" s="1"/>
  <c r="AB9" i="25"/>
  <c r="AK9" i="25" s="1"/>
  <c r="AB14" i="25"/>
  <c r="AK14" i="25" s="1"/>
  <c r="O33" i="23"/>
  <c r="S21" i="23" s="1"/>
  <c r="W33" i="25"/>
  <c r="AF33" i="25" s="1"/>
  <c r="C33" i="23"/>
  <c r="C25" i="23"/>
  <c r="O25" i="23"/>
  <c r="S13" i="23" s="1"/>
  <c r="C24" i="23"/>
  <c r="P24" i="23"/>
  <c r="T12" i="23" s="1"/>
  <c r="Y32" i="25"/>
  <c r="AH32" i="25" s="1"/>
  <c r="O68" i="23"/>
  <c r="S56" i="23" s="1"/>
  <c r="C16" i="23"/>
  <c r="V16" i="25" s="1"/>
  <c r="AE16" i="25" s="1"/>
  <c r="O16" i="23"/>
  <c r="C12" i="23"/>
  <c r="C10" i="21"/>
  <c r="O10" i="21"/>
  <c r="X8" i="25"/>
  <c r="AG8" i="25" s="1"/>
  <c r="H38" i="21"/>
  <c r="H36" i="21"/>
  <c r="H39" i="21"/>
  <c r="H37" i="21"/>
  <c r="O19" i="21"/>
  <c r="W19" i="25"/>
  <c r="AF19" i="25" s="1"/>
  <c r="K39" i="21"/>
  <c r="K38" i="21"/>
  <c r="K37" i="21"/>
  <c r="K36" i="21"/>
  <c r="D37" i="21"/>
  <c r="D36" i="21"/>
  <c r="O35" i="21"/>
  <c r="S23" i="21" s="1"/>
  <c r="O51" i="21"/>
  <c r="Y14" i="25"/>
  <c r="AH14" i="25" s="1"/>
  <c r="W23" i="25"/>
  <c r="AF23" i="25" s="1"/>
  <c r="O23" i="21"/>
  <c r="S11" i="21" s="1"/>
  <c r="W10" i="25"/>
  <c r="AF10" i="25" s="1"/>
  <c r="O28" i="21"/>
  <c r="S16" i="21" s="1"/>
  <c r="W28" i="25"/>
  <c r="AF28" i="25" s="1"/>
  <c r="O45" i="21"/>
  <c r="S45" i="21" s="1"/>
  <c r="Y8" i="25"/>
  <c r="AH8" i="25" s="1"/>
  <c r="O12" i="21"/>
  <c r="W12" i="25"/>
  <c r="AF12" i="25" s="1"/>
  <c r="P25" i="21"/>
  <c r="T13" i="21" s="1"/>
  <c r="X25" i="25"/>
  <c r="AG25" i="25" s="1"/>
  <c r="B37" i="22"/>
  <c r="B36" i="22"/>
  <c r="B34" i="22"/>
  <c r="Z34" i="26"/>
  <c r="F35" i="21"/>
  <c r="O72" i="21" s="1"/>
  <c r="S60" i="21" s="1"/>
  <c r="P26" i="21"/>
  <c r="T14" i="21" s="1"/>
  <c r="C26" i="21"/>
  <c r="V26" i="25" s="1"/>
  <c r="AE26" i="25" s="1"/>
  <c r="X26" i="25"/>
  <c r="AG26" i="25" s="1"/>
  <c r="O55" i="21"/>
  <c r="S47" i="21" s="1"/>
  <c r="P27" i="21"/>
  <c r="T15" i="21" s="1"/>
  <c r="X27" i="25"/>
  <c r="AG27" i="25" s="1"/>
  <c r="P30" i="21"/>
  <c r="T18" i="21" s="1"/>
  <c r="X30" i="25"/>
  <c r="AG30" i="25" s="1"/>
  <c r="E35" i="21"/>
  <c r="I35" i="21"/>
  <c r="P72" i="21" s="1"/>
  <c r="T60" i="21" s="1"/>
  <c r="C19" i="21"/>
  <c r="V19" i="25" s="1"/>
  <c r="AE19" i="25" s="1"/>
  <c r="X19" i="25"/>
  <c r="AG19" i="25" s="1"/>
  <c r="P19" i="21"/>
  <c r="P29" i="21"/>
  <c r="T17" i="21" s="1"/>
  <c r="X29" i="25"/>
  <c r="AG29" i="25" s="1"/>
  <c r="P45" i="21"/>
  <c r="T45" i="21" s="1"/>
  <c r="AB8" i="25"/>
  <c r="AK8" i="25" s="1"/>
  <c r="O49" i="21"/>
  <c r="Y12" i="25"/>
  <c r="AH12" i="25" s="1"/>
  <c r="W31" i="25"/>
  <c r="AF31" i="25" s="1"/>
  <c r="C31" i="21"/>
  <c r="V31" i="25" s="1"/>
  <c r="AE31" i="25" s="1"/>
  <c r="O31" i="21"/>
  <c r="S19" i="21" s="1"/>
  <c r="P57" i="21"/>
  <c r="AB20" i="25"/>
  <c r="AK20" i="25" s="1"/>
  <c r="X24" i="25"/>
  <c r="AG24" i="25" s="1"/>
  <c r="P24" i="21"/>
  <c r="T12" i="21" s="1"/>
  <c r="P33" i="21"/>
  <c r="T21" i="21" s="1"/>
  <c r="X33" i="25"/>
  <c r="AG33" i="25" s="1"/>
  <c r="P68" i="21"/>
  <c r="T56" i="21" s="1"/>
  <c r="AB31" i="25"/>
  <c r="AK31" i="25" s="1"/>
  <c r="C12" i="21"/>
  <c r="X12" i="25"/>
  <c r="AG12" i="25" s="1"/>
  <c r="P12" i="21"/>
  <c r="Y21" i="25"/>
  <c r="AH21" i="25" s="1"/>
  <c r="O58" i="21"/>
  <c r="O24" i="21"/>
  <c r="S12" i="21" s="1"/>
  <c r="W24" i="25"/>
  <c r="AF24" i="25" s="1"/>
  <c r="C24" i="21"/>
  <c r="Y10" i="25"/>
  <c r="AH10" i="25" s="1"/>
  <c r="O47" i="21"/>
  <c r="O30" i="21"/>
  <c r="S18" i="21" s="1"/>
  <c r="C30" i="21"/>
  <c r="W30" i="25"/>
  <c r="AF30" i="25" s="1"/>
  <c r="P50" i="21"/>
  <c r="T46" i="21" s="1"/>
  <c r="AB13" i="25"/>
  <c r="AK13" i="25" s="1"/>
  <c r="O66" i="21"/>
  <c r="S54" i="21" s="1"/>
  <c r="Y29" i="25"/>
  <c r="AH29" i="25" s="1"/>
  <c r="O27" i="21"/>
  <c r="S15" i="21" s="1"/>
  <c r="W27" i="25"/>
  <c r="AF27" i="25" s="1"/>
  <c r="C27" i="21"/>
  <c r="P70" i="21"/>
  <c r="T58" i="21" s="1"/>
  <c r="AB33" i="25"/>
  <c r="AK33" i="25" s="1"/>
  <c r="O21" i="21"/>
  <c r="W21" i="25"/>
  <c r="AF21" i="25" s="1"/>
  <c r="C21" i="21"/>
  <c r="O68" i="21"/>
  <c r="S56" i="21" s="1"/>
  <c r="Y31" i="25"/>
  <c r="AH31" i="25" s="1"/>
  <c r="P56" i="21"/>
  <c r="AB19" i="25"/>
  <c r="AK19" i="25" s="1"/>
  <c r="P22" i="21"/>
  <c r="C22" i="21"/>
  <c r="V22" i="25" s="1"/>
  <c r="AE22" i="25" s="1"/>
  <c r="X22" i="25"/>
  <c r="AG22" i="25" s="1"/>
  <c r="P61" i="21"/>
  <c r="T49" i="21" s="1"/>
  <c r="AB24" i="25"/>
  <c r="AK24" i="25" s="1"/>
  <c r="X21" i="25"/>
  <c r="AG21" i="25" s="1"/>
  <c r="P21" i="21"/>
  <c r="O61" i="21"/>
  <c r="S49" i="21" s="1"/>
  <c r="Y24" i="25"/>
  <c r="AH24" i="25" s="1"/>
  <c r="O64" i="21"/>
  <c r="S52" i="21" s="1"/>
  <c r="Y27" i="25"/>
  <c r="AH27" i="25" s="1"/>
  <c r="P58" i="21"/>
  <c r="AB21" i="25"/>
  <c r="AK21" i="25" s="1"/>
  <c r="X20" i="25"/>
  <c r="AG20" i="25" s="1"/>
  <c r="P20" i="21"/>
  <c r="C20" i="21"/>
  <c r="V20" i="25" s="1"/>
  <c r="AE20" i="25" s="1"/>
  <c r="P31" i="21"/>
  <c r="T19" i="21" s="1"/>
  <c r="X31" i="25"/>
  <c r="AG31" i="25" s="1"/>
  <c r="P13" i="21"/>
  <c r="T9" i="21" s="1"/>
  <c r="X13" i="25"/>
  <c r="AG13" i="25" s="1"/>
  <c r="P59" i="21"/>
  <c r="AB22" i="25"/>
  <c r="AK22" i="25" s="1"/>
  <c r="B35" i="20"/>
  <c r="B38" i="20"/>
  <c r="B36" i="20"/>
  <c r="B37" i="20"/>
  <c r="P15" i="21" l="1"/>
  <c r="C15" i="21"/>
  <c r="V15" i="25" s="1"/>
  <c r="AE15" i="25" s="1"/>
  <c r="Y25" i="25"/>
  <c r="AH25" i="25" s="1"/>
  <c r="C18" i="10"/>
  <c r="Q16" i="10" s="1"/>
  <c r="Y18" i="25"/>
  <c r="AH18" i="25" s="1"/>
  <c r="C35" i="21"/>
  <c r="D5" i="21" s="1"/>
  <c r="E36" i="21"/>
  <c r="E5" i="21"/>
  <c r="F13" i="21"/>
  <c r="Z13" i="25"/>
  <c r="AI13" i="25" s="1"/>
  <c r="D13" i="21"/>
  <c r="Y22" i="25"/>
  <c r="AH22" i="25" s="1"/>
  <c r="C6" i="6"/>
  <c r="Q6" i="6" s="1"/>
  <c r="V6" i="6" s="1"/>
  <c r="AB29" i="25"/>
  <c r="AK29" i="25" s="1"/>
  <c r="V21" i="25"/>
  <c r="AE21" i="25" s="1"/>
  <c r="C27" i="19"/>
  <c r="O15" i="19"/>
  <c r="C29" i="19"/>
  <c r="P17" i="19"/>
  <c r="C20" i="14"/>
  <c r="S36" i="14"/>
  <c r="W24" i="14" s="1"/>
  <c r="R22" i="14"/>
  <c r="K34" i="14"/>
  <c r="K35" i="14"/>
  <c r="K37" i="14"/>
  <c r="K36" i="14"/>
  <c r="C27" i="14"/>
  <c r="D37" i="14"/>
  <c r="D36" i="14"/>
  <c r="D34" i="14"/>
  <c r="D35" i="14"/>
  <c r="F36" i="14"/>
  <c r="F37" i="14"/>
  <c r="F34" i="14"/>
  <c r="F35" i="14"/>
  <c r="C15" i="14"/>
  <c r="C38" i="13"/>
  <c r="C39" i="13"/>
  <c r="C40" i="13"/>
  <c r="C37" i="13"/>
  <c r="C25" i="10"/>
  <c r="Q23" i="10" s="1"/>
  <c r="V11" i="10" s="1"/>
  <c r="C22" i="10"/>
  <c r="Q20" i="10" s="1"/>
  <c r="V8" i="10" s="1"/>
  <c r="R16" i="10"/>
  <c r="C28" i="10"/>
  <c r="Q26" i="10" s="1"/>
  <c r="V14" i="10" s="1"/>
  <c r="C19" i="10"/>
  <c r="Q17" i="10" s="1"/>
  <c r="C10" i="10"/>
  <c r="Q9" i="10" s="1"/>
  <c r="S32" i="10"/>
  <c r="X20" i="10" s="1"/>
  <c r="F36" i="10"/>
  <c r="F35" i="10"/>
  <c r="F38" i="10"/>
  <c r="F37" i="10"/>
  <c r="K35" i="10"/>
  <c r="K37" i="10"/>
  <c r="K38" i="10"/>
  <c r="K36" i="10"/>
  <c r="D38" i="10"/>
  <c r="D36" i="10"/>
  <c r="D37" i="10"/>
  <c r="D35" i="10"/>
  <c r="G38" i="10"/>
  <c r="G36" i="10"/>
  <c r="G37" i="10"/>
  <c r="G35" i="10"/>
  <c r="C13" i="10"/>
  <c r="Q11" i="10" s="1"/>
  <c r="C23" i="10"/>
  <c r="Q21" i="10" s="1"/>
  <c r="V9" i="10" s="1"/>
  <c r="C14" i="6"/>
  <c r="Q14" i="6" s="1"/>
  <c r="C10" i="6"/>
  <c r="Q10" i="6" s="1"/>
  <c r="C20" i="6"/>
  <c r="Q20" i="6" s="1"/>
  <c r="R31" i="6"/>
  <c r="W18" i="6" s="1"/>
  <c r="C31" i="6"/>
  <c r="Q31" i="6" s="1"/>
  <c r="V18" i="6" s="1"/>
  <c r="C36" i="6"/>
  <c r="S16" i="6"/>
  <c r="C11" i="6"/>
  <c r="Q11" i="6" s="1"/>
  <c r="V7" i="6" s="1"/>
  <c r="C9" i="6"/>
  <c r="Q9" i="6" s="1"/>
  <c r="I11" i="21"/>
  <c r="E11" i="21"/>
  <c r="AD11" i="25"/>
  <c r="AM11" i="25" s="1"/>
  <c r="S43" i="14"/>
  <c r="W31" i="14" s="1"/>
  <c r="C30" i="14"/>
  <c r="V30" i="25"/>
  <c r="AE30" i="25" s="1"/>
  <c r="V10" i="25"/>
  <c r="AE10" i="25" s="1"/>
  <c r="W12" i="6"/>
  <c r="C25" i="6"/>
  <c r="Q25" i="6" s="1"/>
  <c r="V12" i="6" s="1"/>
  <c r="C32" i="10"/>
  <c r="Q30" i="10" s="1"/>
  <c r="V18" i="10" s="1"/>
  <c r="V27" i="25"/>
  <c r="AE27" i="25" s="1"/>
  <c r="O57" i="21"/>
  <c r="Y20" i="25"/>
  <c r="AH20" i="25" s="1"/>
  <c r="O71" i="23"/>
  <c r="S59" i="23" s="1"/>
  <c r="Y35" i="25"/>
  <c r="AH35" i="25" s="1"/>
  <c r="C8" i="14"/>
  <c r="F35" i="19"/>
  <c r="F37" i="19"/>
  <c r="F38" i="19"/>
  <c r="F36" i="19"/>
  <c r="C18" i="21"/>
  <c r="V18" i="25" s="1"/>
  <c r="AE18" i="25" s="1"/>
  <c r="P18" i="21"/>
  <c r="T10" i="21" s="1"/>
  <c r="X18" i="25"/>
  <c r="AG18" i="25" s="1"/>
  <c r="AB35" i="25"/>
  <c r="AK35" i="25" s="1"/>
  <c r="C19" i="6"/>
  <c r="Q19" i="6" s="1"/>
  <c r="S15" i="10"/>
  <c r="X7" i="10" s="1"/>
  <c r="C17" i="10"/>
  <c r="Q15" i="10" s="1"/>
  <c r="V7" i="10" s="1"/>
  <c r="D39" i="21"/>
  <c r="X35" i="25"/>
  <c r="AG35" i="25" s="1"/>
  <c r="W10" i="6"/>
  <c r="C23" i="6"/>
  <c r="Q23" i="6" s="1"/>
  <c r="V10" i="6" s="1"/>
  <c r="D38" i="21"/>
  <c r="O66" i="23"/>
  <c r="S54" i="23" s="1"/>
  <c r="Y30" i="25"/>
  <c r="AH30" i="25" s="1"/>
  <c r="C34" i="19"/>
  <c r="C35" i="19" s="1"/>
  <c r="D38" i="19"/>
  <c r="D35" i="19"/>
  <c r="D37" i="19"/>
  <c r="D36" i="19"/>
  <c r="V9" i="25"/>
  <c r="AE9" i="25" s="1"/>
  <c r="I35" i="19"/>
  <c r="I37" i="19"/>
  <c r="I36" i="19"/>
  <c r="I38" i="19"/>
  <c r="C15" i="6"/>
  <c r="Q15" i="6" s="1"/>
  <c r="E35" i="19"/>
  <c r="E37" i="19"/>
  <c r="E38" i="19"/>
  <c r="E36" i="19"/>
  <c r="O25" i="21"/>
  <c r="S13" i="21" s="1"/>
  <c r="W25" i="25"/>
  <c r="AF25" i="25" s="1"/>
  <c r="R32" i="10"/>
  <c r="W20" i="10" s="1"/>
  <c r="R46" i="14"/>
  <c r="V34" i="14" s="1"/>
  <c r="C33" i="14"/>
  <c r="S46" i="14"/>
  <c r="W34" i="14" s="1"/>
  <c r="C18" i="14"/>
  <c r="C10" i="14"/>
  <c r="C14" i="14"/>
  <c r="C31" i="14"/>
  <c r="Q106" i="10"/>
  <c r="V94" i="10" s="1"/>
  <c r="Q73" i="10"/>
  <c r="V61" i="10" s="1"/>
  <c r="C34" i="10"/>
  <c r="R12" i="10"/>
  <c r="C14" i="10"/>
  <c r="Q12" i="10" s="1"/>
  <c r="C36" i="9"/>
  <c r="C38" i="9"/>
  <c r="R32" i="9"/>
  <c r="C35" i="9"/>
  <c r="C37" i="9"/>
  <c r="Q24" i="6"/>
  <c r="V11" i="6" s="1"/>
  <c r="C38" i="6"/>
  <c r="C37" i="6"/>
  <c r="E39" i="23"/>
  <c r="E37" i="23"/>
  <c r="P35" i="23"/>
  <c r="T23" i="23" s="1"/>
  <c r="E38" i="23"/>
  <c r="E36" i="23"/>
  <c r="F37" i="23"/>
  <c r="F38" i="23"/>
  <c r="F36" i="23"/>
  <c r="F39" i="23"/>
  <c r="C35" i="23"/>
  <c r="V12" i="25"/>
  <c r="AE12" i="25" s="1"/>
  <c r="V25" i="25"/>
  <c r="AE25" i="25" s="1"/>
  <c r="I39" i="21"/>
  <c r="I37" i="21"/>
  <c r="I38" i="21"/>
  <c r="I36" i="21"/>
  <c r="E39" i="21"/>
  <c r="E37" i="21"/>
  <c r="E38" i="21"/>
  <c r="F39" i="21"/>
  <c r="F37" i="21"/>
  <c r="F38" i="21"/>
  <c r="F36" i="21"/>
  <c r="P35" i="21"/>
  <c r="T23" i="21" s="1"/>
  <c r="V33" i="25"/>
  <c r="AE33" i="25" s="1"/>
  <c r="V24" i="25"/>
  <c r="AE24" i="25" s="1"/>
  <c r="O13" i="21" l="1"/>
  <c r="S9" i="21" s="1"/>
  <c r="W13" i="25"/>
  <c r="AF13" i="25" s="1"/>
  <c r="C13" i="21"/>
  <c r="V13" i="25" s="1"/>
  <c r="AE13" i="25" s="1"/>
  <c r="O50" i="21"/>
  <c r="S46" i="21" s="1"/>
  <c r="Y13" i="25"/>
  <c r="AH13" i="25" s="1"/>
  <c r="C36" i="14"/>
  <c r="C37" i="14"/>
  <c r="C35" i="14"/>
  <c r="C34" i="14"/>
  <c r="C37" i="10"/>
  <c r="C35" i="10"/>
  <c r="C36" i="10"/>
  <c r="C38" i="10"/>
  <c r="X11" i="25"/>
  <c r="AG11" i="25" s="1"/>
  <c r="P11" i="21"/>
  <c r="C11" i="21"/>
  <c r="V11" i="25" s="1"/>
  <c r="AE11" i="25" s="1"/>
  <c r="P48" i="21"/>
  <c r="AB11" i="25"/>
  <c r="AK11" i="25" s="1"/>
  <c r="V35" i="25"/>
  <c r="AE35" i="25" s="1"/>
  <c r="C37" i="19"/>
  <c r="C36" i="19"/>
  <c r="C38" i="19"/>
  <c r="C38" i="21"/>
  <c r="Q32" i="10"/>
  <c r="V20" i="10" s="1"/>
  <c r="C39" i="23"/>
  <c r="C38" i="23"/>
  <c r="C37" i="23"/>
  <c r="C36" i="23"/>
  <c r="C39" i="21"/>
  <c r="C36" i="21"/>
  <c r="C37" i="21"/>
</calcChain>
</file>

<file path=xl/comments1.xml><?xml version="1.0" encoding="utf-8"?>
<comments xmlns="http://schemas.openxmlformats.org/spreadsheetml/2006/main">
  <authors>
    <author>lvilchez</author>
    <author>usuario</author>
  </authors>
  <commentList>
    <comment ref="F50" authorId="0">
      <text>
        <r>
          <rPr>
            <b/>
            <sz val="8"/>
            <color indexed="81"/>
            <rFont val="Tahoma"/>
            <family val="2"/>
          </rPr>
          <t>lvilchez:</t>
        </r>
        <r>
          <rPr>
            <sz val="8"/>
            <color indexed="81"/>
            <rFont val="Tahoma"/>
            <family val="2"/>
          </rPr>
          <t xml:space="preserve">
Ajustado para arreglar decimales</t>
        </r>
      </text>
    </comment>
    <comment ref="AN50" authorId="1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Cambiar en el cuadro de la izquierda el valor del porcentaje de 15% a 14 %, para lograr la suma del 100%</t>
        </r>
      </text>
    </comment>
    <comment ref="AR50" authorId="1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Cambiar en el cuadro de la izquierda el valor del porcentaje de 15% a 14 %, para lograr la suma del 100%</t>
        </r>
      </text>
    </comment>
    <comment ref="AP68" authorId="1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Cambiar en el cuadro de la izquierda el valor del  porcentaje  de 81% a 80%, para que en la sumatoria se logre el 100%,.</t>
        </r>
      </text>
    </comment>
  </commentList>
</comments>
</file>

<file path=xl/sharedStrings.xml><?xml version="1.0" encoding="utf-8"?>
<sst xmlns="http://schemas.openxmlformats.org/spreadsheetml/2006/main" count="1066" uniqueCount="237">
  <si>
    <t xml:space="preserve">  Por tipo de generación</t>
  </si>
  <si>
    <t xml:space="preserve">  Hidráulica (%)</t>
  </si>
  <si>
    <t xml:space="preserve">  Térmica (%)</t>
  </si>
  <si>
    <t xml:space="preserve">  Por Sistemas</t>
  </si>
  <si>
    <t xml:space="preserve">  SICN (%)</t>
  </si>
  <si>
    <t xml:space="preserve">  SIS (%)</t>
  </si>
  <si>
    <t xml:space="preserve">  Aislados (%)</t>
  </si>
  <si>
    <t xml:space="preserve">  Regulados (%)</t>
  </si>
  <si>
    <t xml:space="preserve">  Libres (%)</t>
  </si>
  <si>
    <t xml:space="preserve">  NÚMERO DE CLIENTES</t>
  </si>
  <si>
    <t xml:space="preserve">  Mercado Eléctrico (%)</t>
  </si>
  <si>
    <t xml:space="preserve">  Uso Propio (%)</t>
  </si>
  <si>
    <t xml:space="preserve">  Por Servicio</t>
  </si>
  <si>
    <t xml:space="preserve">  Por tipo de empresa</t>
  </si>
  <si>
    <t xml:space="preserve">  Generadoras (%)</t>
  </si>
  <si>
    <t xml:space="preserve">  Distribuidoras (%)</t>
  </si>
  <si>
    <t xml:space="preserve">  Por mercado</t>
  </si>
  <si>
    <r>
      <t xml:space="preserve">  SEIN </t>
    </r>
    <r>
      <rPr>
        <vertAlign val="superscript"/>
        <sz val="8"/>
        <rFont val="Arial"/>
        <family val="2"/>
      </rPr>
      <t>**</t>
    </r>
    <r>
      <rPr>
        <sz val="8"/>
        <rFont val="Arial"/>
        <family val="2"/>
      </rPr>
      <t>(%)</t>
    </r>
  </si>
  <si>
    <t xml:space="preserve">  POTENCIA INSTALADA (MW)</t>
  </si>
  <si>
    <t xml:space="preserve">  POTENCIA EFECTIVA (MW)</t>
  </si>
  <si>
    <t xml:space="preserve">  MÁXIMA DEMANDA DEL SEIN (MW)</t>
  </si>
  <si>
    <t xml:space="preserve">  PÉRDIDAS EN DISTRIBUCIÓN (%)</t>
  </si>
  <si>
    <t xml:space="preserve">  INVERSIONES EJECUTADAS (millones US $)</t>
  </si>
  <si>
    <t>.</t>
  </si>
  <si>
    <t xml:space="preserve">Cambiar valor en cuadro de la izquierda para logar el redondeo al 100% </t>
  </si>
  <si>
    <t xml:space="preserve">  INDICADORES  ENERGÉTICOS </t>
  </si>
  <si>
    <r>
      <t xml:space="preserve">  Población </t>
    </r>
    <r>
      <rPr>
        <vertAlign val="superscript"/>
        <sz val="10"/>
        <rFont val="Arial"/>
        <family val="2"/>
      </rPr>
      <t>1</t>
    </r>
    <r>
      <rPr>
        <sz val="8"/>
        <rFont val="Arial"/>
        <family val="2"/>
      </rPr>
      <t xml:space="preserve">  (habitantes)</t>
    </r>
  </si>
  <si>
    <t>Var. Media</t>
  </si>
  <si>
    <t>1 INDICADORES</t>
  </si>
  <si>
    <r>
      <t>Nota</t>
    </r>
    <r>
      <rPr>
        <sz val="9"/>
        <rFont val="Arial"/>
        <family val="2"/>
      </rPr>
      <t>:</t>
    </r>
  </si>
  <si>
    <t>2009*</t>
  </si>
  <si>
    <t xml:space="preserve">  Solar (%)</t>
  </si>
  <si>
    <t>-</t>
  </si>
  <si>
    <t>2001 *</t>
  </si>
  <si>
    <t>(*) A partir del año 2001 se interconectan los Sistemas Sur (SIS) y Norte (SICN) para conformar el Sistema Eléctrico Interconectado Nacional (SEIN)</t>
  </si>
  <si>
    <t xml:space="preserve">  Eólica (%)</t>
  </si>
  <si>
    <t>Población</t>
  </si>
  <si>
    <t>Consumo</t>
  </si>
  <si>
    <t>kWh/ habit</t>
  </si>
  <si>
    <t>Año</t>
  </si>
  <si>
    <t xml:space="preserve"> kW.h / Habitante</t>
  </si>
  <si>
    <t>habit.</t>
  </si>
  <si>
    <t>GWh</t>
  </si>
  <si>
    <t>Incremento 21/20</t>
  </si>
  <si>
    <t>Variación media 21/16</t>
  </si>
  <si>
    <t>Incremento 21/11</t>
  </si>
  <si>
    <t>Variación media 21/11</t>
  </si>
  <si>
    <t>Producción</t>
  </si>
  <si>
    <t>Inversión 
Total</t>
  </si>
  <si>
    <t>Total Empresas</t>
  </si>
  <si>
    <t>Empresas Estatales</t>
  </si>
  <si>
    <t>Empresas Privadas</t>
  </si>
  <si>
    <r>
      <t>Electrificación Rural</t>
    </r>
    <r>
      <rPr>
        <b/>
        <vertAlign val="superscript"/>
        <sz val="10"/>
        <color indexed="9"/>
        <rFont val="Arial"/>
        <family val="2"/>
      </rPr>
      <t>1</t>
    </r>
  </si>
  <si>
    <t>Total</t>
  </si>
  <si>
    <t>Generadoras</t>
  </si>
  <si>
    <t>Transmisoras</t>
  </si>
  <si>
    <t>Distribuidoras</t>
  </si>
  <si>
    <t>Estatal (*)</t>
  </si>
  <si>
    <t>Privada</t>
  </si>
  <si>
    <t>2001*</t>
  </si>
  <si>
    <r>
      <t>1</t>
    </r>
    <r>
      <rPr>
        <sz val="8"/>
        <rFont val="Arial"/>
        <family val="2"/>
      </rPr>
      <t xml:space="preserve"> Corresponde a inversiones ejecutadas por la Dirección General de Electrificación Rural.</t>
    </r>
  </si>
  <si>
    <t>(*) En el año 2001 se interconectan los sistemas SICN y SIS para conformar el Sistema Eléctrico Interconectado Nacional - SEIN</t>
  </si>
  <si>
    <t>Total Estatales</t>
  </si>
  <si>
    <t>Generación</t>
  </si>
  <si>
    <t>Transmisión</t>
  </si>
  <si>
    <t>Distribución</t>
  </si>
  <si>
    <t>(*) No incluye inversiones ejecutadas por la Dirección General de Electrificación Rural - DGER</t>
  </si>
  <si>
    <t>Total Privadas</t>
  </si>
  <si>
    <t>DGER</t>
  </si>
  <si>
    <t>2.  POTENCIA INSTALADA NACIONAL (MW)</t>
  </si>
  <si>
    <t>Mercado eléctrico</t>
  </si>
  <si>
    <t>Uso propio</t>
  </si>
  <si>
    <t>Hidro</t>
  </si>
  <si>
    <t>Termo</t>
  </si>
  <si>
    <t>Solar</t>
  </si>
  <si>
    <t>Eólica</t>
  </si>
  <si>
    <t>Hidráulica</t>
  </si>
  <si>
    <t>Térmica</t>
  </si>
  <si>
    <t>Mercado Eléctrico</t>
  </si>
  <si>
    <t>Uso Propio</t>
  </si>
  <si>
    <t>TOTALES</t>
  </si>
  <si>
    <t>SEIN</t>
  </si>
  <si>
    <t>SICN</t>
  </si>
  <si>
    <t>SIS</t>
  </si>
  <si>
    <t>SA</t>
  </si>
  <si>
    <t>( * ) En el año 2001 se interconectan los sistemas SICN y SIS para conformar el Sistema Eléctrico Interconectado Nacional - SEIN</t>
  </si>
  <si>
    <t>TOTAL</t>
  </si>
  <si>
    <t>Sistema interconectado centro norte (SICN)</t>
  </si>
  <si>
    <t xml:space="preserve">     Sistema interconectado sur (SIS)</t>
  </si>
  <si>
    <t>Sub - Total</t>
  </si>
  <si>
    <t>Hidráulico</t>
  </si>
  <si>
    <t>Térmico</t>
  </si>
  <si>
    <t>Eólico</t>
  </si>
  <si>
    <t>S E I N</t>
  </si>
  <si>
    <t>Origen</t>
  </si>
  <si>
    <t xml:space="preserve">Hidráulico </t>
  </si>
  <si>
    <t>Biomasa</t>
  </si>
  <si>
    <t>RER-Hidro</t>
  </si>
  <si>
    <t>(*) Incluye sólo aquellas centrales eléctricas que tienen calificación como RER (Recursos Energéticos Renovables), que incluye RER convencionales (hidráulicas menores A 20 MW) y RER no convencionales (eólico, solar, biomasa, biogás), otorgado por las Dirección de Concesiones Eléctricas (DCE) de la DGE/MEM.</t>
  </si>
  <si>
    <t>3. POTENCIA EFECTIVA (MW)</t>
  </si>
  <si>
    <t xml:space="preserve">SEIN </t>
  </si>
  <si>
    <t>Sistema interconectado sur (SIS)</t>
  </si>
  <si>
    <t>Aislados</t>
  </si>
  <si>
    <t>ME</t>
  </si>
  <si>
    <t>HIDRO</t>
  </si>
  <si>
    <t>TERMO</t>
  </si>
  <si>
    <t>SOLAR</t>
  </si>
  <si>
    <t>EÓLICO</t>
  </si>
  <si>
    <t>TOTAL SEIN</t>
  </si>
  <si>
    <t xml:space="preserve">Máxima Demanda </t>
  </si>
  <si>
    <t>(MW)</t>
  </si>
  <si>
    <t>Fuente : COES</t>
  </si>
  <si>
    <t>5.  PRODUCCIÓN DE ENERGÍA ELÉCTRICA (GW.h)</t>
  </si>
  <si>
    <t>Mercado Electrico</t>
  </si>
  <si>
    <t>---</t>
  </si>
  <si>
    <t>Longitud de Líneas de Transmisión</t>
  </si>
  <si>
    <t>Nivel de Tensión ( kV )</t>
  </si>
  <si>
    <t>60 - 69</t>
  </si>
  <si>
    <t>30 - 50</t>
  </si>
  <si>
    <t>2011*</t>
  </si>
  <si>
    <t>NOTA: El cuadro presenta la longitud unilineal del recorrido, no considera el número de ternas.</t>
  </si>
  <si>
    <t>(*) Entra en operación la primera línea en 500 kV  Chilca-La Planicie-Zapallal perteneciente a la empresa ISA Perú S.A.</t>
  </si>
  <si>
    <t>6.2  PÉRDIDAS EN EL SISTEMA GARANTIZADO Y PRINCIPAL DE TRANSMISIÓN (%)</t>
  </si>
  <si>
    <t>Pérdidas en SGT y SPT
(%)</t>
  </si>
  <si>
    <t>2006*</t>
  </si>
  <si>
    <t>(*): En julio del 2006 la Ley 28832, define los sistemas garantizado y complementario (anterior fijos principal y secundario)</t>
  </si>
  <si>
    <t>Fuente : COES (incluyen lineas de transmisión del Sistema Sur que dejaron de formar parte del SPT desde Oct. 2000)</t>
  </si>
  <si>
    <t>7.   NÚMERO DE CLIENTES FINALES</t>
  </si>
  <si>
    <t>Clientes Finales por Mercado</t>
  </si>
  <si>
    <t>Regulado</t>
  </si>
  <si>
    <t>Libre</t>
  </si>
  <si>
    <t xml:space="preserve">Total </t>
  </si>
  <si>
    <t>Mercado Libre</t>
  </si>
  <si>
    <t>Mercado Regulado</t>
  </si>
  <si>
    <t>MAT</t>
  </si>
  <si>
    <t>AT</t>
  </si>
  <si>
    <t>MT</t>
  </si>
  <si>
    <t>BT</t>
  </si>
  <si>
    <t>Tipo de Mercado</t>
  </si>
  <si>
    <t>Regulados</t>
  </si>
  <si>
    <t>Libres</t>
  </si>
  <si>
    <t/>
  </si>
  <si>
    <t>11.  PÉRDIDAS EN DISTRIBUCIÓN (%)</t>
  </si>
  <si>
    <t>Pérdidas en Distribución (%)</t>
  </si>
  <si>
    <t>12.   CONSUMO DE ENERGÍA ELÉCTRICA (GW.h)</t>
  </si>
  <si>
    <t>Ventas a Cliente Final</t>
  </si>
  <si>
    <t>Venta a Cliente Final</t>
  </si>
  <si>
    <t>Consumo Total</t>
  </si>
  <si>
    <t>Industrial</t>
  </si>
  <si>
    <t>Comercial</t>
  </si>
  <si>
    <t>Residencial</t>
  </si>
  <si>
    <t>Alumbrado Público</t>
  </si>
  <si>
    <t>Facturación a Cliente Final</t>
  </si>
  <si>
    <t>Precio Medio por Sector Económico</t>
  </si>
  <si>
    <t>Precio Medio *</t>
  </si>
  <si>
    <t>(*) Corresponde al cociente de la facturación y venta total de energía eléctrica</t>
  </si>
  <si>
    <t xml:space="preserve">  INDICADORES</t>
  </si>
  <si>
    <r>
      <rPr>
        <b/>
        <sz val="9"/>
        <color indexed="9"/>
        <rFont val="Symbol"/>
        <family val="1"/>
        <charset val="2"/>
      </rPr>
      <t>D</t>
    </r>
    <r>
      <rPr>
        <b/>
        <sz val="9"/>
        <color indexed="9"/>
        <rFont val="Arial"/>
        <family val="2"/>
      </rPr>
      <t xml:space="preserve"> %</t>
    </r>
  </si>
  <si>
    <t>Consumo 
Total</t>
  </si>
  <si>
    <t>Generación
de uso propio</t>
  </si>
  <si>
    <t xml:space="preserve">Generación
por Uso Propio </t>
  </si>
  <si>
    <t>Incremento 22/21</t>
  </si>
  <si>
    <t>Variación media 22/17</t>
  </si>
  <si>
    <t>Incremento 22/12</t>
  </si>
  <si>
    <t>Variación media 22/12</t>
  </si>
  <si>
    <t>2022**</t>
  </si>
  <si>
    <t>(**) Información preliminar</t>
  </si>
  <si>
    <t>Total Nacional</t>
  </si>
  <si>
    <t>total</t>
  </si>
  <si>
    <t>500 kV</t>
  </si>
  <si>
    <t>220 kV</t>
  </si>
  <si>
    <t>138 kV</t>
  </si>
  <si>
    <t>60 - 69 kV</t>
  </si>
  <si>
    <t>30 - 50 kV</t>
  </si>
  <si>
    <t>Pérdidas</t>
  </si>
  <si>
    <t>Generación para uso propio</t>
  </si>
  <si>
    <t>Venta distribuidoras</t>
  </si>
  <si>
    <t>Venta generadoras</t>
  </si>
  <si>
    <t>Venta a cliente final</t>
  </si>
  <si>
    <t>14.  FACTURACIÓN DE ENERGÍA ELÉCTRICA (Miles US $)</t>
  </si>
  <si>
    <t>13. VENTAS DE ENERGÍA ELÉCTRICA (GW.h)</t>
  </si>
  <si>
    <t xml:space="preserve">1 / Fuente : Instituto Nacional de Estadistica e informatica - Perú: Estimaciones y Proyecciones de Población Departamental, 1995-2030, Boletín especial N° 25. </t>
  </si>
  <si>
    <t>22 / 17</t>
  </si>
  <si>
    <t>22 / 12</t>
  </si>
  <si>
    <t>22 / 21</t>
  </si>
  <si>
    <t>6. LÍNEAS DE TRANSMISIÓN (km)</t>
  </si>
  <si>
    <t>año</t>
  </si>
  <si>
    <t>9.  FACTURACIÓN POR VENTA DE ENERGÍA ELÉCTRICA A CLIENTES FINALES  (miles US $)</t>
  </si>
  <si>
    <t>LIBRE</t>
  </si>
  <si>
    <t>REGULADO</t>
  </si>
  <si>
    <t>1.1 Indicadores Técnicos - Económicos - Energéticos</t>
  </si>
  <si>
    <t xml:space="preserve">  1.4   Inversiones ejecutadas por actividad y empresas estatales y privadas (millones US $)</t>
  </si>
  <si>
    <t xml:space="preserve">2.1  Nacional - Por tipo de origen y servicio </t>
  </si>
  <si>
    <t>2.2  Nacional - Por tipo de sistema y servicio</t>
  </si>
  <si>
    <t>2.3   Mercado Eléctrico  - Por tipo de sistema y origen</t>
  </si>
  <si>
    <t>2.4   Uso Propio  - Por tipo de sistema y origen</t>
  </si>
  <si>
    <t>3.1.   Nacional - Por tipo de mercado y origen</t>
  </si>
  <si>
    <t>3.2.   Nacional - Por tipo de mercado y sistema</t>
  </si>
  <si>
    <t>3.3.   Mercado Eléctrico  - Por  tipo de sistema y origen</t>
  </si>
  <si>
    <t>3.4.   Uso Propio  - Por tipo de sistema y origen</t>
  </si>
  <si>
    <t>5.1. Nacional - Por tipo de mercado y origen</t>
  </si>
  <si>
    <t>5.2. Nacional - Por tipo de mercado y sistema</t>
  </si>
  <si>
    <t>5.3   Mercado Eléctrico - Por tipo de sistema y origen (GW.h)</t>
  </si>
  <si>
    <t>5.4   Uso Propio - Por tipo de sistema y origen</t>
  </si>
  <si>
    <t>7.2  Empresas Distribuidoras  - Por tipo de mercado y nivel de tensión</t>
  </si>
  <si>
    <t>7.3  Empresas Generadoras - Por tipo de mercado y nivel de tensión</t>
  </si>
  <si>
    <t>8.3  Empresas Generadoras  - Por tipo de mercado y nivel de tensión  (GW.h)</t>
  </si>
  <si>
    <t>9.1. Nacional - Por tipo de mercado y empresa</t>
  </si>
  <si>
    <t>9.2  Empresas Distribuidoras  - Por tipo de mercado y nivel de tensión</t>
  </si>
  <si>
    <t>9.3  Empresas Generadoras  - Por tipo de mercado y nivel de tensión</t>
  </si>
  <si>
    <t>15. PRECIO MEDIO DE ENERGÍA ELÉCTRICA (cent. US$/kW.h)</t>
  </si>
  <si>
    <t>2.5   Nacional - Potencia Instalada de centrales con calificación  RER*</t>
  </si>
  <si>
    <t>4. MÁXIMA DEMANDA (MW)</t>
  </si>
  <si>
    <t>5.5   Nacional - Producción de Electricidad con RER (GWh)</t>
  </si>
  <si>
    <t xml:space="preserve">  Consumo de energía eléctrica per cápita (kWh/hab)</t>
  </si>
  <si>
    <t xml:space="preserve">  Producción de energía eléctrica per cápita (kWh/hab)</t>
  </si>
  <si>
    <t xml:space="preserve">  VENTAS DE ENERGÍA ELÉCTRICA (GWh)</t>
  </si>
  <si>
    <t xml:space="preserve">  PRODUCCIÓN DE ENERGÍA ELÉCTRICA (GWh)</t>
  </si>
  <si>
    <t>1.2  Consumo de energía eléctrica percápita (kWh / habitante)</t>
  </si>
  <si>
    <t>1.3   Producción de energía eléctrica percápita (kWh / habitante)</t>
  </si>
  <si>
    <t>8.  VENTA DE ENERGÍA ELÉCTRICA  (GWh)</t>
  </si>
  <si>
    <t>8.2 Empresas Distribuidoras  - Por tipo de mercado y nivel de tensión  (GWh)</t>
  </si>
  <si>
    <t xml:space="preserve">15.1 Por sector económico </t>
  </si>
  <si>
    <t xml:space="preserve">14.1 Por sector económico </t>
  </si>
  <si>
    <t>13.1 Por sector económico y consumo total</t>
  </si>
  <si>
    <t>12.1 Por tipo de empresa</t>
  </si>
  <si>
    <t>11.1 Pérdida de energía eléctrica en distribución</t>
  </si>
  <si>
    <t>10.3  Empresas Generadoras  - Por tipo de mercado y nivel de tensión (cent.US $ / kWh)</t>
  </si>
  <si>
    <t>10.2  Empresas Distribuidoras - Por tipo de mercado y nivel de tensión (cent.US $ / kWh)</t>
  </si>
  <si>
    <t>10.1 Nacional - Por tipo de mercado y empresa</t>
  </si>
  <si>
    <t>10.  PRECIO MEDIO DE ENERGÍA ELÉCTRICA (cent. US $ / kWh)</t>
  </si>
  <si>
    <t>8.1 Nacional - Por tipo de mercado y empresa</t>
  </si>
  <si>
    <t>7.1.  Número de clientes a nivel nacional*</t>
  </si>
  <si>
    <t>(*) No considera los clientes de las empresas Ergon, Entelin y Acciona.</t>
  </si>
  <si>
    <t>6.1.  Longitud Total por nivel de tensión a nivel nacional</t>
  </si>
  <si>
    <t>4.1 Máxima Demanda del sistema Eléctrico Interconectado Nacional - SEIN* (MW)</t>
  </si>
  <si>
    <t>(*) Antes de año 2001 considerala suma de la máxima demandade SICN y 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</si>
</sst>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000"/>
    <numFmt numFmtId="167" formatCode="#,##0.000"/>
    <numFmt numFmtId="168" formatCode="0.000"/>
    <numFmt numFmtId="169" formatCode="0.0"/>
    <numFmt numFmtId="170" formatCode="0.0000000"/>
    <numFmt numFmtId="171" formatCode="0.00000"/>
    <numFmt numFmtId="172" formatCode="#,##0.0"/>
    <numFmt numFmtId="173" formatCode="0.0%"/>
    <numFmt numFmtId="174" formatCode="#,##0.0000"/>
    <numFmt numFmtId="175" formatCode="#,##0.00000"/>
    <numFmt numFmtId="176" formatCode="#\ ##0"/>
    <numFmt numFmtId="177" formatCode="#\ ##0.0"/>
    <numFmt numFmtId="178" formatCode="_-* #,##0_-;\-* #,##0_-;_-* &quot;-&quot;??_-;_-@_-"/>
    <numFmt numFmtId="179" formatCode="#\ ##0.00"/>
    <numFmt numFmtId="180" formatCode="_-* #,##0.0_-;\-* #,##0.0_-;_-* &quot;-&quot;??_-;_-@_-"/>
    <numFmt numFmtId="181" formatCode="_-[$€]* #,##0.00_-;\-[$€]* #,##0.00_-;_-[$€]* &quot;-&quot;??_-;_-@_-"/>
    <numFmt numFmtId="182" formatCode="0.000%"/>
    <numFmt numFmtId="183" formatCode="_-* #,##0.00\ _P_t_s_-;\-* #,##0.00\ _P_t_s_-;_-* &quot;-&quot;??\ _P_t_s_-;_-@_-"/>
    <numFmt numFmtId="184" formatCode="_(* #,##0.000000_);_(* \(#,##0.000000\);_(* &quot;-&quot;??_);_(@_)"/>
    <numFmt numFmtId="185" formatCode="_([$€-2]\ * #,##0.00_);_([$€-2]\ * \(#,##0.00\);_([$€-2]\ * &quot;-&quot;??_)"/>
    <numFmt numFmtId="186" formatCode="#,##0.0000000000000000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6"/>
      <name val="Arial"/>
      <family val="2"/>
    </font>
    <font>
      <b/>
      <vertAlign val="superscript"/>
      <sz val="10"/>
      <color indexed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b/>
      <sz val="13"/>
      <name val="Arial"/>
      <family val="2"/>
    </font>
    <font>
      <b/>
      <i/>
      <sz val="10"/>
      <name val="Arial Narrow"/>
      <family val="2"/>
    </font>
    <font>
      <b/>
      <sz val="7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2"/>
      <color indexed="33"/>
      <name val="Arial"/>
      <family val="2"/>
    </font>
    <font>
      <b/>
      <sz val="10"/>
      <color indexed="33"/>
      <name val="Arial"/>
      <family val="2"/>
    </font>
    <font>
      <sz val="10"/>
      <color indexed="13"/>
      <name val="Arial"/>
      <family val="2"/>
    </font>
    <font>
      <sz val="10"/>
      <color indexed="8"/>
      <name val="MS Sans Serif"/>
      <family val="2"/>
    </font>
    <font>
      <b/>
      <sz val="9"/>
      <color indexed="9"/>
      <name val="Arial"/>
      <family val="2"/>
    </font>
    <font>
      <b/>
      <sz val="9"/>
      <color indexed="9"/>
      <name val="Symbol"/>
      <family val="1"/>
      <charset val="2"/>
    </font>
    <font>
      <sz val="11"/>
      <color theme="1"/>
      <name val="Calibri"/>
      <family val="2"/>
      <scheme val="minor"/>
    </font>
    <font>
      <sz val="18"/>
      <color rgb="FF1F497D"/>
      <name val="Calibr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11"/>
      <color theme="0" tint="-0.3499862666707357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DA"/>
        <bgColor indexed="64"/>
      </patternFill>
    </fill>
    <fill>
      <patternFill patternType="solid">
        <fgColor rgb="FF0B7D8F"/>
        <bgColor indexed="64"/>
      </patternFill>
    </fill>
    <fill>
      <patternFill patternType="solid">
        <fgColor rgb="FF86E1CB"/>
        <bgColor indexed="64"/>
      </patternFill>
    </fill>
    <fill>
      <patternFill patternType="solid">
        <fgColor theme="0" tint="-0.34998626667073579"/>
        <bgColor indexed="64"/>
      </patternFill>
    </fill>
  </fills>
  <borders count="1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6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9"/>
      </top>
      <bottom style="thin">
        <color indexed="64"/>
      </bottom>
      <diagonal/>
    </border>
    <border>
      <left/>
      <right/>
      <top style="medium">
        <color indexed="9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9"/>
      </bottom>
      <diagonal/>
    </border>
    <border>
      <left/>
      <right style="double">
        <color indexed="64"/>
      </right>
      <top style="medium">
        <color indexed="9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9"/>
      </right>
      <top style="medium">
        <color indexed="64"/>
      </top>
      <bottom style="thin">
        <color indexed="64"/>
      </bottom>
      <diagonal/>
    </border>
    <border>
      <left style="double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6" tint="-0.249977111117893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4" borderId="0" applyNumberFormat="0" applyBorder="0" applyAlignment="0" applyProtection="0"/>
    <xf numFmtId="0" fontId="43" fillId="16" borderId="1" applyNumberFormat="0" applyAlignment="0" applyProtection="0"/>
    <xf numFmtId="0" fontId="44" fillId="17" borderId="2" applyNumberFormat="0" applyAlignment="0" applyProtection="0"/>
    <xf numFmtId="0" fontId="22" fillId="0" borderId="3" applyNumberFormat="0" applyFill="0" applyAlignment="0" applyProtection="0"/>
    <xf numFmtId="0" fontId="14" fillId="0" borderId="0"/>
    <xf numFmtId="0" fontId="23" fillId="0" borderId="0" applyNumberFormat="0" applyFill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21" borderId="0" applyNumberFormat="0" applyBorder="0" applyAlignment="0" applyProtection="0"/>
    <xf numFmtId="0" fontId="45" fillId="7" borderId="1" applyNumberFormat="0" applyAlignment="0" applyProtection="0"/>
    <xf numFmtId="181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46" fillId="3" borderId="0" applyNumberFormat="0" applyBorder="0" applyAlignment="0" applyProtection="0"/>
    <xf numFmtId="164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7" fillId="22" borderId="0" applyNumberFormat="0" applyBorder="0" applyAlignment="0" applyProtection="0"/>
    <xf numFmtId="0" fontId="20" fillId="0" borderId="0"/>
    <xf numFmtId="0" fontId="14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8" fillId="0" borderId="0"/>
    <xf numFmtId="0" fontId="58" fillId="0" borderId="0"/>
    <xf numFmtId="0" fontId="20" fillId="0" borderId="0"/>
    <xf numFmtId="0" fontId="58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3" borderId="5" applyNumberFormat="0" applyFont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8" fillId="16" borderId="6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77">
    <xf numFmtId="0" fontId="0" fillId="0" borderId="0" xfId="0"/>
    <xf numFmtId="1" fontId="0" fillId="0" borderId="0" xfId="0" applyNumberFormat="1"/>
    <xf numFmtId="0" fontId="6" fillId="24" borderId="10" xfId="0" applyFont="1" applyFill="1" applyBorder="1"/>
    <xf numFmtId="3" fontId="6" fillId="24" borderId="0" xfId="0" applyNumberFormat="1" applyFont="1" applyFill="1"/>
    <xf numFmtId="166" fontId="0" fillId="0" borderId="0" xfId="0" applyNumberFormat="1"/>
    <xf numFmtId="0" fontId="7" fillId="0" borderId="0" xfId="0" applyFont="1"/>
    <xf numFmtId="3" fontId="0" fillId="0" borderId="0" xfId="0" applyNumberFormat="1"/>
    <xf numFmtId="3" fontId="4" fillId="0" borderId="0" xfId="0" applyNumberFormat="1" applyFont="1"/>
    <xf numFmtId="1" fontId="4" fillId="0" borderId="0" xfId="0" applyNumberFormat="1" applyFont="1"/>
    <xf numFmtId="9" fontId="0" fillId="0" borderId="0" xfId="107" applyFont="1"/>
    <xf numFmtId="0" fontId="8" fillId="0" borderId="0" xfId="0" applyFont="1"/>
    <xf numFmtId="10" fontId="0" fillId="0" borderId="0" xfId="0" applyNumberFormat="1"/>
    <xf numFmtId="169" fontId="0" fillId="0" borderId="0" xfId="0" applyNumberFormat="1"/>
    <xf numFmtId="2" fontId="0" fillId="0" borderId="0" xfId="0" applyNumberFormat="1"/>
    <xf numFmtId="9" fontId="0" fillId="25" borderId="0" xfId="107" applyFont="1" applyFill="1"/>
    <xf numFmtId="9" fontId="0" fillId="0" borderId="0" xfId="107" applyFont="1" applyFill="1"/>
    <xf numFmtId="0" fontId="0" fillId="26" borderId="0" xfId="0" applyFill="1"/>
    <xf numFmtId="175" fontId="0" fillId="0" borderId="0" xfId="0" applyNumberFormat="1"/>
    <xf numFmtId="171" fontId="0" fillId="0" borderId="0" xfId="0" applyNumberFormat="1"/>
    <xf numFmtId="170" fontId="0" fillId="0" borderId="0" xfId="0" applyNumberFormat="1"/>
    <xf numFmtId="3" fontId="6" fillId="0" borderId="0" xfId="0" applyNumberFormat="1" applyFont="1"/>
    <xf numFmtId="168" fontId="0" fillId="0" borderId="0" xfId="0" applyNumberFormat="1"/>
    <xf numFmtId="0" fontId="15" fillId="0" borderId="0" xfId="0" applyFont="1"/>
    <xf numFmtId="0" fontId="16" fillId="0" borderId="0" xfId="0" applyFont="1"/>
    <xf numFmtId="4" fontId="0" fillId="0" borderId="0" xfId="0" applyNumberFormat="1"/>
    <xf numFmtId="3" fontId="0" fillId="0" borderId="0" xfId="107" applyNumberFormat="1" applyFont="1"/>
    <xf numFmtId="3" fontId="13" fillId="0" borderId="0" xfId="0" applyNumberFormat="1" applyFont="1"/>
    <xf numFmtId="3" fontId="13" fillId="0" borderId="0" xfId="107" applyNumberFormat="1" applyFont="1"/>
    <xf numFmtId="0" fontId="7" fillId="27" borderId="11" xfId="0" applyFont="1" applyFill="1" applyBorder="1"/>
    <xf numFmtId="0" fontId="14" fillId="27" borderId="0" xfId="0" applyFont="1" applyFill="1"/>
    <xf numFmtId="1" fontId="14" fillId="27" borderId="0" xfId="0" applyNumberFormat="1" applyFont="1" applyFill="1"/>
    <xf numFmtId="3" fontId="14" fillId="27" borderId="0" xfId="0" applyNumberFormat="1" applyFont="1" applyFill="1"/>
    <xf numFmtId="172" fontId="7" fillId="27" borderId="12" xfId="0" applyNumberFormat="1" applyFont="1" applyFill="1" applyBorder="1" applyAlignment="1">
      <alignment horizontal="center"/>
    </xf>
    <xf numFmtId="172" fontId="7" fillId="27" borderId="13" xfId="107" applyNumberFormat="1" applyFont="1" applyFill="1" applyBorder="1" applyAlignment="1">
      <alignment horizontal="center"/>
    </xf>
    <xf numFmtId="0" fontId="7" fillId="27" borderId="14" xfId="0" applyFont="1" applyFill="1" applyBorder="1"/>
    <xf numFmtId="0" fontId="14" fillId="27" borderId="15" xfId="0" applyFont="1" applyFill="1" applyBorder="1"/>
    <xf numFmtId="0" fontId="17" fillId="0" borderId="0" xfId="0" applyFont="1"/>
    <xf numFmtId="3" fontId="18" fillId="0" borderId="0" xfId="0" applyNumberFormat="1" applyFont="1"/>
    <xf numFmtId="3" fontId="17" fillId="0" borderId="0" xfId="0" applyNumberFormat="1" applyFont="1"/>
    <xf numFmtId="0" fontId="4" fillId="0" borderId="0" xfId="0" applyFont="1"/>
    <xf numFmtId="0" fontId="18" fillId="0" borderId="0" xfId="0" applyFont="1"/>
    <xf numFmtId="0" fontId="19" fillId="0" borderId="0" xfId="0" applyFont="1"/>
    <xf numFmtId="3" fontId="3" fillId="0" borderId="0" xfId="0" applyNumberFormat="1" applyFont="1"/>
    <xf numFmtId="3" fontId="21" fillId="0" borderId="0" xfId="0" applyNumberFormat="1" applyFont="1"/>
    <xf numFmtId="169" fontId="14" fillId="27" borderId="0" xfId="0" applyNumberFormat="1" applyFont="1" applyFill="1"/>
    <xf numFmtId="3" fontId="59" fillId="0" borderId="0" xfId="0" applyNumberFormat="1" applyFont="1"/>
    <xf numFmtId="1" fontId="14" fillId="27" borderId="0" xfId="0" quotePrefix="1" applyNumberFormat="1" applyFont="1" applyFill="1" applyAlignment="1">
      <alignment horizontal="right"/>
    </xf>
    <xf numFmtId="2" fontId="14" fillId="0" borderId="0" xfId="0" applyNumberFormat="1" applyFont="1"/>
    <xf numFmtId="1" fontId="14" fillId="27" borderId="16" xfId="0" applyNumberFormat="1" applyFont="1" applyFill="1" applyBorder="1"/>
    <xf numFmtId="0" fontId="14" fillId="27" borderId="16" xfId="0" applyFont="1" applyFill="1" applyBorder="1"/>
    <xf numFmtId="3" fontId="0" fillId="0" borderId="0" xfId="0" applyNumberFormat="1" applyAlignment="1">
      <alignment horizontal="center"/>
    </xf>
    <xf numFmtId="166" fontId="7" fillId="0" borderId="0" xfId="0" applyNumberFormat="1" applyFont="1"/>
    <xf numFmtId="0" fontId="7" fillId="27" borderId="12" xfId="0" applyFont="1" applyFill="1" applyBorder="1"/>
    <xf numFmtId="0" fontId="7" fillId="27" borderId="13" xfId="0" applyFont="1" applyFill="1" applyBorder="1"/>
    <xf numFmtId="0" fontId="7" fillId="27" borderId="17" xfId="0" applyFont="1" applyFill="1" applyBorder="1"/>
    <xf numFmtId="1" fontId="7" fillId="27" borderId="12" xfId="0" applyNumberFormat="1" applyFont="1" applyFill="1" applyBorder="1"/>
    <xf numFmtId="0" fontId="5" fillId="27" borderId="13" xfId="0" applyFont="1" applyFill="1" applyBorder="1"/>
    <xf numFmtId="9" fontId="7" fillId="27" borderId="13" xfId="107" applyFont="1" applyFill="1" applyBorder="1"/>
    <xf numFmtId="9" fontId="7" fillId="27" borderId="17" xfId="107" applyFont="1" applyFill="1" applyBorder="1"/>
    <xf numFmtId="173" fontId="7" fillId="27" borderId="13" xfId="107" applyNumberFormat="1" applyFont="1" applyFill="1" applyBorder="1" applyAlignment="1">
      <alignment horizontal="center"/>
    </xf>
    <xf numFmtId="173" fontId="7" fillId="27" borderId="17" xfId="107" applyNumberFormat="1" applyFont="1" applyFill="1" applyBorder="1" applyAlignment="1">
      <alignment horizontal="center"/>
    </xf>
    <xf numFmtId="0" fontId="7" fillId="27" borderId="18" xfId="0" applyFont="1" applyFill="1" applyBorder="1"/>
    <xf numFmtId="0" fontId="7" fillId="27" borderId="19" xfId="0" applyFont="1" applyFill="1" applyBorder="1"/>
    <xf numFmtId="0" fontId="7" fillId="27" borderId="20" xfId="0" applyFont="1" applyFill="1" applyBorder="1"/>
    <xf numFmtId="3" fontId="7" fillId="0" borderId="0" xfId="0" applyNumberFormat="1" applyFont="1"/>
    <xf numFmtId="1" fontId="7" fillId="0" borderId="0" xfId="0" applyNumberFormat="1" applyFont="1"/>
    <xf numFmtId="1" fontId="0" fillId="0" borderId="0" xfId="0" applyNumberFormat="1" applyAlignment="1">
      <alignment horizontal="center"/>
    </xf>
    <xf numFmtId="1" fontId="27" fillId="34" borderId="159" xfId="0" applyNumberFormat="1" applyFont="1" applyFill="1" applyBorder="1"/>
    <xf numFmtId="3" fontId="27" fillId="34" borderId="0" xfId="0" applyNumberFormat="1" applyFont="1" applyFill="1"/>
    <xf numFmtId="1" fontId="27" fillId="34" borderId="0" xfId="0" applyNumberFormat="1" applyFont="1" applyFill="1"/>
    <xf numFmtId="0" fontId="29" fillId="0" borderId="0" xfId="0" applyFont="1"/>
    <xf numFmtId="0" fontId="0" fillId="0" borderId="0" xfId="0" applyAlignment="1">
      <alignment horizontal="center"/>
    </xf>
    <xf numFmtId="0" fontId="0" fillId="27" borderId="21" xfId="0" applyFill="1" applyBorder="1" applyAlignment="1">
      <alignment horizontal="center"/>
    </xf>
    <xf numFmtId="1" fontId="0" fillId="27" borderId="21" xfId="0" applyNumberFormat="1" applyFill="1" applyBorder="1" applyAlignment="1">
      <alignment horizontal="center"/>
    </xf>
    <xf numFmtId="164" fontId="0" fillId="0" borderId="0" xfId="37" applyFont="1"/>
    <xf numFmtId="178" fontId="0" fillId="0" borderId="0" xfId="37" applyNumberFormat="1" applyFont="1"/>
    <xf numFmtId="0" fontId="0" fillId="28" borderId="22" xfId="0" applyFill="1" applyBorder="1" applyAlignment="1">
      <alignment horizontal="center"/>
    </xf>
    <xf numFmtId="1" fontId="0" fillId="28" borderId="22" xfId="0" applyNumberFormat="1" applyFill="1" applyBorder="1" applyAlignment="1">
      <alignment horizontal="center"/>
    </xf>
    <xf numFmtId="0" fontId="0" fillId="27" borderId="22" xfId="0" applyFill="1" applyBorder="1" applyAlignment="1">
      <alignment horizontal="center"/>
    </xf>
    <xf numFmtId="1" fontId="0" fillId="27" borderId="22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14" fillId="27" borderId="22" xfId="0" applyFont="1" applyFill="1" applyBorder="1" applyAlignment="1">
      <alignment horizontal="center"/>
    </xf>
    <xf numFmtId="1" fontId="14" fillId="27" borderId="22" xfId="0" applyNumberFormat="1" applyFont="1" applyFill="1" applyBorder="1" applyAlignment="1">
      <alignment horizontal="center"/>
    </xf>
    <xf numFmtId="0" fontId="14" fillId="28" borderId="22" xfId="0" applyFont="1" applyFill="1" applyBorder="1" applyAlignment="1">
      <alignment horizontal="center"/>
    </xf>
    <xf numFmtId="1" fontId="14" fillId="28" borderId="22" xfId="0" applyNumberFormat="1" applyFont="1" applyFill="1" applyBorder="1" applyAlignment="1">
      <alignment horizontal="center"/>
    </xf>
    <xf numFmtId="0" fontId="14" fillId="34" borderId="22" xfId="0" applyFont="1" applyFill="1" applyBorder="1" applyAlignment="1">
      <alignment horizontal="center"/>
    </xf>
    <xf numFmtId="1" fontId="14" fillId="34" borderId="22" xfId="0" applyNumberFormat="1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1" fontId="14" fillId="0" borderId="22" xfId="0" applyNumberFormat="1" applyFont="1" applyBorder="1" applyAlignment="1">
      <alignment horizontal="center"/>
    </xf>
    <xf numFmtId="0" fontId="14" fillId="35" borderId="22" xfId="0" applyFont="1" applyFill="1" applyBorder="1" applyAlignment="1">
      <alignment horizontal="center"/>
    </xf>
    <xf numFmtId="1" fontId="14" fillId="35" borderId="22" xfId="0" applyNumberFormat="1" applyFont="1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28" fillId="0" borderId="23" xfId="0" applyFont="1" applyBorder="1" applyAlignment="1">
      <alignment vertical="center"/>
    </xf>
    <xf numFmtId="9" fontId="28" fillId="0" borderId="23" xfId="108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28" borderId="24" xfId="0" applyFont="1" applyFill="1" applyBorder="1" applyAlignment="1">
      <alignment vertical="center"/>
    </xf>
    <xf numFmtId="9" fontId="28" fillId="28" borderId="24" xfId="108" applyFont="1" applyFill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9" fontId="28" fillId="0" borderId="22" xfId="108" applyFont="1" applyFill="1" applyBorder="1" applyAlignment="1">
      <alignment horizontal="center" vertical="center"/>
    </xf>
    <xf numFmtId="178" fontId="0" fillId="0" borderId="0" xfId="37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8" fillId="28" borderId="25" xfId="0" applyFont="1" applyFill="1" applyBorder="1" applyAlignment="1">
      <alignment vertical="center"/>
    </xf>
    <xf numFmtId="0" fontId="31" fillId="0" borderId="0" xfId="0" applyFont="1"/>
    <xf numFmtId="0" fontId="28" fillId="28" borderId="23" xfId="0" applyFont="1" applyFill="1" applyBorder="1" applyAlignment="1">
      <alignment vertical="center"/>
    </xf>
    <xf numFmtId="9" fontId="28" fillId="28" borderId="26" xfId="108" applyFont="1" applyFill="1" applyBorder="1" applyAlignment="1">
      <alignment horizontal="center" vertical="center"/>
    </xf>
    <xf numFmtId="0" fontId="28" fillId="0" borderId="24" xfId="0" applyFont="1" applyBorder="1" applyAlignment="1">
      <alignment vertical="center"/>
    </xf>
    <xf numFmtId="9" fontId="28" fillId="0" borderId="24" xfId="108" applyFont="1" applyFill="1" applyBorder="1" applyAlignment="1">
      <alignment horizontal="center" vertical="center"/>
    </xf>
    <xf numFmtId="0" fontId="28" fillId="28" borderId="22" xfId="0" applyFont="1" applyFill="1" applyBorder="1" applyAlignment="1">
      <alignment vertical="center"/>
    </xf>
    <xf numFmtId="9" fontId="28" fillId="28" borderId="22" xfId="108" applyFont="1" applyFill="1" applyBorder="1" applyAlignment="1">
      <alignment horizontal="center" vertical="center"/>
    </xf>
    <xf numFmtId="0" fontId="28" fillId="0" borderId="25" xfId="0" applyFont="1" applyBorder="1" applyAlignment="1">
      <alignment vertical="center"/>
    </xf>
    <xf numFmtId="9" fontId="28" fillId="0" borderId="25" xfId="108" applyFont="1" applyFill="1" applyBorder="1" applyAlignment="1">
      <alignment horizontal="center" vertical="center"/>
    </xf>
    <xf numFmtId="0" fontId="32" fillId="0" borderId="0" xfId="0" applyFont="1"/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7" borderId="0" xfId="0" applyFill="1" applyAlignment="1">
      <alignment vertical="center"/>
    </xf>
    <xf numFmtId="0" fontId="14" fillId="0" borderId="0" xfId="0" applyFont="1"/>
    <xf numFmtId="0" fontId="0" fillId="29" borderId="27" xfId="0" applyFill="1" applyBorder="1" applyAlignment="1">
      <alignment horizontal="center"/>
    </xf>
    <xf numFmtId="172" fontId="0" fillId="29" borderId="28" xfId="0" applyNumberFormat="1" applyFill="1" applyBorder="1"/>
    <xf numFmtId="172" fontId="0" fillId="29" borderId="21" xfId="0" applyNumberFormat="1" applyFill="1" applyBorder="1"/>
    <xf numFmtId="172" fontId="0" fillId="29" borderId="29" xfId="0" applyNumberFormat="1" applyFill="1" applyBorder="1"/>
    <xf numFmtId="172" fontId="0" fillId="29" borderId="30" xfId="0" applyNumberFormat="1" applyFill="1" applyBorder="1"/>
    <xf numFmtId="172" fontId="0" fillId="29" borderId="31" xfId="0" applyNumberFormat="1" applyFill="1" applyBorder="1"/>
    <xf numFmtId="172" fontId="0" fillId="29" borderId="32" xfId="0" applyNumberFormat="1" applyFill="1" applyBorder="1"/>
    <xf numFmtId="169" fontId="14" fillId="27" borderId="33" xfId="0" applyNumberFormat="1" applyFont="1" applyFill="1" applyBorder="1"/>
    <xf numFmtId="0" fontId="0" fillId="30" borderId="11" xfId="0" applyFill="1" applyBorder="1" applyAlignment="1">
      <alignment horizontal="center"/>
    </xf>
    <xf numFmtId="172" fontId="0" fillId="30" borderId="0" xfId="0" applyNumberFormat="1" applyFill="1"/>
    <xf numFmtId="172" fontId="0" fillId="30" borderId="22" xfId="0" applyNumberFormat="1" applyFill="1" applyBorder="1"/>
    <xf numFmtId="172" fontId="0" fillId="30" borderId="17" xfId="0" applyNumberFormat="1" applyFill="1" applyBorder="1"/>
    <xf numFmtId="172" fontId="0" fillId="30" borderId="34" xfId="0" applyNumberFormat="1" applyFill="1" applyBorder="1"/>
    <xf numFmtId="172" fontId="0" fillId="30" borderId="35" xfId="0" applyNumberFormat="1" applyFill="1" applyBorder="1"/>
    <xf numFmtId="172" fontId="0" fillId="30" borderId="36" xfId="0" applyNumberFormat="1" applyFill="1" applyBorder="1"/>
    <xf numFmtId="169" fontId="14" fillId="31" borderId="33" xfId="0" applyNumberFormat="1" applyFont="1" applyFill="1" applyBorder="1"/>
    <xf numFmtId="172" fontId="0" fillId="0" borderId="0" xfId="0" applyNumberFormat="1"/>
    <xf numFmtId="179" fontId="0" fillId="0" borderId="0" xfId="0" applyNumberFormat="1"/>
    <xf numFmtId="0" fontId="0" fillId="29" borderId="11" xfId="0" applyFill="1" applyBorder="1" applyAlignment="1">
      <alignment horizontal="center"/>
    </xf>
    <xf numFmtId="172" fontId="0" fillId="29" borderId="0" xfId="0" applyNumberFormat="1" applyFill="1"/>
    <xf numFmtId="172" fontId="0" fillId="29" borderId="22" xfId="0" applyNumberFormat="1" applyFill="1" applyBorder="1"/>
    <xf numFmtId="172" fontId="0" fillId="29" borderId="17" xfId="0" applyNumberFormat="1" applyFill="1" applyBorder="1"/>
    <xf numFmtId="172" fontId="0" fillId="29" borderId="34" xfId="0" applyNumberFormat="1" applyFill="1" applyBorder="1"/>
    <xf numFmtId="172" fontId="0" fillId="29" borderId="35" xfId="0" applyNumberFormat="1" applyFill="1" applyBorder="1"/>
    <xf numFmtId="172" fontId="0" fillId="29" borderId="36" xfId="0" applyNumberFormat="1" applyFill="1" applyBorder="1"/>
    <xf numFmtId="169" fontId="0" fillId="27" borderId="0" xfId="0" applyNumberFormat="1" applyFill="1"/>
    <xf numFmtId="169" fontId="0" fillId="29" borderId="22" xfId="0" applyNumberFormat="1" applyFill="1" applyBorder="1"/>
    <xf numFmtId="0" fontId="14" fillId="30" borderId="11" xfId="0" applyFont="1" applyFill="1" applyBorder="1" applyAlignment="1">
      <alignment horizontal="center"/>
    </xf>
    <xf numFmtId="169" fontId="0" fillId="30" borderId="22" xfId="0" applyNumberFormat="1" applyFill="1" applyBorder="1"/>
    <xf numFmtId="0" fontId="0" fillId="27" borderId="0" xfId="0" applyFill="1"/>
    <xf numFmtId="0" fontId="0" fillId="31" borderId="11" xfId="0" applyFill="1" applyBorder="1" applyAlignment="1">
      <alignment horizontal="center"/>
    </xf>
    <xf numFmtId="172" fontId="0" fillId="31" borderId="0" xfId="0" applyNumberFormat="1" applyFill="1"/>
    <xf numFmtId="172" fontId="0" fillId="31" borderId="22" xfId="0" applyNumberFormat="1" applyFill="1" applyBorder="1"/>
    <xf numFmtId="169" fontId="0" fillId="31" borderId="22" xfId="0" applyNumberFormat="1" applyFill="1" applyBorder="1"/>
    <xf numFmtId="172" fontId="0" fillId="31" borderId="36" xfId="0" applyNumberFormat="1" applyFill="1" applyBorder="1"/>
    <xf numFmtId="0" fontId="14" fillId="29" borderId="11" xfId="0" applyFont="1" applyFill="1" applyBorder="1" applyAlignment="1">
      <alignment horizontal="center"/>
    </xf>
    <xf numFmtId="0" fontId="60" fillId="31" borderId="11" xfId="0" applyFont="1" applyFill="1" applyBorder="1" applyAlignment="1">
      <alignment horizontal="center"/>
    </xf>
    <xf numFmtId="172" fontId="60" fillId="30" borderId="0" xfId="0" applyNumberFormat="1" applyFont="1" applyFill="1"/>
    <xf numFmtId="172" fontId="60" fillId="30" borderId="22" xfId="0" applyNumberFormat="1" applyFont="1" applyFill="1" applyBorder="1"/>
    <xf numFmtId="172" fontId="60" fillId="30" borderId="34" xfId="0" applyNumberFormat="1" applyFont="1" applyFill="1" applyBorder="1"/>
    <xf numFmtId="172" fontId="60" fillId="31" borderId="0" xfId="0" applyNumberFormat="1" applyFont="1" applyFill="1"/>
    <xf numFmtId="172" fontId="60" fillId="31" borderId="22" xfId="0" applyNumberFormat="1" applyFont="1" applyFill="1" applyBorder="1"/>
    <xf numFmtId="169" fontId="60" fillId="31" borderId="22" xfId="0" applyNumberFormat="1" applyFont="1" applyFill="1" applyBorder="1"/>
    <xf numFmtId="172" fontId="60" fillId="31" borderId="36" xfId="0" applyNumberFormat="1" applyFont="1" applyFill="1" applyBorder="1"/>
    <xf numFmtId="169" fontId="60" fillId="31" borderId="33" xfId="0" applyNumberFormat="1" applyFont="1" applyFill="1" applyBorder="1"/>
    <xf numFmtId="0" fontId="61" fillId="0" borderId="0" xfId="0" applyFont="1"/>
    <xf numFmtId="0" fontId="60" fillId="0" borderId="11" xfId="0" applyFont="1" applyBorder="1" applyAlignment="1">
      <alignment horizontal="center"/>
    </xf>
    <xf numFmtId="172" fontId="60" fillId="0" borderId="0" xfId="0" applyNumberFormat="1" applyFont="1"/>
    <xf numFmtId="172" fontId="60" fillId="0" borderId="22" xfId="0" applyNumberFormat="1" applyFont="1" applyBorder="1"/>
    <xf numFmtId="172" fontId="60" fillId="0" borderId="34" xfId="0" applyNumberFormat="1" applyFont="1" applyBorder="1"/>
    <xf numFmtId="169" fontId="60" fillId="0" borderId="22" xfId="0" applyNumberFormat="1" applyFont="1" applyBorder="1"/>
    <xf numFmtId="172" fontId="60" fillId="0" borderId="36" xfId="0" applyNumberFormat="1" applyFont="1" applyBorder="1"/>
    <xf numFmtId="169" fontId="60" fillId="0" borderId="33" xfId="0" applyNumberFormat="1" applyFont="1" applyBorder="1"/>
    <xf numFmtId="0" fontId="7" fillId="0" borderId="0" xfId="0" quotePrefix="1" applyFont="1"/>
    <xf numFmtId="0" fontId="9" fillId="0" borderId="0" xfId="0" applyFont="1"/>
    <xf numFmtId="0" fontId="12" fillId="0" borderId="0" xfId="0" applyFont="1"/>
    <xf numFmtId="0" fontId="34" fillId="0" borderId="0" xfId="0" applyFont="1"/>
    <xf numFmtId="0" fontId="27" fillId="0" borderId="0" xfId="0" applyFont="1"/>
    <xf numFmtId="172" fontId="4" fillId="27" borderId="36" xfId="0" applyNumberFormat="1" applyFont="1" applyFill="1" applyBorder="1"/>
    <xf numFmtId="172" fontId="0" fillId="27" borderId="36" xfId="0" applyNumberFormat="1" applyFill="1" applyBorder="1"/>
    <xf numFmtId="172" fontId="0" fillId="27" borderId="35" xfId="0" applyNumberFormat="1" applyFill="1" applyBorder="1"/>
    <xf numFmtId="172" fontId="0" fillId="27" borderId="0" xfId="0" applyNumberFormat="1" applyFill="1"/>
    <xf numFmtId="169" fontId="0" fillId="27" borderId="35" xfId="0" applyNumberFormat="1" applyFill="1" applyBorder="1"/>
    <xf numFmtId="172" fontId="14" fillId="27" borderId="33" xfId="0" applyNumberFormat="1" applyFont="1" applyFill="1" applyBorder="1"/>
    <xf numFmtId="172" fontId="4" fillId="31" borderId="36" xfId="0" applyNumberFormat="1" applyFont="1" applyFill="1" applyBorder="1"/>
    <xf numFmtId="172" fontId="0" fillId="31" borderId="35" xfId="0" applyNumberFormat="1" applyFill="1" applyBorder="1"/>
    <xf numFmtId="169" fontId="0" fillId="31" borderId="22" xfId="0" quotePrefix="1" applyNumberFormat="1" applyFill="1" applyBorder="1" applyAlignment="1">
      <alignment horizontal="center"/>
    </xf>
    <xf numFmtId="169" fontId="0" fillId="31" borderId="35" xfId="0" applyNumberFormat="1" applyFill="1" applyBorder="1"/>
    <xf numFmtId="172" fontId="14" fillId="31" borderId="33" xfId="0" applyNumberFormat="1" applyFont="1" applyFill="1" applyBorder="1"/>
    <xf numFmtId="172" fontId="0" fillId="27" borderId="22" xfId="0" applyNumberFormat="1" applyFill="1" applyBorder="1"/>
    <xf numFmtId="169" fontId="0" fillId="27" borderId="22" xfId="0" applyNumberFormat="1" applyFill="1" applyBorder="1" applyAlignment="1">
      <alignment horizontal="right"/>
    </xf>
    <xf numFmtId="169" fontId="0" fillId="27" borderId="22" xfId="0" applyNumberFormat="1" applyFill="1" applyBorder="1"/>
    <xf numFmtId="169" fontId="0" fillId="31" borderId="22" xfId="0" applyNumberFormat="1" applyFill="1" applyBorder="1" applyAlignment="1">
      <alignment horizontal="right"/>
    </xf>
    <xf numFmtId="172" fontId="4" fillId="0" borderId="36" xfId="0" applyNumberFormat="1" applyFont="1" applyBorder="1"/>
    <xf numFmtId="172" fontId="0" fillId="0" borderId="36" xfId="0" applyNumberFormat="1" applyBorder="1"/>
    <xf numFmtId="172" fontId="0" fillId="0" borderId="35" xfId="0" applyNumberFormat="1" applyBorder="1"/>
    <xf numFmtId="169" fontId="0" fillId="0" borderId="22" xfId="0" applyNumberFormat="1" applyBorder="1"/>
    <xf numFmtId="172" fontId="0" fillId="0" borderId="22" xfId="0" applyNumberFormat="1" applyBorder="1"/>
    <xf numFmtId="172" fontId="4" fillId="36" borderId="36" xfId="0" applyNumberFormat="1" applyFont="1" applyFill="1" applyBorder="1"/>
    <xf numFmtId="172" fontId="0" fillId="36" borderId="36" xfId="0" applyNumberFormat="1" applyFill="1" applyBorder="1"/>
    <xf numFmtId="172" fontId="0" fillId="36" borderId="35" xfId="0" applyNumberFormat="1" applyFill="1" applyBorder="1"/>
    <xf numFmtId="169" fontId="0" fillId="36" borderId="22" xfId="0" applyNumberFormat="1" applyFill="1" applyBorder="1"/>
    <xf numFmtId="172" fontId="0" fillId="36" borderId="22" xfId="0" applyNumberFormat="1" applyFill="1" applyBorder="1"/>
    <xf numFmtId="172" fontId="14" fillId="36" borderId="33" xfId="0" applyNumberFormat="1" applyFont="1" applyFill="1" applyBorder="1"/>
    <xf numFmtId="172" fontId="14" fillId="0" borderId="33" xfId="0" applyNumberFormat="1" applyFont="1" applyBorder="1"/>
    <xf numFmtId="9" fontId="28" fillId="0" borderId="0" xfId="108" applyFont="1" applyFill="1" applyBorder="1" applyAlignment="1">
      <alignment horizontal="center"/>
    </xf>
    <xf numFmtId="9" fontId="0" fillId="0" borderId="0" xfId="0" applyNumberFormat="1"/>
    <xf numFmtId="0" fontId="7" fillId="0" borderId="0" xfId="0" applyFont="1" applyAlignment="1">
      <alignment vertical="center"/>
    </xf>
    <xf numFmtId="172" fontId="14" fillId="31" borderId="36" xfId="0" applyNumberFormat="1" applyFont="1" applyFill="1" applyBorder="1"/>
    <xf numFmtId="172" fontId="14" fillId="31" borderId="22" xfId="0" applyNumberFormat="1" applyFont="1" applyFill="1" applyBorder="1"/>
    <xf numFmtId="169" fontId="14" fillId="31" borderId="35" xfId="0" applyNumberFormat="1" applyFont="1" applyFill="1" applyBorder="1"/>
    <xf numFmtId="172" fontId="14" fillId="27" borderId="36" xfId="0" applyNumberFormat="1" applyFont="1" applyFill="1" applyBorder="1"/>
    <xf numFmtId="172" fontId="14" fillId="27" borderId="22" xfId="0" applyNumberFormat="1" applyFont="1" applyFill="1" applyBorder="1"/>
    <xf numFmtId="169" fontId="14" fillId="27" borderId="35" xfId="0" applyNumberFormat="1" applyFont="1" applyFill="1" applyBorder="1"/>
    <xf numFmtId="172" fontId="14" fillId="0" borderId="36" xfId="0" applyNumberFormat="1" applyFont="1" applyBorder="1"/>
    <xf numFmtId="172" fontId="14" fillId="0" borderId="22" xfId="0" applyNumberFormat="1" applyFont="1" applyBorder="1"/>
    <xf numFmtId="172" fontId="14" fillId="36" borderId="36" xfId="0" applyNumberFormat="1" applyFont="1" applyFill="1" applyBorder="1"/>
    <xf numFmtId="172" fontId="14" fillId="36" borderId="22" xfId="0" applyNumberFormat="1" applyFont="1" applyFill="1" applyBorder="1"/>
    <xf numFmtId="0" fontId="4" fillId="0" borderId="0" xfId="0" applyFont="1" applyAlignment="1">
      <alignment horizontal="center"/>
    </xf>
    <xf numFmtId="9" fontId="5" fillId="0" borderId="0" xfId="108" applyFont="1" applyFill="1" applyBorder="1" applyAlignment="1">
      <alignment horizontal="center"/>
    </xf>
    <xf numFmtId="9" fontId="28" fillId="0" borderId="0" xfId="108" applyFont="1" applyBorder="1" applyAlignment="1">
      <alignment horizontal="center"/>
    </xf>
    <xf numFmtId="172" fontId="4" fillId="31" borderId="34" xfId="0" applyNumberFormat="1" applyFont="1" applyFill="1" applyBorder="1"/>
    <xf numFmtId="172" fontId="28" fillId="31" borderId="22" xfId="0" applyNumberFormat="1" applyFont="1" applyFill="1" applyBorder="1"/>
    <xf numFmtId="172" fontId="28" fillId="31" borderId="34" xfId="0" applyNumberFormat="1" applyFont="1" applyFill="1" applyBorder="1"/>
    <xf numFmtId="172" fontId="0" fillId="31" borderId="17" xfId="0" applyNumberFormat="1" applyFill="1" applyBorder="1"/>
    <xf numFmtId="172" fontId="4" fillId="27" borderId="34" xfId="0" applyNumberFormat="1" applyFont="1" applyFill="1" applyBorder="1"/>
    <xf numFmtId="172" fontId="28" fillId="27" borderId="22" xfId="0" applyNumberFormat="1" applyFont="1" applyFill="1" applyBorder="1"/>
    <xf numFmtId="172" fontId="28" fillId="27" borderId="34" xfId="0" applyNumberFormat="1" applyFont="1" applyFill="1" applyBorder="1"/>
    <xf numFmtId="172" fontId="0" fillId="27" borderId="17" xfId="0" applyNumberFormat="1" applyFill="1" applyBorder="1"/>
    <xf numFmtId="4" fontId="0" fillId="31" borderId="35" xfId="0" applyNumberFormat="1" applyFill="1" applyBorder="1"/>
    <xf numFmtId="4" fontId="0" fillId="31" borderId="41" xfId="0" applyNumberFormat="1" applyFill="1" applyBorder="1"/>
    <xf numFmtId="4" fontId="0" fillId="31" borderId="0" xfId="0" applyNumberFormat="1" applyFill="1"/>
    <xf numFmtId="4" fontId="28" fillId="31" borderId="34" xfId="0" applyNumberFormat="1" applyFont="1" applyFill="1" applyBorder="1"/>
    <xf numFmtId="4" fontId="0" fillId="31" borderId="22" xfId="0" applyNumberFormat="1" applyFill="1" applyBorder="1"/>
    <xf numFmtId="4" fontId="0" fillId="31" borderId="17" xfId="0" applyNumberFormat="1" applyFill="1" applyBorder="1"/>
    <xf numFmtId="4" fontId="4" fillId="27" borderId="34" xfId="0" applyNumberFormat="1" applyFont="1" applyFill="1" applyBorder="1"/>
    <xf numFmtId="4" fontId="28" fillId="27" borderId="36" xfId="0" applyNumberFormat="1" applyFont="1" applyFill="1" applyBorder="1"/>
    <xf numFmtId="4" fontId="0" fillId="27" borderId="35" xfId="0" applyNumberFormat="1" applyFill="1" applyBorder="1"/>
    <xf numFmtId="4" fontId="28" fillId="27" borderId="34" xfId="0" applyNumberFormat="1" applyFont="1" applyFill="1" applyBorder="1"/>
    <xf numFmtId="4" fontId="0" fillId="27" borderId="22" xfId="0" applyNumberFormat="1" applyFill="1" applyBorder="1"/>
    <xf numFmtId="4" fontId="0" fillId="27" borderId="17" xfId="0" applyNumberFormat="1" applyFill="1" applyBorder="1"/>
    <xf numFmtId="172" fontId="0" fillId="27" borderId="21" xfId="0" applyNumberFormat="1" applyFill="1" applyBorder="1"/>
    <xf numFmtId="172" fontId="4" fillId="0" borderId="34" xfId="0" applyNumberFormat="1" applyFont="1" applyBorder="1"/>
    <xf numFmtId="172" fontId="28" fillId="0" borderId="22" xfId="0" applyNumberFormat="1" applyFont="1" applyBorder="1"/>
    <xf numFmtId="172" fontId="28" fillId="0" borderId="34" xfId="0" applyNumberFormat="1" applyFont="1" applyBorder="1"/>
    <xf numFmtId="172" fontId="0" fillId="0" borderId="17" xfId="0" applyNumberFormat="1" applyBorder="1"/>
    <xf numFmtId="172" fontId="0" fillId="36" borderId="0" xfId="0" applyNumberFormat="1" applyFill="1"/>
    <xf numFmtId="172" fontId="28" fillId="36" borderId="34" xfId="0" applyNumberFormat="1" applyFont="1" applyFill="1" applyBorder="1"/>
    <xf numFmtId="172" fontId="0" fillId="36" borderId="17" xfId="0" applyNumberFormat="1" applyFill="1" applyBorder="1"/>
    <xf numFmtId="4" fontId="0" fillId="0" borderId="22" xfId="0" applyNumberFormat="1" applyBorder="1"/>
    <xf numFmtId="4" fontId="0" fillId="36" borderId="22" xfId="0" applyNumberFormat="1" applyFill="1" applyBorder="1"/>
    <xf numFmtId="9" fontId="35" fillId="0" borderId="0" xfId="108" applyFont="1" applyFill="1" applyBorder="1"/>
    <xf numFmtId="9" fontId="28" fillId="0" borderId="0" xfId="108" applyFont="1" applyAlignment="1">
      <alignment horizontal="center"/>
    </xf>
    <xf numFmtId="9" fontId="4" fillId="0" borderId="0" xfId="108" applyFont="1" applyAlignment="1">
      <alignment horizontal="center"/>
    </xf>
    <xf numFmtId="9" fontId="30" fillId="0" borderId="0" xfId="108"/>
    <xf numFmtId="0" fontId="14" fillId="0" borderId="0" xfId="0" applyFont="1" applyAlignment="1">
      <alignment vertical="center"/>
    </xf>
    <xf numFmtId="172" fontId="0" fillId="31" borderId="33" xfId="0" applyNumberFormat="1" applyFill="1" applyBorder="1"/>
    <xf numFmtId="172" fontId="0" fillId="0" borderId="0" xfId="0" applyNumberFormat="1" applyAlignment="1">
      <alignment horizontal="center"/>
    </xf>
    <xf numFmtId="172" fontId="0" fillId="27" borderId="33" xfId="0" applyNumberFormat="1" applyFill="1" applyBorder="1"/>
    <xf numFmtId="4" fontId="0" fillId="27" borderId="33" xfId="0" applyNumberFormat="1" applyFill="1" applyBorder="1"/>
    <xf numFmtId="172" fontId="0" fillId="27" borderId="31" xfId="0" applyNumberFormat="1" applyFill="1" applyBorder="1"/>
    <xf numFmtId="172" fontId="0" fillId="0" borderId="33" xfId="0" applyNumberFormat="1" applyBorder="1"/>
    <xf numFmtId="9" fontId="35" fillId="0" borderId="0" xfId="108" applyFont="1" applyBorder="1"/>
    <xf numFmtId="9" fontId="0" fillId="0" borderId="0" xfId="109" applyFont="1" applyFill="1"/>
    <xf numFmtId="9" fontId="0" fillId="0" borderId="0" xfId="109" applyFont="1"/>
    <xf numFmtId="9" fontId="28" fillId="0" borderId="47" xfId="109" applyFont="1" applyFill="1" applyBorder="1" applyAlignment="1">
      <alignment horizontal="center" vertical="center"/>
    </xf>
    <xf numFmtId="9" fontId="28" fillId="0" borderId="0" xfId="109" applyFont="1" applyAlignment="1">
      <alignment horizontal="center"/>
    </xf>
    <xf numFmtId="0" fontId="15" fillId="0" borderId="0" xfId="0" applyFont="1" applyAlignment="1">
      <alignment vertical="center"/>
    </xf>
    <xf numFmtId="177" fontId="4" fillId="31" borderId="36" xfId="0" applyNumberFormat="1" applyFont="1" applyFill="1" applyBorder="1"/>
    <xf numFmtId="177" fontId="0" fillId="31" borderId="36" xfId="0" applyNumberFormat="1" applyFill="1" applyBorder="1"/>
    <xf numFmtId="177" fontId="0" fillId="31" borderId="35" xfId="0" applyNumberFormat="1" applyFill="1" applyBorder="1"/>
    <xf numFmtId="177" fontId="0" fillId="31" borderId="22" xfId="0" quotePrefix="1" applyNumberFormat="1" applyFill="1" applyBorder="1" applyAlignment="1">
      <alignment horizontal="center"/>
    </xf>
    <xf numFmtId="177" fontId="0" fillId="27" borderId="22" xfId="0" applyNumberFormat="1" applyFill="1" applyBorder="1"/>
    <xf numFmtId="177" fontId="0" fillId="31" borderId="0" xfId="0" applyNumberFormat="1" applyFill="1"/>
    <xf numFmtId="177" fontId="14" fillId="31" borderId="33" xfId="0" applyNumberFormat="1" applyFont="1" applyFill="1" applyBorder="1"/>
    <xf numFmtId="177" fontId="4" fillId="27" borderId="36" xfId="0" applyNumberFormat="1" applyFont="1" applyFill="1" applyBorder="1"/>
    <xf numFmtId="177" fontId="0" fillId="27" borderId="36" xfId="0" applyNumberFormat="1" applyFill="1" applyBorder="1"/>
    <xf numFmtId="177" fontId="0" fillId="27" borderId="22" xfId="0" applyNumberFormat="1" applyFill="1" applyBorder="1" applyAlignment="1">
      <alignment horizontal="right"/>
    </xf>
    <xf numFmtId="177" fontId="0" fillId="27" borderId="35" xfId="0" applyNumberFormat="1" applyFill="1" applyBorder="1"/>
    <xf numFmtId="177" fontId="14" fillId="27" borderId="33" xfId="0" applyNumberFormat="1" applyFont="1" applyFill="1" applyBorder="1"/>
    <xf numFmtId="177" fontId="0" fillId="31" borderId="22" xfId="0" applyNumberFormat="1" applyFill="1" applyBorder="1"/>
    <xf numFmtId="177" fontId="0" fillId="31" borderId="22" xfId="0" applyNumberFormat="1" applyFill="1" applyBorder="1" applyAlignment="1">
      <alignment horizontal="right"/>
    </xf>
    <xf numFmtId="177" fontId="0" fillId="27" borderId="0" xfId="0" applyNumberFormat="1" applyFill="1"/>
    <xf numFmtId="177" fontId="4" fillId="0" borderId="36" xfId="0" applyNumberFormat="1" applyFont="1" applyBorder="1"/>
    <xf numFmtId="177" fontId="0" fillId="0" borderId="22" xfId="0" applyNumberFormat="1" applyBorder="1"/>
    <xf numFmtId="177" fontId="0" fillId="0" borderId="36" xfId="0" applyNumberFormat="1" applyBorder="1"/>
    <xf numFmtId="177" fontId="0" fillId="0" borderId="35" xfId="0" applyNumberFormat="1" applyBorder="1"/>
    <xf numFmtId="177" fontId="14" fillId="0" borderId="33" xfId="0" applyNumberFormat="1" applyFont="1" applyBorder="1"/>
    <xf numFmtId="177" fontId="0" fillId="0" borderId="0" xfId="0" applyNumberFormat="1"/>
    <xf numFmtId="177" fontId="4" fillId="36" borderId="36" xfId="0" applyNumberFormat="1" applyFont="1" applyFill="1" applyBorder="1"/>
    <xf numFmtId="177" fontId="0" fillId="36" borderId="36" xfId="0" applyNumberFormat="1" applyFill="1" applyBorder="1"/>
    <xf numFmtId="177" fontId="0" fillId="36" borderId="35" xfId="0" applyNumberFormat="1" applyFill="1" applyBorder="1"/>
    <xf numFmtId="177" fontId="0" fillId="36" borderId="22" xfId="0" applyNumberFormat="1" applyFill="1" applyBorder="1"/>
    <xf numFmtId="177" fontId="14" fillId="36" borderId="33" xfId="0" applyNumberFormat="1" applyFont="1" applyFill="1" applyBorder="1"/>
    <xf numFmtId="9" fontId="15" fillId="0" borderId="0" xfId="108" applyFont="1" applyFill="1" applyBorder="1" applyAlignment="1">
      <alignment horizontal="center"/>
    </xf>
    <xf numFmtId="177" fontId="0" fillId="31" borderId="34" xfId="0" applyNumberFormat="1" applyFill="1" applyBorder="1"/>
    <xf numFmtId="177" fontId="0" fillId="31" borderId="17" xfId="0" applyNumberFormat="1" applyFill="1" applyBorder="1"/>
    <xf numFmtId="177" fontId="0" fillId="27" borderId="34" xfId="0" applyNumberFormat="1" applyFill="1" applyBorder="1"/>
    <xf numFmtId="177" fontId="0" fillId="27" borderId="17" xfId="0" applyNumberFormat="1" applyFill="1" applyBorder="1"/>
    <xf numFmtId="177" fontId="0" fillId="31" borderId="33" xfId="0" applyNumberFormat="1" applyFill="1" applyBorder="1"/>
    <xf numFmtId="177" fontId="0" fillId="27" borderId="33" xfId="0" applyNumberFormat="1" applyFill="1" applyBorder="1"/>
    <xf numFmtId="177" fontId="0" fillId="0" borderId="34" xfId="0" applyNumberFormat="1" applyBorder="1"/>
    <xf numFmtId="177" fontId="0" fillId="0" borderId="33" xfId="0" applyNumberFormat="1" applyBorder="1"/>
    <xf numFmtId="172" fontId="28" fillId="31" borderId="36" xfId="0" applyNumberFormat="1" applyFont="1" applyFill="1" applyBorder="1"/>
    <xf numFmtId="172" fontId="0" fillId="31" borderId="17" xfId="0" applyNumberFormat="1" applyFill="1" applyBorder="1" applyAlignment="1">
      <alignment horizontal="center"/>
    </xf>
    <xf numFmtId="172" fontId="36" fillId="0" borderId="0" xfId="0" applyNumberFormat="1" applyFont="1"/>
    <xf numFmtId="3" fontId="15" fillId="32" borderId="0" xfId="0" applyNumberFormat="1" applyFont="1" applyFill="1"/>
    <xf numFmtId="172" fontId="14" fillId="32" borderId="0" xfId="0" applyNumberFormat="1" applyFont="1" applyFill="1"/>
    <xf numFmtId="172" fontId="28" fillId="27" borderId="36" xfId="0" applyNumberFormat="1" applyFont="1" applyFill="1" applyBorder="1"/>
    <xf numFmtId="172" fontId="0" fillId="27" borderId="17" xfId="0" applyNumberFormat="1" applyFill="1" applyBorder="1" applyAlignment="1">
      <alignment horizontal="center"/>
    </xf>
    <xf numFmtId="172" fontId="28" fillId="0" borderId="36" xfId="0" applyNumberFormat="1" applyFont="1" applyBorder="1"/>
    <xf numFmtId="172" fontId="0" fillId="0" borderId="17" xfId="0" applyNumberFormat="1" applyBorder="1" applyAlignment="1">
      <alignment horizontal="center"/>
    </xf>
    <xf numFmtId="9" fontId="4" fillId="0" borderId="0" xfId="108" applyFont="1" applyFill="1" applyAlignment="1">
      <alignment horizontal="center"/>
    </xf>
    <xf numFmtId="9" fontId="37" fillId="0" borderId="0" xfId="108" applyFont="1" applyFill="1" applyBorder="1" applyAlignment="1">
      <alignment horizontal="center"/>
    </xf>
    <xf numFmtId="9" fontId="37" fillId="0" borderId="0" xfId="108" applyFont="1" applyBorder="1" applyAlignment="1">
      <alignment horizontal="center"/>
    </xf>
    <xf numFmtId="0" fontId="28" fillId="0" borderId="0" xfId="0" applyFont="1"/>
    <xf numFmtId="172" fontId="28" fillId="27" borderId="35" xfId="0" applyNumberFormat="1" applyFont="1" applyFill="1" applyBorder="1"/>
    <xf numFmtId="172" fontId="28" fillId="31" borderId="35" xfId="0" applyNumberFormat="1" applyFont="1" applyFill="1" applyBorder="1"/>
    <xf numFmtId="4" fontId="28" fillId="31" borderId="36" xfId="0" applyNumberFormat="1" applyFont="1" applyFill="1" applyBorder="1"/>
    <xf numFmtId="0" fontId="14" fillId="0" borderId="0" xfId="52"/>
    <xf numFmtId="0" fontId="14" fillId="0" borderId="0" xfId="52" applyAlignment="1">
      <alignment horizontal="center" vertical="center"/>
    </xf>
    <xf numFmtId="0" fontId="13" fillId="0" borderId="0" xfId="52" applyFont="1" applyAlignment="1">
      <alignment horizontal="center" vertical="center"/>
    </xf>
    <xf numFmtId="4" fontId="14" fillId="0" borderId="0" xfId="52" applyNumberFormat="1"/>
    <xf numFmtId="9" fontId="0" fillId="0" borderId="0" xfId="109" applyFont="1" applyAlignment="1">
      <alignment horizontal="center"/>
    </xf>
    <xf numFmtId="173" fontId="0" fillId="0" borderId="0" xfId="109" applyNumberFormat="1" applyFont="1" applyAlignment="1">
      <alignment horizontal="center"/>
    </xf>
    <xf numFmtId="0" fontId="14" fillId="0" borderId="0" xfId="52" applyAlignment="1">
      <alignment horizontal="center"/>
    </xf>
    <xf numFmtId="4" fontId="14" fillId="26" borderId="0" xfId="52" applyNumberFormat="1" applyFill="1"/>
    <xf numFmtId="9" fontId="0" fillId="32" borderId="0" xfId="109" applyFont="1" applyFill="1" applyAlignment="1">
      <alignment horizontal="center"/>
    </xf>
    <xf numFmtId="0" fontId="14" fillId="31" borderId="0" xfId="52" applyFill="1"/>
    <xf numFmtId="4" fontId="14" fillId="25" borderId="0" xfId="52" applyNumberFormat="1" applyFill="1"/>
    <xf numFmtId="0" fontId="5" fillId="0" borderId="0" xfId="52" applyFont="1"/>
    <xf numFmtId="0" fontId="28" fillId="0" borderId="0" xfId="52" applyFont="1"/>
    <xf numFmtId="3" fontId="14" fillId="0" borderId="0" xfId="52" applyNumberFormat="1"/>
    <xf numFmtId="0" fontId="32" fillId="0" borderId="0" xfId="52" applyFont="1" applyAlignment="1">
      <alignment horizontal="left"/>
    </xf>
    <xf numFmtId="0" fontId="8" fillId="34" borderId="0" xfId="52" applyFont="1" applyFill="1"/>
    <xf numFmtId="0" fontId="21" fillId="34" borderId="0" xfId="52" applyFont="1" applyFill="1" applyAlignment="1">
      <alignment horizontal="centerContinuous"/>
    </xf>
    <xf numFmtId="0" fontId="14" fillId="34" borderId="0" xfId="52" applyFill="1" applyAlignment="1">
      <alignment horizontal="centerContinuous"/>
    </xf>
    <xf numFmtId="0" fontId="14" fillId="34" borderId="0" xfId="52" applyFill="1"/>
    <xf numFmtId="0" fontId="4" fillId="0" borderId="0" xfId="52" applyFont="1" applyAlignment="1">
      <alignment horizontal="center"/>
    </xf>
    <xf numFmtId="172" fontId="4" fillId="27" borderId="0" xfId="52" applyNumberFormat="1" applyFont="1" applyFill="1" applyProtection="1">
      <protection locked="0"/>
    </xf>
    <xf numFmtId="172" fontId="14" fillId="27" borderId="35" xfId="52" applyNumberFormat="1" applyFill="1" applyBorder="1" applyProtection="1">
      <protection locked="0"/>
    </xf>
    <xf numFmtId="172" fontId="14" fillId="27" borderId="22" xfId="52" applyNumberFormat="1" applyFill="1" applyBorder="1" applyProtection="1">
      <protection locked="0"/>
    </xf>
    <xf numFmtId="172" fontId="14" fillId="27" borderId="36" xfId="52" applyNumberFormat="1" applyFill="1" applyBorder="1" applyProtection="1">
      <protection locked="0"/>
    </xf>
    <xf numFmtId="172" fontId="14" fillId="27" borderId="0" xfId="52" applyNumberFormat="1" applyFill="1" applyProtection="1">
      <protection locked="0"/>
    </xf>
    <xf numFmtId="172" fontId="14" fillId="27" borderId="35" xfId="52" applyNumberFormat="1" applyFill="1" applyBorder="1"/>
    <xf numFmtId="172" fontId="14" fillId="27" borderId="0" xfId="52" applyNumberFormat="1" applyFill="1"/>
    <xf numFmtId="172" fontId="14" fillId="27" borderId="33" xfId="52" applyNumberFormat="1" applyFill="1" applyBorder="1"/>
    <xf numFmtId="172" fontId="4" fillId="36" borderId="11" xfId="52" applyNumberFormat="1" applyFont="1" applyFill="1" applyBorder="1" applyProtection="1">
      <protection locked="0"/>
    </xf>
    <xf numFmtId="172" fontId="14" fillId="36" borderId="35" xfId="52" applyNumberFormat="1" applyFill="1" applyBorder="1" applyProtection="1">
      <protection locked="0"/>
    </xf>
    <xf numFmtId="172" fontId="14" fillId="36" borderId="22" xfId="52" applyNumberFormat="1" applyFill="1" applyBorder="1" applyProtection="1">
      <protection locked="0"/>
    </xf>
    <xf numFmtId="172" fontId="14" fillId="36" borderId="36" xfId="52" applyNumberFormat="1" applyFill="1" applyBorder="1" applyProtection="1">
      <protection locked="0"/>
    </xf>
    <xf numFmtId="169" fontId="14" fillId="36" borderId="36" xfId="52" applyNumberFormat="1" applyFill="1" applyBorder="1" applyProtection="1">
      <protection locked="0"/>
    </xf>
    <xf numFmtId="172" fontId="14" fillId="36" borderId="0" xfId="52" applyNumberFormat="1" applyFill="1" applyProtection="1">
      <protection locked="0"/>
    </xf>
    <xf numFmtId="172" fontId="14" fillId="36" borderId="35" xfId="52" applyNumberFormat="1" applyFill="1" applyBorder="1"/>
    <xf numFmtId="169" fontId="14" fillId="36" borderId="22" xfId="52" applyNumberFormat="1" applyFill="1" applyBorder="1"/>
    <xf numFmtId="172" fontId="14" fillId="36" borderId="0" xfId="52" applyNumberFormat="1" applyFill="1"/>
    <xf numFmtId="172" fontId="14" fillId="36" borderId="33" xfId="52" applyNumberFormat="1" applyFill="1" applyBorder="1"/>
    <xf numFmtId="169" fontId="14" fillId="0" borderId="0" xfId="52" applyNumberFormat="1" applyAlignment="1">
      <alignment horizontal="center"/>
    </xf>
    <xf numFmtId="173" fontId="28" fillId="0" borderId="0" xfId="109" applyNumberFormat="1" applyFont="1" applyFill="1" applyBorder="1" applyAlignment="1">
      <alignment horizontal="center"/>
    </xf>
    <xf numFmtId="172" fontId="4" fillId="27" borderId="11" xfId="52" applyNumberFormat="1" applyFont="1" applyFill="1" applyBorder="1" applyProtection="1">
      <protection locked="0"/>
    </xf>
    <xf numFmtId="169" fontId="14" fillId="27" borderId="36" xfId="52" applyNumberFormat="1" applyFill="1" applyBorder="1" applyProtection="1">
      <protection locked="0"/>
    </xf>
    <xf numFmtId="169" fontId="14" fillId="27" borderId="22" xfId="52" quotePrefix="1" applyNumberFormat="1" applyFill="1" applyBorder="1" applyAlignment="1">
      <alignment horizontal="right"/>
    </xf>
    <xf numFmtId="172" fontId="14" fillId="27" borderId="36" xfId="52" applyNumberFormat="1" applyFill="1" applyBorder="1"/>
    <xf numFmtId="172" fontId="4" fillId="36" borderId="0" xfId="52" applyNumberFormat="1" applyFont="1" applyFill="1" applyProtection="1">
      <protection locked="0"/>
    </xf>
    <xf numFmtId="169" fontId="14" fillId="27" borderId="22" xfId="52" applyNumberFormat="1" applyFill="1" applyBorder="1"/>
    <xf numFmtId="169" fontId="14" fillId="27" borderId="22" xfId="52" applyNumberFormat="1" applyFill="1" applyBorder="1" applyProtection="1">
      <protection locked="0"/>
    </xf>
    <xf numFmtId="172" fontId="14" fillId="27" borderId="22" xfId="52" applyNumberFormat="1" applyFill="1" applyBorder="1"/>
    <xf numFmtId="169" fontId="14" fillId="36" borderId="22" xfId="52" applyNumberFormat="1" applyFill="1" applyBorder="1" applyProtection="1">
      <protection locked="0"/>
    </xf>
    <xf numFmtId="172" fontId="14" fillId="36" borderId="22" xfId="52" applyNumberFormat="1" applyFill="1" applyBorder="1"/>
    <xf numFmtId="172" fontId="4" fillId="0" borderId="0" xfId="52" applyNumberFormat="1" applyFont="1" applyProtection="1">
      <protection locked="0"/>
    </xf>
    <xf numFmtId="172" fontId="14" fillId="0" borderId="35" xfId="52" applyNumberFormat="1" applyBorder="1" applyProtection="1">
      <protection locked="0"/>
    </xf>
    <xf numFmtId="169" fontId="14" fillId="0" borderId="22" xfId="52" applyNumberFormat="1" applyBorder="1" applyProtection="1">
      <protection locked="0"/>
    </xf>
    <xf numFmtId="172" fontId="14" fillId="0" borderId="36" xfId="52" applyNumberFormat="1" applyBorder="1" applyProtection="1">
      <protection locked="0"/>
    </xf>
    <xf numFmtId="172" fontId="14" fillId="0" borderId="22" xfId="52" applyNumberFormat="1" applyBorder="1"/>
    <xf numFmtId="169" fontId="14" fillId="0" borderId="22" xfId="52" applyNumberFormat="1" applyBorder="1"/>
    <xf numFmtId="172" fontId="14" fillId="0" borderId="0" xfId="52" applyNumberFormat="1"/>
    <xf numFmtId="172" fontId="14" fillId="0" borderId="35" xfId="52" applyNumberFormat="1" applyBorder="1"/>
    <xf numFmtId="172" fontId="14" fillId="0" borderId="33" xfId="52" applyNumberFormat="1" applyBorder="1"/>
    <xf numFmtId="0" fontId="14" fillId="28" borderId="0" xfId="52" applyFill="1"/>
    <xf numFmtId="169" fontId="14" fillId="0" borderId="0" xfId="52" applyNumberFormat="1"/>
    <xf numFmtId="0" fontId="14" fillId="0" borderId="0" xfId="52" applyAlignment="1">
      <alignment horizontal="right"/>
    </xf>
    <xf numFmtId="9" fontId="28" fillId="27" borderId="0" xfId="109" applyFont="1" applyFill="1" applyBorder="1" applyAlignment="1">
      <alignment horizontal="center"/>
    </xf>
    <xf numFmtId="9" fontId="14" fillId="27" borderId="0" xfId="52" applyNumberFormat="1" applyFill="1"/>
    <xf numFmtId="0" fontId="5" fillId="27" borderId="0" xfId="52" applyFont="1" applyFill="1"/>
    <xf numFmtId="0" fontId="15" fillId="0" borderId="0" xfId="52" applyFont="1" applyAlignment="1">
      <alignment vertical="center"/>
    </xf>
    <xf numFmtId="173" fontId="14" fillId="0" borderId="0" xfId="109" applyNumberFormat="1"/>
    <xf numFmtId="0" fontId="15" fillId="0" borderId="0" xfId="52" applyFont="1"/>
    <xf numFmtId="0" fontId="31" fillId="0" borderId="0" xfId="52" applyFont="1"/>
    <xf numFmtId="0" fontId="4" fillId="0" borderId="0" xfId="52" applyFont="1"/>
    <xf numFmtId="9" fontId="28" fillId="0" borderId="0" xfId="109" applyFont="1" applyFill="1" applyBorder="1" applyAlignment="1">
      <alignment horizontal="center"/>
    </xf>
    <xf numFmtId="0" fontId="14" fillId="34" borderId="0" xfId="52" applyFill="1" applyAlignment="1">
      <alignment horizontal="right"/>
    </xf>
    <xf numFmtId="173" fontId="14" fillId="34" borderId="0" xfId="109" applyNumberFormat="1" applyFill="1"/>
    <xf numFmtId="0" fontId="31" fillId="34" borderId="0" xfId="52" applyFont="1" applyFill="1"/>
    <xf numFmtId="0" fontId="15" fillId="34" borderId="0" xfId="52" applyFont="1" applyFill="1"/>
    <xf numFmtId="169" fontId="14" fillId="34" borderId="0" xfId="52" applyNumberFormat="1" applyFill="1"/>
    <xf numFmtId="0" fontId="29" fillId="34" borderId="0" xfId="52" applyFont="1" applyFill="1"/>
    <xf numFmtId="0" fontId="4" fillId="34" borderId="0" xfId="52" applyFont="1" applyFill="1"/>
    <xf numFmtId="172" fontId="4" fillId="36" borderId="34" xfId="52" applyNumberFormat="1" applyFont="1" applyFill="1" applyBorder="1"/>
    <xf numFmtId="172" fontId="28" fillId="36" borderId="22" xfId="52" applyNumberFormat="1" applyFont="1" applyFill="1" applyBorder="1"/>
    <xf numFmtId="172" fontId="14" fillId="36" borderId="17" xfId="52" applyNumberFormat="1" applyFill="1" applyBorder="1"/>
    <xf numFmtId="172" fontId="28" fillId="36" borderId="34" xfId="52" applyNumberFormat="1" applyFont="1" applyFill="1" applyBorder="1"/>
    <xf numFmtId="172" fontId="14" fillId="36" borderId="17" xfId="52" applyNumberFormat="1" applyFill="1" applyBorder="1" applyAlignment="1">
      <alignment horizontal="right"/>
    </xf>
    <xf numFmtId="172" fontId="4" fillId="27" borderId="34" xfId="52" applyNumberFormat="1" applyFont="1" applyFill="1" applyBorder="1"/>
    <xf numFmtId="172" fontId="28" fillId="27" borderId="22" xfId="52" applyNumberFormat="1" applyFont="1" applyFill="1" applyBorder="1"/>
    <xf numFmtId="172" fontId="14" fillId="27" borderId="17" xfId="52" applyNumberFormat="1" applyFill="1" applyBorder="1"/>
    <xf numFmtId="172" fontId="28" fillId="27" borderId="34" xfId="52" applyNumberFormat="1" applyFont="1" applyFill="1" applyBorder="1"/>
    <xf numFmtId="4" fontId="14" fillId="36" borderId="22" xfId="52" applyNumberFormat="1" applyFill="1" applyBorder="1"/>
    <xf numFmtId="4" fontId="4" fillId="27" borderId="34" xfId="52" applyNumberFormat="1" applyFont="1" applyFill="1" applyBorder="1"/>
    <xf numFmtId="4" fontId="14" fillId="27" borderId="22" xfId="52" applyNumberFormat="1" applyFill="1" applyBorder="1"/>
    <xf numFmtId="172" fontId="4" fillId="0" borderId="34" xfId="52" applyNumberFormat="1" applyFont="1" applyBorder="1"/>
    <xf numFmtId="172" fontId="28" fillId="0" borderId="22" xfId="52" applyNumberFormat="1" applyFont="1" applyBorder="1"/>
    <xf numFmtId="172" fontId="14" fillId="0" borderId="17" xfId="52" applyNumberFormat="1" applyBorder="1"/>
    <xf numFmtId="172" fontId="28" fillId="0" borderId="34" xfId="52" applyNumberFormat="1" applyFont="1" applyBorder="1"/>
    <xf numFmtId="4" fontId="14" fillId="0" borderId="22" xfId="52" applyNumberFormat="1" applyBorder="1"/>
    <xf numFmtId="9" fontId="28" fillId="0" borderId="53" xfId="109" applyFont="1" applyFill="1" applyBorder="1" applyAlignment="1">
      <alignment horizontal="center" vertical="center"/>
    </xf>
    <xf numFmtId="9" fontId="28" fillId="0" borderId="54" xfId="109" applyFont="1" applyFill="1" applyBorder="1" applyAlignment="1">
      <alignment horizontal="center" vertical="center"/>
    </xf>
    <xf numFmtId="9" fontId="15" fillId="0" borderId="55" xfId="109" applyFont="1" applyFill="1" applyBorder="1" applyAlignment="1">
      <alignment horizontal="center" vertical="center"/>
    </xf>
    <xf numFmtId="9" fontId="28" fillId="36" borderId="53" xfId="109" applyFont="1" applyFill="1" applyBorder="1" applyAlignment="1">
      <alignment horizontal="center" vertical="center"/>
    </xf>
    <xf numFmtId="9" fontId="28" fillId="36" borderId="57" xfId="109" applyFont="1" applyFill="1" applyBorder="1" applyAlignment="1">
      <alignment horizontal="center" vertical="center"/>
    </xf>
    <xf numFmtId="9" fontId="15" fillId="36" borderId="55" xfId="109" applyFont="1" applyFill="1" applyBorder="1" applyAlignment="1">
      <alignment horizontal="center" vertical="center"/>
    </xf>
    <xf numFmtId="9" fontId="15" fillId="36" borderId="56" xfId="109" applyFont="1" applyFill="1" applyBorder="1" applyAlignment="1">
      <alignment horizontal="center" vertical="center"/>
    </xf>
    <xf numFmtId="9" fontId="28" fillId="0" borderId="58" xfId="109" applyFont="1" applyFill="1" applyBorder="1" applyAlignment="1">
      <alignment horizontal="center" vertical="center"/>
    </xf>
    <xf numFmtId="9" fontId="15" fillId="0" borderId="24" xfId="109" applyFont="1" applyFill="1" applyBorder="1" applyAlignment="1">
      <alignment horizontal="center" vertical="center"/>
    </xf>
    <xf numFmtId="9" fontId="15" fillId="0" borderId="59" xfId="109" applyFont="1" applyFill="1" applyBorder="1" applyAlignment="1">
      <alignment horizontal="center" vertical="center"/>
    </xf>
    <xf numFmtId="9" fontId="28" fillId="36" borderId="48" xfId="109" applyFont="1" applyFill="1" applyBorder="1" applyAlignment="1">
      <alignment horizontal="center" vertical="center"/>
    </xf>
    <xf numFmtId="9" fontId="28" fillId="36" borderId="60" xfId="109" applyFont="1" applyFill="1" applyBorder="1" applyAlignment="1">
      <alignment horizontal="center" vertical="center"/>
    </xf>
    <xf numFmtId="9" fontId="15" fillId="36" borderId="61" xfId="109" applyFont="1" applyFill="1" applyBorder="1" applyAlignment="1">
      <alignment horizontal="center" vertical="center"/>
    </xf>
    <xf numFmtId="9" fontId="15" fillId="36" borderId="50" xfId="109" applyFont="1" applyFill="1" applyBorder="1" applyAlignment="1">
      <alignment horizontal="center" vertical="center"/>
    </xf>
    <xf numFmtId="0" fontId="7" fillId="34" borderId="0" xfId="52" applyFont="1" applyFill="1"/>
    <xf numFmtId="172" fontId="14" fillId="34" borderId="0" xfId="52" applyNumberFormat="1" applyFill="1"/>
    <xf numFmtId="0" fontId="34" fillId="34" borderId="0" xfId="52" applyFont="1" applyFill="1"/>
    <xf numFmtId="0" fontId="34" fillId="0" borderId="0" xfId="52" applyFont="1"/>
    <xf numFmtId="172" fontId="4" fillId="36" borderId="36" xfId="52" applyNumberFormat="1" applyFont="1" applyFill="1" applyBorder="1"/>
    <xf numFmtId="172" fontId="4" fillId="27" borderId="36" xfId="52" applyNumberFormat="1" applyFont="1" applyFill="1" applyBorder="1"/>
    <xf numFmtId="4" fontId="4" fillId="27" borderId="36" xfId="52" applyNumberFormat="1" applyFont="1" applyFill="1" applyBorder="1"/>
    <xf numFmtId="4" fontId="14" fillId="27" borderId="35" xfId="52" applyNumberFormat="1" applyFill="1" applyBorder="1"/>
    <xf numFmtId="4" fontId="28" fillId="27" borderId="34" xfId="52" applyNumberFormat="1" applyFont="1" applyFill="1" applyBorder="1"/>
    <xf numFmtId="4" fontId="14" fillId="27" borderId="33" xfId="52" applyNumberFormat="1" applyFill="1" applyBorder="1"/>
    <xf numFmtId="172" fontId="4" fillId="0" borderId="36" xfId="52" applyNumberFormat="1" applyFont="1" applyBorder="1"/>
    <xf numFmtId="9" fontId="5" fillId="34" borderId="0" xfId="109" applyFont="1" applyFill="1" applyAlignment="1">
      <alignment horizontal="center"/>
    </xf>
    <xf numFmtId="0" fontId="14" fillId="0" borderId="0" xfId="109" applyNumberFormat="1" applyFont="1" applyFill="1" applyBorder="1" applyAlignment="1">
      <alignment horizontal="center"/>
    </xf>
    <xf numFmtId="0" fontId="5" fillId="0" borderId="68" xfId="52" applyFont="1" applyBorder="1" applyAlignment="1">
      <alignment horizontal="left" vertical="center" wrapText="1"/>
    </xf>
    <xf numFmtId="0" fontId="8" fillId="0" borderId="0" xfId="52" applyFont="1"/>
    <xf numFmtId="0" fontId="21" fillId="0" borderId="0" xfId="52" applyFont="1" applyAlignment="1">
      <alignment horizontal="centerContinuous"/>
    </xf>
    <xf numFmtId="0" fontId="14" fillId="31" borderId="37" xfId="52" applyFill="1" applyBorder="1" applyAlignment="1">
      <alignment horizontal="center"/>
    </xf>
    <xf numFmtId="3" fontId="14" fillId="31" borderId="34" xfId="52" applyNumberFormat="1" applyFill="1" applyBorder="1" applyAlignment="1">
      <alignment horizontal="center"/>
    </xf>
    <xf numFmtId="3" fontId="14" fillId="31" borderId="22" xfId="52" applyNumberFormat="1" applyFill="1" applyBorder="1" applyAlignment="1">
      <alignment horizontal="center"/>
    </xf>
    <xf numFmtId="3" fontId="14" fillId="31" borderId="33" xfId="52" applyNumberFormat="1" applyFill="1" applyBorder="1" applyAlignment="1">
      <alignment horizontal="center"/>
    </xf>
    <xf numFmtId="3" fontId="4" fillId="33" borderId="11" xfId="52" applyNumberFormat="1" applyFont="1" applyFill="1" applyBorder="1" applyAlignment="1">
      <alignment horizontal="center"/>
    </xf>
    <xf numFmtId="3" fontId="14" fillId="33" borderId="21" xfId="52" applyNumberFormat="1" applyFill="1" applyBorder="1" applyAlignment="1">
      <alignment horizontal="center"/>
    </xf>
    <xf numFmtId="0" fontId="14" fillId="27" borderId="37" xfId="52" applyFill="1" applyBorder="1" applyAlignment="1">
      <alignment horizontal="center"/>
    </xf>
    <xf numFmtId="3" fontId="14" fillId="27" borderId="34" xfId="52" applyNumberFormat="1" applyFill="1" applyBorder="1" applyAlignment="1">
      <alignment horizontal="center"/>
    </xf>
    <xf numFmtId="3" fontId="14" fillId="27" borderId="22" xfId="52" applyNumberFormat="1" applyFill="1" applyBorder="1" applyAlignment="1">
      <alignment horizontal="center"/>
    </xf>
    <xf numFmtId="3" fontId="14" fillId="27" borderId="33" xfId="52" applyNumberFormat="1" applyFill="1" applyBorder="1" applyAlignment="1">
      <alignment horizontal="center"/>
    </xf>
    <xf numFmtId="9" fontId="4" fillId="0" borderId="0" xfId="109" applyFont="1" applyFill="1" applyBorder="1" applyAlignment="1">
      <alignment horizontal="center"/>
    </xf>
    <xf numFmtId="0" fontId="39" fillId="0" borderId="0" xfId="52" applyFont="1"/>
    <xf numFmtId="179" fontId="14" fillId="0" borderId="0" xfId="52" applyNumberFormat="1"/>
    <xf numFmtId="0" fontId="38" fillId="0" borderId="0" xfId="52" applyFont="1"/>
    <xf numFmtId="0" fontId="62" fillId="37" borderId="72" xfId="52" applyFont="1" applyFill="1" applyBorder="1" applyAlignment="1">
      <alignment horizontal="center" vertical="center"/>
    </xf>
    <xf numFmtId="0" fontId="62" fillId="37" borderId="72" xfId="52" applyFont="1" applyFill="1" applyBorder="1" applyAlignment="1">
      <alignment horizontal="center" vertical="center" wrapText="1"/>
    </xf>
    <xf numFmtId="0" fontId="4" fillId="0" borderId="35" xfId="52" applyFont="1" applyBorder="1" applyAlignment="1">
      <alignment horizontal="center" vertical="center"/>
    </xf>
    <xf numFmtId="0" fontId="4" fillId="0" borderId="22" xfId="52" applyFont="1" applyBorder="1" applyAlignment="1">
      <alignment horizontal="right" vertical="center" wrapText="1" indent="6"/>
    </xf>
    <xf numFmtId="0" fontId="14" fillId="31" borderId="35" xfId="52" applyFill="1" applyBorder="1" applyAlignment="1">
      <alignment horizontal="center"/>
    </xf>
    <xf numFmtId="2" fontId="14" fillId="31" borderId="22" xfId="52" applyNumberFormat="1" applyFill="1" applyBorder="1" applyAlignment="1">
      <alignment horizontal="right" indent="6"/>
    </xf>
    <xf numFmtId="0" fontId="14" fillId="0" borderId="35" xfId="52" applyBorder="1" applyAlignment="1">
      <alignment horizontal="center"/>
    </xf>
    <xf numFmtId="2" fontId="14" fillId="0" borderId="22" xfId="52" applyNumberFormat="1" applyBorder="1" applyAlignment="1">
      <alignment horizontal="right" indent="6"/>
    </xf>
    <xf numFmtId="0" fontId="14" fillId="0" borderId="0" xfId="52" applyAlignment="1">
      <alignment wrapText="1"/>
    </xf>
    <xf numFmtId="0" fontId="5" fillId="0" borderId="73" xfId="52" applyFont="1" applyBorder="1"/>
    <xf numFmtId="9" fontId="4" fillId="0" borderId="73" xfId="109" applyFont="1" applyFill="1" applyBorder="1" applyAlignment="1">
      <alignment horizontal="right" vertical="center" indent="6"/>
    </xf>
    <xf numFmtId="0" fontId="5" fillId="31" borderId="55" xfId="52" applyFont="1" applyFill="1" applyBorder="1"/>
    <xf numFmtId="9" fontId="4" fillId="31" borderId="24" xfId="109" applyFont="1" applyFill="1" applyBorder="1" applyAlignment="1">
      <alignment horizontal="right" vertical="center" indent="6"/>
    </xf>
    <xf numFmtId="0" fontId="5" fillId="0" borderId="24" xfId="52" applyFont="1" applyBorder="1"/>
    <xf numFmtId="9" fontId="4" fillId="0" borderId="24" xfId="109" applyFont="1" applyFill="1" applyBorder="1" applyAlignment="1">
      <alignment horizontal="right" vertical="center" indent="6"/>
    </xf>
    <xf numFmtId="0" fontId="5" fillId="31" borderId="41" xfId="52" applyFont="1" applyFill="1" applyBorder="1"/>
    <xf numFmtId="9" fontId="4" fillId="31" borderId="41" xfId="109" applyFont="1" applyFill="1" applyBorder="1" applyAlignment="1">
      <alignment horizontal="right" vertical="center" indent="6"/>
    </xf>
    <xf numFmtId="0" fontId="37" fillId="0" borderId="0" xfId="52" applyFont="1"/>
    <xf numFmtId="172" fontId="4" fillId="27" borderId="11" xfId="52" applyNumberFormat="1" applyFont="1" applyFill="1" applyBorder="1" applyAlignment="1">
      <alignment horizontal="right" indent="1"/>
    </xf>
    <xf numFmtId="172" fontId="14" fillId="27" borderId="35" xfId="52" applyNumberFormat="1" applyFill="1" applyBorder="1" applyAlignment="1">
      <alignment horizontal="right" indent="1"/>
    </xf>
    <xf numFmtId="172" fontId="14" fillId="27" borderId="22" xfId="52" applyNumberFormat="1" applyFill="1" applyBorder="1" applyAlignment="1">
      <alignment horizontal="right" indent="1"/>
    </xf>
    <xf numFmtId="172" fontId="14" fillId="27" borderId="0" xfId="52" applyNumberFormat="1" applyFill="1" applyAlignment="1">
      <alignment horizontal="right" indent="1"/>
    </xf>
    <xf numFmtId="172" fontId="14" fillId="27" borderId="33" xfId="52" applyNumberFormat="1" applyFill="1" applyBorder="1" applyAlignment="1">
      <alignment horizontal="right" indent="1"/>
    </xf>
    <xf numFmtId="3" fontId="4" fillId="31" borderId="11" xfId="52" applyNumberFormat="1" applyFont="1" applyFill="1" applyBorder="1" applyAlignment="1">
      <alignment horizontal="right" indent="1"/>
    </xf>
    <xf numFmtId="3" fontId="14" fillId="31" borderId="35" xfId="52" applyNumberFormat="1" applyFill="1" applyBorder="1" applyAlignment="1">
      <alignment horizontal="right" indent="1"/>
    </xf>
    <xf numFmtId="3" fontId="14" fillId="31" borderId="22" xfId="52" applyNumberFormat="1" applyFill="1" applyBorder="1" applyAlignment="1">
      <alignment horizontal="right" indent="1"/>
    </xf>
    <xf numFmtId="3" fontId="14" fillId="31" borderId="0" xfId="52" applyNumberFormat="1" applyFill="1" applyAlignment="1">
      <alignment horizontal="right" indent="1"/>
    </xf>
    <xf numFmtId="3" fontId="14" fillId="31" borderId="33" xfId="52" applyNumberFormat="1" applyFill="1" applyBorder="1" applyAlignment="1">
      <alignment horizontal="right" indent="1"/>
    </xf>
    <xf numFmtId="3" fontId="4" fillId="27" borderId="11" xfId="52" applyNumberFormat="1" applyFont="1" applyFill="1" applyBorder="1" applyAlignment="1">
      <alignment horizontal="right" indent="1"/>
    </xf>
    <xf numFmtId="3" fontId="14" fillId="27" borderId="35" xfId="52" applyNumberFormat="1" applyFill="1" applyBorder="1" applyAlignment="1">
      <alignment horizontal="right" indent="1"/>
    </xf>
    <xf numFmtId="3" fontId="14" fillId="27" borderId="22" xfId="52" applyNumberFormat="1" applyFill="1" applyBorder="1" applyAlignment="1">
      <alignment horizontal="right" indent="1"/>
    </xf>
    <xf numFmtId="3" fontId="14" fillId="27" borderId="0" xfId="52" applyNumberFormat="1" applyFill="1" applyAlignment="1">
      <alignment horizontal="right" indent="1"/>
    </xf>
    <xf numFmtId="3" fontId="14" fillId="27" borderId="33" xfId="52" applyNumberFormat="1" applyFill="1" applyBorder="1" applyAlignment="1">
      <alignment horizontal="right" indent="1"/>
    </xf>
    <xf numFmtId="3" fontId="14" fillId="31" borderId="36" xfId="52" applyNumberFormat="1" applyFill="1" applyBorder="1" applyAlignment="1">
      <alignment horizontal="right" indent="1"/>
    </xf>
    <xf numFmtId="3" fontId="14" fillId="27" borderId="36" xfId="52" applyNumberFormat="1" applyFill="1" applyBorder="1" applyAlignment="1">
      <alignment horizontal="right" indent="1"/>
    </xf>
    <xf numFmtId="3" fontId="4" fillId="0" borderId="11" xfId="52" applyNumberFormat="1" applyFont="1" applyBorder="1" applyAlignment="1">
      <alignment horizontal="right" indent="1"/>
    </xf>
    <xf numFmtId="3" fontId="14" fillId="0" borderId="35" xfId="52" applyNumberFormat="1" applyBorder="1" applyAlignment="1">
      <alignment horizontal="right" indent="1"/>
    </xf>
    <xf numFmtId="3" fontId="14" fillId="0" borderId="22" xfId="52" applyNumberFormat="1" applyBorder="1" applyAlignment="1">
      <alignment horizontal="right" indent="1"/>
    </xf>
    <xf numFmtId="0" fontId="14" fillId="34" borderId="0" xfId="52" applyFill="1" applyAlignment="1">
      <alignment vertical="center"/>
    </xf>
    <xf numFmtId="0" fontId="14" fillId="0" borderId="0" xfId="52" applyAlignment="1">
      <alignment vertical="center"/>
    </xf>
    <xf numFmtId="0" fontId="28" fillId="27" borderId="74" xfId="52" applyFont="1" applyFill="1" applyBorder="1" applyAlignment="1">
      <alignment vertical="center"/>
    </xf>
    <xf numFmtId="0" fontId="28" fillId="31" borderId="76" xfId="52" applyFont="1" applyFill="1" applyBorder="1" applyAlignment="1">
      <alignment vertical="center"/>
    </xf>
    <xf numFmtId="0" fontId="28" fillId="27" borderId="76" xfId="52" applyFont="1" applyFill="1" applyBorder="1" applyAlignment="1">
      <alignment vertical="center"/>
    </xf>
    <xf numFmtId="0" fontId="28" fillId="31" borderId="79" xfId="52" applyFont="1" applyFill="1" applyBorder="1" applyAlignment="1">
      <alignment vertical="center"/>
    </xf>
    <xf numFmtId="182" fontId="14" fillId="34" borderId="0" xfId="109" applyNumberFormat="1" applyFont="1" applyFill="1"/>
    <xf numFmtId="179" fontId="14" fillId="34" borderId="0" xfId="52" applyNumberFormat="1" applyFill="1"/>
    <xf numFmtId="3" fontId="4" fillId="31" borderId="36" xfId="52" applyNumberFormat="1" applyFont="1" applyFill="1" applyBorder="1" applyAlignment="1">
      <alignment horizontal="center"/>
    </xf>
    <xf numFmtId="3" fontId="28" fillId="31" borderId="22" xfId="52" applyNumberFormat="1" applyFont="1" applyFill="1" applyBorder="1" applyAlignment="1">
      <alignment horizontal="center"/>
    </xf>
    <xf numFmtId="3" fontId="28" fillId="31" borderId="34" xfId="52" applyNumberFormat="1" applyFont="1" applyFill="1" applyBorder="1" applyAlignment="1">
      <alignment horizontal="center"/>
    </xf>
    <xf numFmtId="3" fontId="14" fillId="31" borderId="17" xfId="52" applyNumberFormat="1" applyFill="1" applyBorder="1" applyAlignment="1">
      <alignment horizontal="center"/>
    </xf>
    <xf numFmtId="3" fontId="4" fillId="27" borderId="36" xfId="52" applyNumberFormat="1" applyFont="1" applyFill="1" applyBorder="1" applyAlignment="1">
      <alignment horizontal="center"/>
    </xf>
    <xf numFmtId="3" fontId="28" fillId="27" borderId="22" xfId="52" applyNumberFormat="1" applyFont="1" applyFill="1" applyBorder="1" applyAlignment="1">
      <alignment horizontal="center"/>
    </xf>
    <xf numFmtId="3" fontId="28" fillId="27" borderId="34" xfId="52" applyNumberFormat="1" applyFont="1" applyFill="1" applyBorder="1" applyAlignment="1">
      <alignment horizontal="center"/>
    </xf>
    <xf numFmtId="3" fontId="14" fillId="27" borderId="17" xfId="52" applyNumberFormat="1" applyFill="1" applyBorder="1" applyAlignment="1">
      <alignment horizontal="center"/>
    </xf>
    <xf numFmtId="3" fontId="14" fillId="31" borderId="35" xfId="52" applyNumberFormat="1" applyFill="1" applyBorder="1" applyAlignment="1">
      <alignment horizontal="center"/>
    </xf>
    <xf numFmtId="3" fontId="14" fillId="27" borderId="35" xfId="52" applyNumberFormat="1" applyFill="1" applyBorder="1" applyAlignment="1">
      <alignment horizontal="center"/>
    </xf>
    <xf numFmtId="3" fontId="4" fillId="0" borderId="36" xfId="52" applyNumberFormat="1" applyFont="1" applyBorder="1" applyAlignment="1">
      <alignment horizontal="center"/>
    </xf>
    <xf numFmtId="3" fontId="28" fillId="0" borderId="22" xfId="52" applyNumberFormat="1" applyFont="1" applyBorder="1" applyAlignment="1">
      <alignment horizontal="center"/>
    </xf>
    <xf numFmtId="3" fontId="14" fillId="0" borderId="35" xfId="52" applyNumberFormat="1" applyBorder="1" applyAlignment="1">
      <alignment horizontal="center"/>
    </xf>
    <xf numFmtId="3" fontId="14" fillId="0" borderId="22" xfId="52" applyNumberFormat="1" applyBorder="1" applyAlignment="1">
      <alignment horizontal="center"/>
    </xf>
    <xf numFmtId="3" fontId="28" fillId="0" borderId="34" xfId="52" applyNumberFormat="1" applyFont="1" applyBorder="1" applyAlignment="1">
      <alignment horizontal="center"/>
    </xf>
    <xf numFmtId="3" fontId="14" fillId="0" borderId="17" xfId="52" applyNumberFormat="1" applyBorder="1" applyAlignment="1">
      <alignment horizontal="center"/>
    </xf>
    <xf numFmtId="1" fontId="14" fillId="0" borderId="0" xfId="52" applyNumberFormat="1"/>
    <xf numFmtId="3" fontId="4" fillId="0" borderId="63" xfId="52" applyNumberFormat="1" applyFont="1" applyBorder="1" applyAlignment="1">
      <alignment horizontal="center"/>
    </xf>
    <xf numFmtId="3" fontId="14" fillId="0" borderId="38" xfId="52" applyNumberFormat="1" applyBorder="1" applyAlignment="1">
      <alignment horizontal="center"/>
    </xf>
    <xf numFmtId="3" fontId="28" fillId="0" borderId="46" xfId="52" applyNumberFormat="1" applyFont="1" applyBorder="1" applyAlignment="1">
      <alignment horizontal="center"/>
    </xf>
    <xf numFmtId="3" fontId="14" fillId="0" borderId="43" xfId="52" applyNumberFormat="1" applyBorder="1" applyAlignment="1">
      <alignment horizontal="center"/>
    </xf>
    <xf numFmtId="3" fontId="14" fillId="0" borderId="20" xfId="52" applyNumberFormat="1" applyBorder="1" applyAlignment="1">
      <alignment horizontal="center"/>
    </xf>
    <xf numFmtId="9" fontId="28" fillId="31" borderId="11" xfId="109" applyFont="1" applyFill="1" applyBorder="1" applyAlignment="1">
      <alignment horizontal="center" vertical="center"/>
    </xf>
    <xf numFmtId="9" fontId="28" fillId="31" borderId="39" xfId="109" applyFont="1" applyFill="1" applyBorder="1" applyAlignment="1">
      <alignment horizontal="center" vertical="center"/>
    </xf>
    <xf numFmtId="9" fontId="28" fillId="0" borderId="68" xfId="109" applyFont="1" applyFill="1" applyBorder="1" applyAlignment="1">
      <alignment horizontal="center" vertical="center"/>
    </xf>
    <xf numFmtId="9" fontId="28" fillId="0" borderId="59" xfId="109" applyFont="1" applyFill="1" applyBorder="1" applyAlignment="1">
      <alignment horizontal="center" vertical="center"/>
    </xf>
    <xf numFmtId="9" fontId="28" fillId="34" borderId="0" xfId="109" applyFont="1" applyFill="1" applyBorder="1" applyAlignment="1">
      <alignment horizontal="center" vertical="center"/>
    </xf>
    <xf numFmtId="9" fontId="28" fillId="0" borderId="76" xfId="109" applyFont="1" applyFill="1" applyBorder="1" applyAlignment="1">
      <alignment horizontal="center" vertical="center"/>
    </xf>
    <xf numFmtId="9" fontId="28" fillId="31" borderId="81" xfId="109" applyFont="1" applyFill="1" applyBorder="1" applyAlignment="1">
      <alignment horizontal="center" vertical="center"/>
    </xf>
    <xf numFmtId="9" fontId="28" fillId="31" borderId="56" xfId="109" applyFont="1" applyFill="1" applyBorder="1" applyAlignment="1">
      <alignment horizontal="center" vertical="center"/>
    </xf>
    <xf numFmtId="9" fontId="28" fillId="31" borderId="82" xfId="109" applyFont="1" applyFill="1" applyBorder="1" applyAlignment="1">
      <alignment horizontal="center" vertical="center"/>
    </xf>
    <xf numFmtId="9" fontId="28" fillId="31" borderId="53" xfId="109" applyFont="1" applyFill="1" applyBorder="1" applyAlignment="1">
      <alignment horizontal="center" vertical="center"/>
    </xf>
    <xf numFmtId="9" fontId="28" fillId="0" borderId="14" xfId="109" applyFont="1" applyFill="1" applyBorder="1" applyAlignment="1">
      <alignment horizontal="center" vertical="center"/>
    </xf>
    <xf numFmtId="9" fontId="28" fillId="0" borderId="42" xfId="109" applyFont="1" applyFill="1" applyBorder="1" applyAlignment="1">
      <alignment horizontal="center" vertical="center"/>
    </xf>
    <xf numFmtId="9" fontId="28" fillId="0" borderId="52" xfId="109" applyFont="1" applyFill="1" applyBorder="1" applyAlignment="1">
      <alignment horizontal="center" vertical="center"/>
    </xf>
    <xf numFmtId="9" fontId="14" fillId="34" borderId="0" xfId="109" applyFill="1" applyBorder="1" applyAlignment="1">
      <alignment vertical="center"/>
    </xf>
    <xf numFmtId="9" fontId="28" fillId="0" borderId="46" xfId="109" applyFont="1" applyFill="1" applyBorder="1" applyAlignment="1">
      <alignment horizontal="center" vertical="center"/>
    </xf>
    <xf numFmtId="9" fontId="28" fillId="34" borderId="0" xfId="109" applyFont="1" applyFill="1" applyAlignment="1">
      <alignment horizontal="center"/>
    </xf>
    <xf numFmtId="9" fontId="4" fillId="34" borderId="0" xfId="109" applyFont="1" applyFill="1" applyAlignment="1">
      <alignment horizontal="center"/>
    </xf>
    <xf numFmtId="9" fontId="14" fillId="34" borderId="0" xfId="109" applyFill="1"/>
    <xf numFmtId="3" fontId="14" fillId="34" borderId="0" xfId="52" applyNumberFormat="1" applyFill="1"/>
    <xf numFmtId="3" fontId="4" fillId="31" borderId="34" xfId="52" applyNumberFormat="1" applyFont="1" applyFill="1" applyBorder="1" applyAlignment="1">
      <alignment horizontal="center"/>
    </xf>
    <xf numFmtId="3" fontId="4" fillId="27" borderId="34" xfId="52" applyNumberFormat="1" applyFont="1" applyFill="1" applyBorder="1" applyAlignment="1">
      <alignment horizontal="center"/>
    </xf>
    <xf numFmtId="3" fontId="4" fillId="0" borderId="11" xfId="52" applyNumberFormat="1" applyFont="1" applyBorder="1" applyAlignment="1">
      <alignment horizontal="center"/>
    </xf>
    <xf numFmtId="3" fontId="14" fillId="0" borderId="33" xfId="52" applyNumberFormat="1" applyBorder="1" applyAlignment="1">
      <alignment horizontal="center"/>
    </xf>
    <xf numFmtId="0" fontId="28" fillId="0" borderId="74" xfId="52" applyFont="1" applyBorder="1" applyAlignment="1">
      <alignment horizontal="left" vertical="center" wrapText="1"/>
    </xf>
    <xf numFmtId="0" fontId="28" fillId="31" borderId="82" xfId="52" applyFont="1" applyFill="1" applyBorder="1" applyAlignment="1">
      <alignment horizontal="left" vertical="center" wrapText="1"/>
    </xf>
    <xf numFmtId="0" fontId="28" fillId="0" borderId="76" xfId="52" applyFont="1" applyBorder="1" applyAlignment="1">
      <alignment horizontal="left" vertical="center" wrapText="1"/>
    </xf>
    <xf numFmtId="0" fontId="28" fillId="31" borderId="79" xfId="52" applyFont="1" applyFill="1" applyBorder="1" applyAlignment="1">
      <alignment horizontal="left" vertical="center" wrapText="1"/>
    </xf>
    <xf numFmtId="172" fontId="4" fillId="31" borderId="11" xfId="52" applyNumberFormat="1" applyFont="1" applyFill="1" applyBorder="1" applyAlignment="1">
      <alignment horizontal="right" indent="1"/>
    </xf>
    <xf numFmtId="172" fontId="14" fillId="31" borderId="22" xfId="52" applyNumberFormat="1" applyFill="1" applyBorder="1" applyAlignment="1">
      <alignment horizontal="right" indent="1"/>
    </xf>
    <xf numFmtId="172" fontId="14" fillId="31" borderId="17" xfId="52" applyNumberFormat="1" applyFill="1" applyBorder="1" applyAlignment="1">
      <alignment horizontal="right" indent="1"/>
    </xf>
    <xf numFmtId="172" fontId="14" fillId="31" borderId="11" xfId="52" applyNumberFormat="1" applyFill="1" applyBorder="1" applyAlignment="1">
      <alignment horizontal="right" indent="1"/>
    </xf>
    <xf numFmtId="172" fontId="14" fillId="31" borderId="0" xfId="52" applyNumberFormat="1" applyFill="1" applyAlignment="1">
      <alignment horizontal="right" indent="1"/>
    </xf>
    <xf numFmtId="172" fontId="14" fillId="27" borderId="17" xfId="52" applyNumberFormat="1" applyFill="1" applyBorder="1" applyAlignment="1">
      <alignment horizontal="right" indent="1"/>
    </xf>
    <xf numFmtId="172" fontId="14" fillId="27" borderId="11" xfId="52" applyNumberFormat="1" applyFill="1" applyBorder="1" applyAlignment="1">
      <alignment horizontal="right" indent="1"/>
    </xf>
    <xf numFmtId="169" fontId="14" fillId="27" borderId="22" xfId="52" applyNumberFormat="1" applyFill="1" applyBorder="1" applyAlignment="1">
      <alignment horizontal="right" indent="1"/>
    </xf>
    <xf numFmtId="169" fontId="14" fillId="31" borderId="22" xfId="52" applyNumberFormat="1" applyFill="1" applyBorder="1" applyAlignment="1">
      <alignment horizontal="right" indent="1"/>
    </xf>
    <xf numFmtId="172" fontId="14" fillId="34" borderId="22" xfId="52" applyNumberFormat="1" applyFill="1" applyBorder="1"/>
    <xf numFmtId="172" fontId="14" fillId="34" borderId="17" xfId="52" applyNumberFormat="1" applyFill="1" applyBorder="1"/>
    <xf numFmtId="0" fontId="40" fillId="0" borderId="0" xfId="52" applyFont="1" applyAlignment="1">
      <alignment horizontal="center"/>
    </xf>
    <xf numFmtId="10" fontId="0" fillId="0" borderId="0" xfId="109" applyNumberFormat="1" applyFont="1"/>
    <xf numFmtId="172" fontId="4" fillId="31" borderId="36" xfId="52" applyNumberFormat="1" applyFont="1" applyFill="1" applyBorder="1" applyAlignment="1">
      <alignment horizontal="right" indent="1"/>
    </xf>
    <xf numFmtId="172" fontId="28" fillId="31" borderId="35" xfId="52" applyNumberFormat="1" applyFont="1" applyFill="1" applyBorder="1" applyAlignment="1">
      <alignment horizontal="right" indent="1"/>
    </xf>
    <xf numFmtId="172" fontId="14" fillId="31" borderId="35" xfId="52" applyNumberFormat="1" applyFill="1" applyBorder="1" applyAlignment="1">
      <alignment horizontal="right" indent="1"/>
    </xf>
    <xf numFmtId="172" fontId="28" fillId="31" borderId="37" xfId="52" applyNumberFormat="1" applyFont="1" applyFill="1" applyBorder="1" applyAlignment="1">
      <alignment horizontal="right" indent="1"/>
    </xf>
    <xf numFmtId="172" fontId="14" fillId="31" borderId="36" xfId="52" applyNumberFormat="1" applyFill="1" applyBorder="1" applyAlignment="1">
      <alignment horizontal="right" indent="1"/>
    </xf>
    <xf numFmtId="172" fontId="4" fillId="27" borderId="36" xfId="52" applyNumberFormat="1" applyFont="1" applyFill="1" applyBorder="1" applyAlignment="1">
      <alignment horizontal="right" indent="1"/>
    </xf>
    <xf numFmtId="172" fontId="28" fillId="27" borderId="35" xfId="52" applyNumberFormat="1" applyFont="1" applyFill="1" applyBorder="1" applyAlignment="1">
      <alignment horizontal="right" indent="1"/>
    </xf>
    <xf numFmtId="172" fontId="28" fillId="34" borderId="37" xfId="52" applyNumberFormat="1" applyFont="1" applyFill="1" applyBorder="1" applyAlignment="1">
      <alignment horizontal="right" indent="1"/>
    </xf>
    <xf numFmtId="172" fontId="14" fillId="27" borderId="36" xfId="52" applyNumberFormat="1" applyFill="1" applyBorder="1" applyAlignment="1">
      <alignment horizontal="right" indent="1"/>
    </xf>
    <xf numFmtId="10" fontId="14" fillId="0" borderId="0" xfId="52" applyNumberFormat="1"/>
    <xf numFmtId="167" fontId="14" fillId="0" borderId="0" xfId="52" applyNumberFormat="1"/>
    <xf numFmtId="168" fontId="14" fillId="0" borderId="0" xfId="52" applyNumberFormat="1"/>
    <xf numFmtId="10" fontId="4" fillId="0" borderId="0" xfId="109" applyNumberFormat="1" applyFont="1" applyAlignment="1">
      <alignment horizontal="center"/>
    </xf>
    <xf numFmtId="10" fontId="4" fillId="0" borderId="0" xfId="109" applyNumberFormat="1" applyFont="1" applyFill="1" applyAlignment="1">
      <alignment horizontal="center"/>
    </xf>
    <xf numFmtId="172" fontId="28" fillId="27" borderId="0" xfId="52" applyNumberFormat="1" applyFont="1" applyFill="1" applyAlignment="1">
      <alignment horizontal="right" indent="1"/>
    </xf>
    <xf numFmtId="172" fontId="28" fillId="31" borderId="0" xfId="52" applyNumberFormat="1" applyFont="1" applyFill="1" applyAlignment="1">
      <alignment horizontal="right" indent="1"/>
    </xf>
    <xf numFmtId="0" fontId="14" fillId="0" borderId="37" xfId="52" applyBorder="1" applyAlignment="1">
      <alignment horizontal="center"/>
    </xf>
    <xf numFmtId="172" fontId="4" fillId="0" borderId="36" xfId="52" applyNumberFormat="1" applyFont="1" applyBorder="1" applyAlignment="1">
      <alignment horizontal="right" indent="1"/>
    </xf>
    <xf numFmtId="172" fontId="28" fillId="0" borderId="0" xfId="52" applyNumberFormat="1" applyFont="1" applyAlignment="1">
      <alignment horizontal="right" indent="1"/>
    </xf>
    <xf numFmtId="172" fontId="14" fillId="0" borderId="22" xfId="52" applyNumberFormat="1" applyBorder="1" applyAlignment="1">
      <alignment horizontal="right" indent="1"/>
    </xf>
    <xf numFmtId="172" fontId="14" fillId="0" borderId="0" xfId="52" applyNumberFormat="1" applyAlignment="1">
      <alignment horizontal="right" indent="1"/>
    </xf>
    <xf numFmtId="172" fontId="14" fillId="0" borderId="35" xfId="52" applyNumberFormat="1" applyBorder="1" applyAlignment="1">
      <alignment horizontal="right" indent="1"/>
    </xf>
    <xf numFmtId="172" fontId="14" fillId="0" borderId="36" xfId="52" applyNumberFormat="1" applyBorder="1" applyAlignment="1">
      <alignment horizontal="right" indent="1"/>
    </xf>
    <xf numFmtId="172" fontId="28" fillId="0" borderId="37" xfId="52" applyNumberFormat="1" applyFont="1" applyBorder="1" applyAlignment="1">
      <alignment horizontal="right" indent="1"/>
    </xf>
    <xf numFmtId="10" fontId="4" fillId="34" borderId="0" xfId="109" applyNumberFormat="1" applyFont="1" applyFill="1" applyAlignment="1">
      <alignment horizontal="center"/>
    </xf>
    <xf numFmtId="173" fontId="14" fillId="34" borderId="0" xfId="109" applyNumberFormat="1" applyFont="1" applyFill="1" applyAlignment="1">
      <alignment horizontal="center"/>
    </xf>
    <xf numFmtId="172" fontId="14" fillId="31" borderId="33" xfId="52" applyNumberFormat="1" applyFill="1" applyBorder="1" applyAlignment="1">
      <alignment horizontal="right" indent="1"/>
    </xf>
    <xf numFmtId="9" fontId="14" fillId="34" borderId="0" xfId="109" applyFont="1" applyFill="1"/>
    <xf numFmtId="172" fontId="14" fillId="0" borderId="33" xfId="52" applyNumberFormat="1" applyBorder="1" applyAlignment="1">
      <alignment horizontal="right" indent="1"/>
    </xf>
    <xf numFmtId="0" fontId="14" fillId="0" borderId="0" xfId="52" applyAlignment="1">
      <alignment horizontal="centerContinuous"/>
    </xf>
    <xf numFmtId="172" fontId="4" fillId="31" borderId="11" xfId="52" applyNumberFormat="1" applyFont="1" applyFill="1" applyBorder="1"/>
    <xf numFmtId="172" fontId="14" fillId="31" borderId="11" xfId="52" applyNumberFormat="1" applyFill="1" applyBorder="1"/>
    <xf numFmtId="172" fontId="4" fillId="0" borderId="11" xfId="52" applyNumberFormat="1" applyFont="1" applyBorder="1"/>
    <xf numFmtId="172" fontId="14" fillId="0" borderId="11" xfId="52" applyNumberFormat="1" applyBorder="1"/>
    <xf numFmtId="9" fontId="5" fillId="31" borderId="64" xfId="109" applyFont="1" applyFill="1" applyBorder="1" applyAlignment="1">
      <alignment horizontal="center" vertical="center"/>
    </xf>
    <xf numFmtId="9" fontId="5" fillId="31" borderId="23" xfId="109" applyFont="1" applyFill="1" applyBorder="1" applyAlignment="1">
      <alignment horizontal="center" vertical="center"/>
    </xf>
    <xf numFmtId="9" fontId="5" fillId="31" borderId="75" xfId="109" applyFont="1" applyFill="1" applyBorder="1" applyAlignment="1">
      <alignment horizontal="center" vertical="center"/>
    </xf>
    <xf numFmtId="9" fontId="5" fillId="31" borderId="83" xfId="109" applyFont="1" applyFill="1" applyBorder="1" applyAlignment="1">
      <alignment horizontal="center" vertical="center"/>
    </xf>
    <xf numFmtId="9" fontId="5" fillId="27" borderId="68" xfId="109" applyFont="1" applyFill="1" applyBorder="1" applyAlignment="1">
      <alignment horizontal="center" vertical="center"/>
    </xf>
    <xf numFmtId="9" fontId="5" fillId="27" borderId="24" xfId="109" applyFont="1" applyFill="1" applyBorder="1" applyAlignment="1">
      <alignment horizontal="center" vertical="center"/>
    </xf>
    <xf numFmtId="9" fontId="5" fillId="27" borderId="78" xfId="109" applyFont="1" applyFill="1" applyBorder="1" applyAlignment="1">
      <alignment horizontal="center" vertical="center"/>
    </xf>
    <xf numFmtId="9" fontId="5" fillId="27" borderId="58" xfId="109" applyFont="1" applyFill="1" applyBorder="1" applyAlignment="1">
      <alignment horizontal="center" vertical="center"/>
    </xf>
    <xf numFmtId="9" fontId="5" fillId="31" borderId="68" xfId="109" applyFont="1" applyFill="1" applyBorder="1" applyAlignment="1">
      <alignment horizontal="center" vertical="center"/>
    </xf>
    <xf numFmtId="9" fontId="5" fillId="31" borderId="24" xfId="109" applyFont="1" applyFill="1" applyBorder="1" applyAlignment="1">
      <alignment horizontal="center" vertical="center"/>
    </xf>
    <xf numFmtId="9" fontId="5" fillId="31" borderId="78" xfId="109" applyFont="1" applyFill="1" applyBorder="1" applyAlignment="1">
      <alignment horizontal="center" vertical="center"/>
    </xf>
    <xf numFmtId="9" fontId="5" fillId="31" borderId="58" xfId="109" applyFont="1" applyFill="1" applyBorder="1" applyAlignment="1">
      <alignment horizontal="center" vertical="center"/>
    </xf>
    <xf numFmtId="9" fontId="5" fillId="27" borderId="70" xfId="109" applyFont="1" applyFill="1" applyBorder="1" applyAlignment="1">
      <alignment horizontal="center" vertical="center"/>
    </xf>
    <xf numFmtId="9" fontId="5" fillId="27" borderId="61" xfId="109" applyFont="1" applyFill="1" applyBorder="1" applyAlignment="1">
      <alignment horizontal="center" vertical="center"/>
    </xf>
    <xf numFmtId="9" fontId="5" fillId="27" borderId="84" xfId="109" applyFont="1" applyFill="1" applyBorder="1" applyAlignment="1">
      <alignment horizontal="center" vertical="center"/>
    </xf>
    <xf numFmtId="9" fontId="5" fillId="27" borderId="60" xfId="109" applyFont="1" applyFill="1" applyBorder="1" applyAlignment="1">
      <alignment horizontal="center" vertical="center"/>
    </xf>
    <xf numFmtId="182" fontId="14" fillId="0" borderId="0" xfId="109" applyNumberFormat="1" applyFont="1"/>
    <xf numFmtId="0" fontId="29" fillId="0" borderId="0" xfId="52" applyFont="1"/>
    <xf numFmtId="0" fontId="14" fillId="31" borderId="33" xfId="52" applyFill="1" applyBorder="1" applyAlignment="1">
      <alignment horizontal="center"/>
    </xf>
    <xf numFmtId="172" fontId="14" fillId="31" borderId="36" xfId="52" applyNumberFormat="1" applyFill="1" applyBorder="1"/>
    <xf numFmtId="172" fontId="14" fillId="31" borderId="0" xfId="52" applyNumberFormat="1" applyFill="1"/>
    <xf numFmtId="172" fontId="14" fillId="31" borderId="22" xfId="52" applyNumberFormat="1" applyFill="1" applyBorder="1"/>
    <xf numFmtId="172" fontId="14" fillId="31" borderId="17" xfId="52" applyNumberFormat="1" applyFill="1" applyBorder="1"/>
    <xf numFmtId="180" fontId="0" fillId="0" borderId="0" xfId="38" applyNumberFormat="1" applyFont="1"/>
    <xf numFmtId="0" fontId="14" fillId="27" borderId="33" xfId="52" applyFill="1" applyBorder="1" applyAlignment="1">
      <alignment horizontal="center"/>
    </xf>
    <xf numFmtId="172" fontId="4" fillId="27" borderId="11" xfId="52" applyNumberFormat="1" applyFont="1" applyFill="1" applyBorder="1"/>
    <xf numFmtId="0" fontId="14" fillId="0" borderId="33" xfId="52" applyBorder="1" applyAlignment="1">
      <alignment horizontal="center"/>
    </xf>
    <xf numFmtId="172" fontId="14" fillId="0" borderId="36" xfId="52" applyNumberFormat="1" applyBorder="1"/>
    <xf numFmtId="172" fontId="4" fillId="31" borderId="37" xfId="52" applyNumberFormat="1" applyFont="1" applyFill="1" applyBorder="1"/>
    <xf numFmtId="172" fontId="14" fillId="31" borderId="34" xfId="52" applyNumberFormat="1" applyFill="1" applyBorder="1"/>
    <xf numFmtId="172" fontId="4" fillId="27" borderId="37" xfId="52" applyNumberFormat="1" applyFont="1" applyFill="1" applyBorder="1"/>
    <xf numFmtId="172" fontId="14" fillId="27" borderId="34" xfId="52" applyNumberFormat="1" applyFill="1" applyBorder="1"/>
    <xf numFmtId="172" fontId="4" fillId="0" borderId="37" xfId="52" applyNumberFormat="1" applyFont="1" applyBorder="1"/>
    <xf numFmtId="172" fontId="14" fillId="0" borderId="34" xfId="52" applyNumberFormat="1" applyBorder="1"/>
    <xf numFmtId="0" fontId="14" fillId="0" borderId="0" xfId="105"/>
    <xf numFmtId="172" fontId="4" fillId="31" borderId="11" xfId="52" applyNumberFormat="1" applyFont="1" applyFill="1" applyBorder="1" applyAlignment="1">
      <alignment horizontal="center"/>
    </xf>
    <xf numFmtId="172" fontId="14" fillId="31" borderId="22" xfId="52" applyNumberFormat="1" applyFill="1" applyBorder="1" applyAlignment="1">
      <alignment horizontal="center"/>
    </xf>
    <xf numFmtId="172" fontId="14" fillId="31" borderId="0" xfId="52" applyNumberFormat="1" applyFill="1" applyAlignment="1">
      <alignment horizontal="center"/>
    </xf>
    <xf numFmtId="172" fontId="14" fillId="31" borderId="11" xfId="52" applyNumberFormat="1" applyFill="1" applyBorder="1" applyAlignment="1">
      <alignment horizontal="center"/>
    </xf>
    <xf numFmtId="172" fontId="14" fillId="31" borderId="35" xfId="52" applyNumberFormat="1" applyFill="1" applyBorder="1" applyAlignment="1">
      <alignment horizontal="center"/>
    </xf>
    <xf numFmtId="172" fontId="14" fillId="31" borderId="17" xfId="52" applyNumberFormat="1" applyFill="1" applyBorder="1" applyAlignment="1">
      <alignment horizontal="center"/>
    </xf>
    <xf numFmtId="172" fontId="4" fillId="27" borderId="11" xfId="52" applyNumberFormat="1" applyFont="1" applyFill="1" applyBorder="1" applyAlignment="1">
      <alignment horizontal="center"/>
    </xf>
    <xf numFmtId="172" fontId="14" fillId="27" borderId="22" xfId="52" applyNumberFormat="1" applyFill="1" applyBorder="1" applyAlignment="1">
      <alignment horizontal="center"/>
    </xf>
    <xf numFmtId="172" fontId="14" fillId="27" borderId="0" xfId="52" applyNumberFormat="1" applyFill="1" applyAlignment="1">
      <alignment horizontal="center"/>
    </xf>
    <xf numFmtId="172" fontId="14" fillId="27" borderId="11" xfId="52" applyNumberFormat="1" applyFill="1" applyBorder="1" applyAlignment="1">
      <alignment horizontal="center"/>
    </xf>
    <xf numFmtId="172" fontId="14" fillId="27" borderId="35" xfId="52" applyNumberFormat="1" applyFill="1" applyBorder="1" applyAlignment="1">
      <alignment horizontal="center"/>
    </xf>
    <xf numFmtId="172" fontId="14" fillId="27" borderId="17" xfId="52" applyNumberFormat="1" applyFill="1" applyBorder="1" applyAlignment="1">
      <alignment horizontal="center"/>
    </xf>
    <xf numFmtId="169" fontId="14" fillId="27" borderId="22" xfId="52" applyNumberFormat="1" applyFill="1" applyBorder="1" applyAlignment="1">
      <alignment horizontal="center"/>
    </xf>
    <xf numFmtId="169" fontId="14" fillId="31" borderId="22" xfId="52" applyNumberFormat="1" applyFill="1" applyBorder="1" applyAlignment="1">
      <alignment horizontal="center"/>
    </xf>
    <xf numFmtId="172" fontId="14" fillId="0" borderId="22" xfId="52" applyNumberFormat="1" applyBorder="1" applyAlignment="1">
      <alignment horizontal="center"/>
    </xf>
    <xf numFmtId="172" fontId="14" fillId="0" borderId="0" xfId="52" applyNumberFormat="1" applyAlignment="1">
      <alignment horizontal="center"/>
    </xf>
    <xf numFmtId="0" fontId="14" fillId="36" borderId="37" xfId="52" applyFill="1" applyBorder="1" applyAlignment="1">
      <alignment horizontal="center"/>
    </xf>
    <xf numFmtId="172" fontId="4" fillId="36" borderId="11" xfId="52" applyNumberFormat="1" applyFont="1" applyFill="1" applyBorder="1" applyAlignment="1">
      <alignment horizontal="center"/>
    </xf>
    <xf numFmtId="172" fontId="14" fillId="36" borderId="22" xfId="52" applyNumberFormat="1" applyFill="1" applyBorder="1" applyAlignment="1">
      <alignment horizontal="center"/>
    </xf>
    <xf numFmtId="172" fontId="14" fillId="36" borderId="0" xfId="52" applyNumberFormat="1" applyFill="1" applyAlignment="1">
      <alignment horizontal="center"/>
    </xf>
    <xf numFmtId="172" fontId="14" fillId="36" borderId="11" xfId="52" applyNumberFormat="1" applyFill="1" applyBorder="1" applyAlignment="1">
      <alignment horizontal="center"/>
    </xf>
    <xf numFmtId="172" fontId="14" fillId="36" borderId="35" xfId="52" applyNumberFormat="1" applyFill="1" applyBorder="1" applyAlignment="1">
      <alignment horizontal="center"/>
    </xf>
    <xf numFmtId="169" fontId="14" fillId="36" borderId="22" xfId="52" applyNumberFormat="1" applyFill="1" applyBorder="1" applyAlignment="1">
      <alignment horizontal="center"/>
    </xf>
    <xf numFmtId="172" fontId="14" fillId="36" borderId="17" xfId="52" applyNumberFormat="1" applyFill="1" applyBorder="1" applyAlignment="1">
      <alignment horizontal="center"/>
    </xf>
    <xf numFmtId="172" fontId="28" fillId="31" borderId="34" xfId="52" applyNumberFormat="1" applyFont="1" applyFill="1" applyBorder="1" applyAlignment="1">
      <alignment horizontal="center"/>
    </xf>
    <xf numFmtId="172" fontId="14" fillId="31" borderId="36" xfId="52" applyNumberFormat="1" applyFill="1" applyBorder="1" applyAlignment="1">
      <alignment horizontal="center"/>
    </xf>
    <xf numFmtId="172" fontId="28" fillId="27" borderId="34" xfId="52" applyNumberFormat="1" applyFont="1" applyFill="1" applyBorder="1" applyAlignment="1">
      <alignment horizontal="center"/>
    </xf>
    <xf numFmtId="172" fontId="14" fillId="27" borderId="36" xfId="52" applyNumberFormat="1" applyFill="1" applyBorder="1" applyAlignment="1">
      <alignment horizontal="center"/>
    </xf>
    <xf numFmtId="164" fontId="0" fillId="0" borderId="0" xfId="38" applyFont="1" applyFill="1" applyBorder="1" applyAlignment="1">
      <alignment horizontal="center"/>
    </xf>
    <xf numFmtId="172" fontId="4" fillId="0" borderId="11" xfId="52" applyNumberFormat="1" applyFont="1" applyBorder="1" applyAlignment="1">
      <alignment horizontal="center"/>
    </xf>
    <xf numFmtId="172" fontId="28" fillId="0" borderId="34" xfId="52" applyNumberFormat="1" applyFont="1" applyBorder="1" applyAlignment="1">
      <alignment horizontal="center"/>
    </xf>
    <xf numFmtId="172" fontId="14" fillId="0" borderId="36" xfId="52" applyNumberFormat="1" applyBorder="1" applyAlignment="1">
      <alignment horizontal="center"/>
    </xf>
    <xf numFmtId="172" fontId="14" fillId="0" borderId="17" xfId="52" applyNumberFormat="1" applyBorder="1" applyAlignment="1">
      <alignment horizontal="center"/>
    </xf>
    <xf numFmtId="172" fontId="28" fillId="36" borderId="34" xfId="52" applyNumberFormat="1" applyFont="1" applyFill="1" applyBorder="1" applyAlignment="1">
      <alignment horizontal="center"/>
    </xf>
    <xf numFmtId="172" fontId="14" fillId="36" borderId="36" xfId="52" applyNumberFormat="1" applyFill="1" applyBorder="1" applyAlignment="1">
      <alignment horizontal="center"/>
    </xf>
    <xf numFmtId="0" fontId="14" fillId="31" borderId="11" xfId="52" applyFill="1" applyBorder="1" applyAlignment="1">
      <alignment horizontal="center"/>
    </xf>
    <xf numFmtId="172" fontId="4" fillId="31" borderId="37" xfId="52" applyNumberFormat="1" applyFont="1" applyFill="1" applyBorder="1" applyAlignment="1">
      <alignment horizontal="center"/>
    </xf>
    <xf numFmtId="172" fontId="14" fillId="31" borderId="34" xfId="52" applyNumberFormat="1" applyFill="1" applyBorder="1" applyAlignment="1">
      <alignment horizontal="center"/>
    </xf>
    <xf numFmtId="172" fontId="4" fillId="27" borderId="37" xfId="52" applyNumberFormat="1" applyFont="1" applyFill="1" applyBorder="1" applyAlignment="1">
      <alignment horizontal="center"/>
    </xf>
    <xf numFmtId="172" fontId="14" fillId="27" borderId="34" xfId="52" applyNumberFormat="1" applyFill="1" applyBorder="1" applyAlignment="1">
      <alignment horizontal="center"/>
    </xf>
    <xf numFmtId="164" fontId="14" fillId="0" borderId="0" xfId="52" applyNumberFormat="1"/>
    <xf numFmtId="172" fontId="4" fillId="36" borderId="37" xfId="52" applyNumberFormat="1" applyFont="1" applyFill="1" applyBorder="1" applyAlignment="1">
      <alignment horizontal="center"/>
    </xf>
    <xf numFmtId="172" fontId="14" fillId="36" borderId="34" xfId="52" applyNumberFormat="1" applyFill="1" applyBorder="1" applyAlignment="1">
      <alignment horizontal="center"/>
    </xf>
    <xf numFmtId="0" fontId="14" fillId="26" borderId="36" xfId="52" applyFill="1" applyBorder="1"/>
    <xf numFmtId="0" fontId="14" fillId="26" borderId="0" xfId="52" applyFill="1"/>
    <xf numFmtId="0" fontId="14" fillId="26" borderId="35" xfId="52" applyFill="1" applyBorder="1"/>
    <xf numFmtId="1" fontId="14" fillId="26" borderId="86" xfId="52" applyNumberFormat="1" applyFill="1" applyBorder="1"/>
    <xf numFmtId="1" fontId="14" fillId="26" borderId="0" xfId="52" applyNumberFormat="1" applyFill="1"/>
    <xf numFmtId="1" fontId="14" fillId="26" borderId="87" xfId="52" applyNumberFormat="1" applyFill="1" applyBorder="1"/>
    <xf numFmtId="0" fontId="14" fillId="26" borderId="88" xfId="52" applyFill="1" applyBorder="1"/>
    <xf numFmtId="1" fontId="14" fillId="26" borderId="89" xfId="52" applyNumberFormat="1" applyFill="1" applyBorder="1"/>
    <xf numFmtId="1" fontId="14" fillId="26" borderId="90" xfId="52" applyNumberFormat="1" applyFill="1" applyBorder="1"/>
    <xf numFmtId="1" fontId="14" fillId="26" borderId="91" xfId="52" applyNumberFormat="1" applyFill="1" applyBorder="1"/>
    <xf numFmtId="0" fontId="14" fillId="26" borderId="92" xfId="52" applyFill="1" applyBorder="1"/>
    <xf numFmtId="0" fontId="14" fillId="26" borderId="45" xfId="52" applyFill="1" applyBorder="1"/>
    <xf numFmtId="10" fontId="0" fillId="26" borderId="93" xfId="109" applyNumberFormat="1" applyFont="1" applyFill="1" applyBorder="1"/>
    <xf numFmtId="0" fontId="14" fillId="26" borderId="93" xfId="52" applyFill="1" applyBorder="1"/>
    <xf numFmtId="169" fontId="63" fillId="0" borderId="0" xfId="52" applyNumberFormat="1" applyFont="1"/>
    <xf numFmtId="172" fontId="14" fillId="0" borderId="11" xfId="52" applyNumberFormat="1" applyBorder="1" applyAlignment="1">
      <alignment horizontal="center"/>
    </xf>
    <xf numFmtId="172" fontId="14" fillId="0" borderId="35" xfId="52" applyNumberFormat="1" applyBorder="1" applyAlignment="1">
      <alignment horizontal="center"/>
    </xf>
    <xf numFmtId="169" fontId="14" fillId="0" borderId="22" xfId="52" applyNumberFormat="1" applyBorder="1" applyAlignment="1">
      <alignment horizontal="center"/>
    </xf>
    <xf numFmtId="172" fontId="4" fillId="0" borderId="37" xfId="52" applyNumberFormat="1" applyFont="1" applyBorder="1" applyAlignment="1">
      <alignment horizontal="center"/>
    </xf>
    <xf numFmtId="172" fontId="14" fillId="0" borderId="34" xfId="52" applyNumberFormat="1" applyBorder="1" applyAlignment="1">
      <alignment horizontal="center"/>
    </xf>
    <xf numFmtId="0" fontId="14" fillId="28" borderId="35" xfId="52" applyFill="1" applyBorder="1" applyAlignment="1">
      <alignment horizontal="center"/>
    </xf>
    <xf numFmtId="0" fontId="14" fillId="28" borderId="22" xfId="52" applyFill="1" applyBorder="1" applyAlignment="1">
      <alignment horizontal="center"/>
    </xf>
    <xf numFmtId="0" fontId="14" fillId="0" borderId="22" xfId="52" applyBorder="1" applyAlignment="1">
      <alignment horizontal="center"/>
    </xf>
    <xf numFmtId="169" fontId="14" fillId="28" borderId="22" xfId="52" applyNumberFormat="1" applyFill="1" applyBorder="1" applyAlignment="1">
      <alignment horizontal="center"/>
    </xf>
    <xf numFmtId="0" fontId="14" fillId="0" borderId="15" xfId="52" applyBorder="1"/>
    <xf numFmtId="0" fontId="4" fillId="0" borderId="11" xfId="52" applyFont="1" applyBorder="1" applyAlignment="1">
      <alignment horizontal="center"/>
    </xf>
    <xf numFmtId="0" fontId="4" fillId="0" borderId="33" xfId="52" applyFont="1" applyBorder="1" applyAlignment="1">
      <alignment horizontal="center"/>
    </xf>
    <xf numFmtId="0" fontId="4" fillId="0" borderId="37" xfId="52" applyFont="1" applyBorder="1" applyAlignment="1">
      <alignment horizontal="center"/>
    </xf>
    <xf numFmtId="0" fontId="14" fillId="36" borderId="11" xfId="52" applyFill="1" applyBorder="1" applyAlignment="1">
      <alignment horizontal="center"/>
    </xf>
    <xf numFmtId="0" fontId="14" fillId="0" borderId="11" xfId="52" applyBorder="1" applyAlignment="1">
      <alignment horizontal="center"/>
    </xf>
    <xf numFmtId="9" fontId="15" fillId="36" borderId="39" xfId="109" applyFont="1" applyFill="1" applyBorder="1" applyAlignment="1">
      <alignment horizontal="center" vertical="center"/>
    </xf>
    <xf numFmtId="9" fontId="15" fillId="36" borderId="44" xfId="109" applyFont="1" applyFill="1" applyBorder="1" applyAlignment="1">
      <alignment horizontal="center" vertical="center"/>
    </xf>
    <xf numFmtId="9" fontId="15" fillId="36" borderId="62" xfId="109" applyFont="1" applyFill="1" applyBorder="1" applyAlignment="1">
      <alignment horizontal="center" vertical="center"/>
    </xf>
    <xf numFmtId="9" fontId="28" fillId="27" borderId="68" xfId="109" applyFont="1" applyFill="1" applyBorder="1" applyAlignment="1">
      <alignment horizontal="center" vertical="center"/>
    </xf>
    <xf numFmtId="9" fontId="15" fillId="27" borderId="59" xfId="109" applyFont="1" applyFill="1" applyBorder="1" applyAlignment="1">
      <alignment horizontal="center" vertical="center"/>
    </xf>
    <xf numFmtId="9" fontId="15" fillId="27" borderId="76" xfId="109" applyFont="1" applyFill="1" applyBorder="1" applyAlignment="1">
      <alignment horizontal="center" vertical="center"/>
    </xf>
    <xf numFmtId="9" fontId="28" fillId="36" borderId="68" xfId="109" applyFont="1" applyFill="1" applyBorder="1" applyAlignment="1">
      <alignment horizontal="center" vertical="center"/>
    </xf>
    <xf numFmtId="9" fontId="15" fillId="36" borderId="47" xfId="109" applyFont="1" applyFill="1" applyBorder="1" applyAlignment="1">
      <alignment horizontal="center" vertical="center"/>
    </xf>
    <xf numFmtId="9" fontId="15" fillId="36" borderId="59" xfId="109" applyFont="1" applyFill="1" applyBorder="1" applyAlignment="1">
      <alignment horizontal="center" vertical="center"/>
    </xf>
    <xf numFmtId="9" fontId="15" fillId="36" borderId="76" xfId="109" applyFont="1" applyFill="1" applyBorder="1" applyAlignment="1">
      <alignment horizontal="center" vertical="center"/>
    </xf>
    <xf numFmtId="9" fontId="28" fillId="27" borderId="14" xfId="109" applyFont="1" applyFill="1" applyBorder="1" applyAlignment="1">
      <alignment horizontal="center" vertical="center"/>
    </xf>
    <xf numFmtId="9" fontId="15" fillId="27" borderId="46" xfId="109" applyFont="1" applyFill="1" applyBorder="1" applyAlignment="1">
      <alignment horizontal="center" vertical="center"/>
    </xf>
    <xf numFmtId="9" fontId="15" fillId="27" borderId="42" xfId="109" applyFont="1" applyFill="1" applyBorder="1" applyAlignment="1">
      <alignment horizontal="center" vertical="center"/>
    </xf>
    <xf numFmtId="9" fontId="15" fillId="27" borderId="52" xfId="109" applyFont="1" applyFill="1" applyBorder="1" applyAlignment="1">
      <alignment horizontal="center" vertical="center"/>
    </xf>
    <xf numFmtId="0" fontId="21" fillId="34" borderId="0" xfId="52" applyFont="1" applyFill="1" applyAlignment="1">
      <alignment horizontal="left"/>
    </xf>
    <xf numFmtId="2" fontId="14" fillId="0" borderId="0" xfId="52" applyNumberFormat="1"/>
    <xf numFmtId="0" fontId="14" fillId="27" borderId="37" xfId="52" applyFill="1" applyBorder="1" applyAlignment="1">
      <alignment horizontal="center" vertical="center"/>
    </xf>
    <xf numFmtId="172" fontId="14" fillId="27" borderId="11" xfId="52" applyNumberFormat="1" applyFill="1" applyBorder="1" applyAlignment="1">
      <alignment horizontal="right" vertical="center" indent="1"/>
    </xf>
    <xf numFmtId="172" fontId="14" fillId="27" borderId="35" xfId="52" applyNumberFormat="1" applyFill="1" applyBorder="1" applyAlignment="1">
      <alignment horizontal="right" vertical="center" indent="1"/>
    </xf>
    <xf numFmtId="172" fontId="14" fillId="27" borderId="37" xfId="52" applyNumberFormat="1" applyFill="1" applyBorder="1" applyAlignment="1">
      <alignment horizontal="right" vertical="center" indent="1"/>
    </xf>
    <xf numFmtId="172" fontId="21" fillId="27" borderId="37" xfId="52" applyNumberFormat="1" applyFont="1" applyFill="1" applyBorder="1" applyAlignment="1">
      <alignment horizontal="right" indent="1"/>
    </xf>
    <xf numFmtId="0" fontId="14" fillId="36" borderId="37" xfId="52" applyFill="1" applyBorder="1" applyAlignment="1">
      <alignment horizontal="center" vertical="center"/>
    </xf>
    <xf numFmtId="172" fontId="14" fillId="36" borderId="11" xfId="52" applyNumberFormat="1" applyFill="1" applyBorder="1" applyAlignment="1">
      <alignment horizontal="right" vertical="center" indent="1"/>
    </xf>
    <xf numFmtId="172" fontId="14" fillId="36" borderId="35" xfId="52" applyNumberFormat="1" applyFill="1" applyBorder="1" applyAlignment="1">
      <alignment horizontal="right" vertical="center" indent="1"/>
    </xf>
    <xf numFmtId="172" fontId="14" fillId="36" borderId="37" xfId="52" applyNumberFormat="1" applyFill="1" applyBorder="1" applyAlignment="1">
      <alignment horizontal="right" vertical="center" indent="1"/>
    </xf>
    <xf numFmtId="172" fontId="14" fillId="36" borderId="11" xfId="52" applyNumberFormat="1" applyFill="1" applyBorder="1" applyAlignment="1">
      <alignment horizontal="right" indent="1"/>
    </xf>
    <xf numFmtId="172" fontId="21" fillId="36" borderId="37" xfId="52" applyNumberFormat="1" applyFont="1" applyFill="1" applyBorder="1" applyAlignment="1">
      <alignment horizontal="right" indent="1"/>
    </xf>
    <xf numFmtId="169" fontId="14" fillId="34" borderId="0" xfId="52" applyNumberFormat="1" applyFill="1" applyAlignment="1">
      <alignment horizontal="right"/>
    </xf>
    <xf numFmtId="0" fontId="14" fillId="0" borderId="37" xfId="52" applyBorder="1" applyAlignment="1">
      <alignment horizontal="center" vertical="center"/>
    </xf>
    <xf numFmtId="172" fontId="14" fillId="0" borderId="11" xfId="52" applyNumberFormat="1" applyBorder="1" applyAlignment="1">
      <alignment horizontal="right" vertical="center" indent="1"/>
    </xf>
    <xf numFmtId="172" fontId="14" fillId="0" borderId="35" xfId="52" applyNumberFormat="1" applyBorder="1" applyAlignment="1">
      <alignment horizontal="right" vertical="center" indent="1"/>
    </xf>
    <xf numFmtId="172" fontId="14" fillId="0" borderId="37" xfId="52" applyNumberFormat="1" applyBorder="1" applyAlignment="1">
      <alignment horizontal="right" vertical="center" indent="1"/>
    </xf>
    <xf numFmtId="172" fontId="14" fillId="0" borderId="11" xfId="52" applyNumberFormat="1" applyBorder="1" applyAlignment="1">
      <alignment horizontal="right" indent="1"/>
    </xf>
    <xf numFmtId="172" fontId="21" fillId="0" borderId="37" xfId="52" applyNumberFormat="1" applyFont="1" applyBorder="1" applyAlignment="1">
      <alignment horizontal="right" indent="1"/>
    </xf>
    <xf numFmtId="169" fontId="14" fillId="0" borderId="0" xfId="52" applyNumberFormat="1" applyAlignment="1">
      <alignment horizontal="right"/>
    </xf>
    <xf numFmtId="9" fontId="63" fillId="0" borderId="0" xfId="109" applyFont="1"/>
    <xf numFmtId="0" fontId="5" fillId="36" borderId="74" xfId="52" applyFont="1" applyFill="1" applyBorder="1" applyAlignment="1">
      <alignment vertical="center"/>
    </xf>
    <xf numFmtId="0" fontId="5" fillId="27" borderId="76" xfId="52" applyFont="1" applyFill="1" applyBorder="1" applyAlignment="1">
      <alignment vertical="center"/>
    </xf>
    <xf numFmtId="0" fontId="5" fillId="36" borderId="76" xfId="52" applyFont="1" applyFill="1" applyBorder="1" applyAlignment="1">
      <alignment vertical="center"/>
    </xf>
    <xf numFmtId="172" fontId="14" fillId="0" borderId="0" xfId="52" applyNumberFormat="1" applyAlignment="1">
      <alignment vertical="center"/>
    </xf>
    <xf numFmtId="0" fontId="5" fillId="27" borderId="52" xfId="52" applyFont="1" applyFill="1" applyBorder="1" applyAlignment="1">
      <alignment vertical="center"/>
    </xf>
    <xf numFmtId="0" fontId="52" fillId="34" borderId="0" xfId="52" applyFont="1" applyFill="1"/>
    <xf numFmtId="0" fontId="53" fillId="34" borderId="0" xfId="52" applyFont="1" applyFill="1"/>
    <xf numFmtId="0" fontId="54" fillId="0" borderId="0" xfId="52" applyFont="1"/>
    <xf numFmtId="0" fontId="52" fillId="0" borderId="0" xfId="52" applyFont="1"/>
    <xf numFmtId="0" fontId="29" fillId="0" borderId="0" xfId="52" applyFont="1" applyAlignment="1">
      <alignment horizontal="left"/>
    </xf>
    <xf numFmtId="0" fontId="21" fillId="0" borderId="0" xfId="52" applyFont="1" applyAlignment="1">
      <alignment horizontal="left" indent="2"/>
    </xf>
    <xf numFmtId="0" fontId="21" fillId="0" borderId="0" xfId="52" applyFont="1" applyAlignment="1">
      <alignment horizontal="left"/>
    </xf>
    <xf numFmtId="0" fontId="53" fillId="0" borderId="0" xfId="52" applyFont="1"/>
    <xf numFmtId="172" fontId="14" fillId="0" borderId="0" xfId="52" applyNumberFormat="1" applyAlignment="1">
      <alignment horizontal="right"/>
    </xf>
    <xf numFmtId="184" fontId="14" fillId="0" borderId="0" xfId="52" applyNumberFormat="1"/>
    <xf numFmtId="0" fontId="28" fillId="36" borderId="74" xfId="52" applyFont="1" applyFill="1" applyBorder="1" applyAlignment="1">
      <alignment vertical="center"/>
    </xf>
    <xf numFmtId="0" fontId="28" fillId="36" borderId="76" xfId="52" applyFont="1" applyFill="1" applyBorder="1" applyAlignment="1">
      <alignment vertical="center"/>
    </xf>
    <xf numFmtId="0" fontId="28" fillId="27" borderId="52" xfId="52" applyFont="1" applyFill="1" applyBorder="1" applyAlignment="1">
      <alignment vertical="center"/>
    </xf>
    <xf numFmtId="164" fontId="14" fillId="0" borderId="0" xfId="35" applyFont="1"/>
    <xf numFmtId="180" fontId="14" fillId="0" borderId="0" xfId="35" applyNumberFormat="1" applyFont="1"/>
    <xf numFmtId="180" fontId="63" fillId="0" borderId="0" xfId="52" applyNumberFormat="1" applyFont="1"/>
    <xf numFmtId="0" fontId="4" fillId="0" borderId="22" xfId="0" applyFont="1" applyBorder="1" applyAlignment="1">
      <alignment horizontal="center"/>
    </xf>
    <xf numFmtId="164" fontId="0" fillId="0" borderId="0" xfId="35" applyFont="1"/>
    <xf numFmtId="180" fontId="0" fillId="0" borderId="0" xfId="35" applyNumberFormat="1" applyFont="1"/>
    <xf numFmtId="180" fontId="0" fillId="0" borderId="0" xfId="35" applyNumberFormat="1" applyFont="1" applyFill="1"/>
    <xf numFmtId="164" fontId="7" fillId="0" borderId="0" xfId="35" applyFont="1" applyFill="1" applyBorder="1"/>
    <xf numFmtId="178" fontId="7" fillId="0" borderId="0" xfId="35" applyNumberFormat="1" applyFont="1" applyFill="1"/>
    <xf numFmtId="164" fontId="63" fillId="0" borderId="0" xfId="35" applyFont="1"/>
    <xf numFmtId="164" fontId="63" fillId="0" borderId="0" xfId="35" applyFont="1" applyFill="1"/>
    <xf numFmtId="172" fontId="15" fillId="36" borderId="11" xfId="52" applyNumberFormat="1" applyFont="1" applyFill="1" applyBorder="1"/>
    <xf numFmtId="172" fontId="15" fillId="36" borderId="33" xfId="52" applyNumberFormat="1" applyFont="1" applyFill="1" applyBorder="1"/>
    <xf numFmtId="172" fontId="15" fillId="36" borderId="37" xfId="52" applyNumberFormat="1" applyFont="1" applyFill="1" applyBorder="1"/>
    <xf numFmtId="172" fontId="15" fillId="0" borderId="11" xfId="52" applyNumberFormat="1" applyFont="1" applyBorder="1"/>
    <xf numFmtId="172" fontId="15" fillId="0" borderId="33" xfId="52" applyNumberFormat="1" applyFont="1" applyBorder="1"/>
    <xf numFmtId="172" fontId="15" fillId="0" borderId="37" xfId="52" applyNumberFormat="1" applyFont="1" applyBorder="1"/>
    <xf numFmtId="164" fontId="14" fillId="0" borderId="0" xfId="35" applyFont="1" applyFill="1"/>
    <xf numFmtId="169" fontId="0" fillId="0" borderId="0" xfId="109" applyNumberFormat="1" applyFont="1"/>
    <xf numFmtId="169" fontId="0" fillId="0" borderId="0" xfId="43" applyNumberFormat="1" applyFont="1" applyFill="1"/>
    <xf numFmtId="169" fontId="63" fillId="0" borderId="0" xfId="43" applyNumberFormat="1" applyFont="1"/>
    <xf numFmtId="169" fontId="0" fillId="0" borderId="0" xfId="43" applyNumberFormat="1" applyFont="1"/>
    <xf numFmtId="180" fontId="14" fillId="0" borderId="0" xfId="35" applyNumberFormat="1" applyFont="1" applyFill="1"/>
    <xf numFmtId="178" fontId="0" fillId="0" borderId="0" xfId="38" applyNumberFormat="1" applyFont="1" applyFill="1"/>
    <xf numFmtId="180" fontId="0" fillId="0" borderId="0" xfId="35" applyNumberFormat="1" applyFont="1" applyFill="1" applyBorder="1" applyAlignment="1">
      <alignment horizontal="center"/>
    </xf>
    <xf numFmtId="164" fontId="14" fillId="0" borderId="0" xfId="35" applyFont="1" applyAlignment="1">
      <alignment horizontal="center"/>
    </xf>
    <xf numFmtId="0" fontId="5" fillId="27" borderId="94" xfId="0" applyFont="1" applyFill="1" applyBorder="1"/>
    <xf numFmtId="0" fontId="14" fillId="27" borderId="112" xfId="0" applyFont="1" applyFill="1" applyBorder="1"/>
    <xf numFmtId="0" fontId="14" fillId="27" borderId="108" xfId="0" applyFont="1" applyFill="1" applyBorder="1"/>
    <xf numFmtId="1" fontId="14" fillId="27" borderId="112" xfId="0" applyNumberFormat="1" applyFont="1" applyFill="1" applyBorder="1"/>
    <xf numFmtId="1" fontId="14" fillId="27" borderId="108" xfId="0" applyNumberFormat="1" applyFont="1" applyFill="1" applyBorder="1"/>
    <xf numFmtId="169" fontId="14" fillId="27" borderId="112" xfId="0" applyNumberFormat="1" applyFont="1" applyFill="1" applyBorder="1"/>
    <xf numFmtId="3" fontId="14" fillId="27" borderId="112" xfId="0" applyNumberFormat="1" applyFont="1" applyFill="1" applyBorder="1"/>
    <xf numFmtId="0" fontId="14" fillId="27" borderId="113" xfId="0" applyFont="1" applyFill="1" applyBorder="1"/>
    <xf numFmtId="9" fontId="15" fillId="27" borderId="58" xfId="108" applyFont="1" applyFill="1" applyBorder="1" applyAlignment="1">
      <alignment horizontal="center" vertical="center"/>
    </xf>
    <xf numFmtId="9" fontId="15" fillId="27" borderId="24" xfId="108" applyFont="1" applyFill="1" applyBorder="1" applyAlignment="1">
      <alignment horizontal="center" vertical="center"/>
    </xf>
    <xf numFmtId="9" fontId="15" fillId="27" borderId="78" xfId="108" applyFont="1" applyFill="1" applyBorder="1" applyAlignment="1">
      <alignment horizontal="center" vertical="center"/>
    </xf>
    <xf numFmtId="9" fontId="15" fillId="31" borderId="58" xfId="108" applyFont="1" applyFill="1" applyBorder="1" applyAlignment="1">
      <alignment horizontal="center" vertical="center"/>
    </xf>
    <xf numFmtId="9" fontId="15" fillId="31" borderId="24" xfId="108" applyFont="1" applyFill="1" applyBorder="1" applyAlignment="1">
      <alignment horizontal="center" vertical="center"/>
    </xf>
    <xf numFmtId="9" fontId="15" fillId="31" borderId="78" xfId="108" applyFont="1" applyFill="1" applyBorder="1" applyAlignment="1">
      <alignment horizontal="center" vertical="center"/>
    </xf>
    <xf numFmtId="9" fontId="15" fillId="31" borderId="59" xfId="108" applyFont="1" applyFill="1" applyBorder="1" applyAlignment="1">
      <alignment horizontal="center" vertical="center"/>
    </xf>
    <xf numFmtId="9" fontId="15" fillId="27" borderId="15" xfId="108" applyFont="1" applyFill="1" applyBorder="1" applyAlignment="1">
      <alignment horizontal="center" vertical="center"/>
    </xf>
    <xf numFmtId="9" fontId="15" fillId="27" borderId="38" xfId="108" applyFont="1" applyFill="1" applyBorder="1" applyAlignment="1">
      <alignment horizontal="center" vertical="center"/>
    </xf>
    <xf numFmtId="9" fontId="15" fillId="27" borderId="63" xfId="108" applyFont="1" applyFill="1" applyBorder="1" applyAlignment="1">
      <alignment horizontal="center" vertical="center"/>
    </xf>
    <xf numFmtId="9" fontId="15" fillId="27" borderId="42" xfId="108" applyFont="1" applyFill="1" applyBorder="1" applyAlignment="1">
      <alignment horizontal="center" vertical="center"/>
    </xf>
    <xf numFmtId="0" fontId="5" fillId="31" borderId="74" xfId="0" applyFon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82" xfId="0" applyFont="1" applyBorder="1" applyAlignment="1">
      <alignment vertical="center"/>
    </xf>
    <xf numFmtId="0" fontId="5" fillId="31" borderId="82" xfId="0" applyFont="1" applyFill="1" applyBorder="1" applyAlignment="1">
      <alignment vertical="center"/>
    </xf>
    <xf numFmtId="0" fontId="5" fillId="0" borderId="79" xfId="0" applyFont="1" applyBorder="1" applyAlignment="1">
      <alignment vertical="center"/>
    </xf>
    <xf numFmtId="9" fontId="28" fillId="31" borderId="65" xfId="108" applyFont="1" applyFill="1" applyBorder="1" applyAlignment="1">
      <alignment horizontal="center" vertical="center"/>
    </xf>
    <xf numFmtId="9" fontId="28" fillId="0" borderId="53" xfId="108" applyFont="1" applyFill="1" applyBorder="1" applyAlignment="1">
      <alignment horizontal="center" vertical="center"/>
    </xf>
    <xf numFmtId="9" fontId="28" fillId="31" borderId="53" xfId="108" applyFont="1" applyFill="1" applyBorder="1" applyAlignment="1">
      <alignment horizontal="center" vertical="center"/>
    </xf>
    <xf numFmtId="0" fontId="5" fillId="0" borderId="64" xfId="0" applyFont="1" applyBorder="1" applyAlignment="1">
      <alignment horizontal="left" vertical="center" wrapText="1"/>
    </xf>
    <xf numFmtId="9" fontId="15" fillId="0" borderId="65" xfId="108" applyFont="1" applyFill="1" applyBorder="1" applyAlignment="1">
      <alignment horizontal="center" vertical="center"/>
    </xf>
    <xf numFmtId="9" fontId="15" fillId="0" borderId="66" xfId="108" applyFont="1" applyFill="1" applyBorder="1" applyAlignment="1">
      <alignment horizontal="center" vertical="center"/>
    </xf>
    <xf numFmtId="9" fontId="28" fillId="27" borderId="51" xfId="108" applyFont="1" applyFill="1" applyBorder="1" applyAlignment="1">
      <alignment horizontal="center" vertical="center"/>
    </xf>
    <xf numFmtId="0" fontId="5" fillId="31" borderId="68" xfId="0" applyFont="1" applyFill="1" applyBorder="1" applyAlignment="1">
      <alignment horizontal="left" vertical="center" wrapText="1"/>
    </xf>
    <xf numFmtId="9" fontId="15" fillId="31" borderId="47" xfId="108" applyFont="1" applyFill="1" applyBorder="1" applyAlignment="1">
      <alignment horizontal="center" vertical="center"/>
    </xf>
    <xf numFmtId="9" fontId="15" fillId="31" borderId="69" xfId="108" applyFont="1" applyFill="1" applyBorder="1" applyAlignment="1">
      <alignment horizontal="center" vertical="center"/>
    </xf>
    <xf numFmtId="9" fontId="28" fillId="27" borderId="17" xfId="108" applyFont="1" applyFill="1" applyBorder="1" applyAlignment="1">
      <alignment horizontal="center" vertical="center"/>
    </xf>
    <xf numFmtId="180" fontId="0" fillId="0" borderId="0" xfId="37" applyNumberFormat="1" applyFont="1" applyAlignment="1">
      <alignment vertical="center"/>
    </xf>
    <xf numFmtId="172" fontId="0" fillId="0" borderId="0" xfId="0" applyNumberFormat="1" applyAlignment="1">
      <alignment vertical="center"/>
    </xf>
    <xf numFmtId="0" fontId="5" fillId="0" borderId="68" xfId="0" applyFont="1" applyBorder="1" applyAlignment="1">
      <alignment horizontal="left" vertical="center" wrapText="1"/>
    </xf>
    <xf numFmtId="9" fontId="15" fillId="0" borderId="47" xfId="108" applyFont="1" applyFill="1" applyBorder="1" applyAlignment="1">
      <alignment horizontal="center" vertical="center"/>
    </xf>
    <xf numFmtId="9" fontId="15" fillId="0" borderId="69" xfId="108" applyFont="1" applyFill="1" applyBorder="1" applyAlignment="1">
      <alignment horizontal="center" vertical="center"/>
    </xf>
    <xf numFmtId="0" fontId="5" fillId="31" borderId="70" xfId="0" applyFont="1" applyFill="1" applyBorder="1" applyAlignment="1">
      <alignment horizontal="left" vertical="center" wrapText="1"/>
    </xf>
    <xf numFmtId="9" fontId="15" fillId="31" borderId="48" xfId="108" applyFont="1" applyFill="1" applyBorder="1" applyAlignment="1">
      <alignment horizontal="center" vertical="center"/>
    </xf>
    <xf numFmtId="9" fontId="15" fillId="31" borderId="49" xfId="108" applyFont="1" applyFill="1" applyBorder="1" applyAlignment="1">
      <alignment horizontal="center" vertical="center"/>
    </xf>
    <xf numFmtId="9" fontId="28" fillId="27" borderId="0" xfId="108" applyFont="1" applyFill="1" applyBorder="1" applyAlignment="1">
      <alignment horizontal="center" vertical="center"/>
    </xf>
    <xf numFmtId="9" fontId="35" fillId="0" borderId="0" xfId="108" applyFont="1" applyBorder="1" applyAlignment="1">
      <alignment vertical="center"/>
    </xf>
    <xf numFmtId="173" fontId="15" fillId="31" borderId="47" xfId="108" applyNumberFormat="1" applyFont="1" applyFill="1" applyBorder="1" applyAlignment="1">
      <alignment horizontal="center" vertical="center"/>
    </xf>
    <xf numFmtId="9" fontId="15" fillId="31" borderId="23" xfId="108" applyFont="1" applyFill="1" applyBorder="1" applyAlignment="1">
      <alignment horizontal="center" vertical="center"/>
    </xf>
    <xf numFmtId="9" fontId="15" fillId="31" borderId="65" xfId="108" applyFont="1" applyFill="1" applyBorder="1" applyAlignment="1">
      <alignment horizontal="center" vertical="center"/>
    </xf>
    <xf numFmtId="9" fontId="15" fillId="31" borderId="67" xfId="108" applyFont="1" applyFill="1" applyBorder="1" applyAlignment="1">
      <alignment horizontal="center" vertical="center"/>
    </xf>
    <xf numFmtId="9" fontId="15" fillId="0" borderId="55" xfId="108" applyFont="1" applyFill="1" applyBorder="1" applyAlignment="1">
      <alignment horizontal="center" vertical="center"/>
    </xf>
    <xf numFmtId="9" fontId="15" fillId="0" borderId="56" xfId="108" applyFont="1" applyFill="1" applyBorder="1" applyAlignment="1">
      <alignment horizontal="center" vertical="center"/>
    </xf>
    <xf numFmtId="9" fontId="15" fillId="31" borderId="55" xfId="108" applyFont="1" applyFill="1" applyBorder="1" applyAlignment="1">
      <alignment horizontal="center" vertical="center"/>
    </xf>
    <xf numFmtId="9" fontId="15" fillId="31" borderId="56" xfId="108" applyFont="1" applyFill="1" applyBorder="1" applyAlignment="1">
      <alignment horizontal="center" vertical="center"/>
    </xf>
    <xf numFmtId="9" fontId="28" fillId="0" borderId="48" xfId="108" applyFont="1" applyFill="1" applyBorder="1" applyAlignment="1">
      <alignment horizontal="center" vertical="center"/>
    </xf>
    <xf numFmtId="9" fontId="15" fillId="0" borderId="61" xfId="108" applyFont="1" applyFill="1" applyBorder="1" applyAlignment="1">
      <alignment horizontal="center" vertical="center"/>
    </xf>
    <xf numFmtId="9" fontId="15" fillId="0" borderId="48" xfId="108" applyFont="1" applyFill="1" applyBorder="1" applyAlignment="1">
      <alignment horizontal="center" vertical="center"/>
    </xf>
    <xf numFmtId="173" fontId="15" fillId="0" borderId="50" xfId="108" applyNumberFormat="1" applyFont="1" applyFill="1" applyBorder="1" applyAlignment="1">
      <alignment horizontal="center" vertical="center"/>
    </xf>
    <xf numFmtId="9" fontId="28" fillId="31" borderId="57" xfId="108" applyFont="1" applyFill="1" applyBorder="1" applyAlignment="1">
      <alignment horizontal="center" vertical="center"/>
    </xf>
    <xf numFmtId="9" fontId="28" fillId="0" borderId="65" xfId="108" applyFont="1" applyFill="1" applyBorder="1" applyAlignment="1">
      <alignment horizontal="center" vertical="center"/>
    </xf>
    <xf numFmtId="9" fontId="28" fillId="0" borderId="66" xfId="108" applyFont="1" applyFill="1" applyBorder="1" applyAlignment="1">
      <alignment horizontal="center" vertical="center"/>
    </xf>
    <xf numFmtId="9" fontId="37" fillId="0" borderId="40" xfId="108" applyFont="1" applyFill="1" applyBorder="1" applyAlignment="1">
      <alignment horizontal="center" vertical="center"/>
    </xf>
    <xf numFmtId="9" fontId="37" fillId="0" borderId="17" xfId="108" applyFont="1" applyFill="1" applyBorder="1" applyAlignment="1">
      <alignment horizontal="center" vertical="center"/>
    </xf>
    <xf numFmtId="9" fontId="28" fillId="0" borderId="47" xfId="108" applyFont="1" applyFill="1" applyBorder="1" applyAlignment="1">
      <alignment horizontal="center" vertical="center"/>
    </xf>
    <xf numFmtId="9" fontId="28" fillId="0" borderId="58" xfId="108" applyFont="1" applyFill="1" applyBorder="1" applyAlignment="1">
      <alignment horizontal="center" vertical="center"/>
    </xf>
    <xf numFmtId="9" fontId="28" fillId="31" borderId="48" xfId="108" applyFont="1" applyFill="1" applyBorder="1" applyAlignment="1">
      <alignment horizontal="center" vertical="center"/>
    </xf>
    <xf numFmtId="9" fontId="28" fillId="31" borderId="60" xfId="108" applyFont="1" applyFill="1" applyBorder="1" applyAlignment="1">
      <alignment horizontal="center" vertical="center"/>
    </xf>
    <xf numFmtId="3" fontId="15" fillId="32" borderId="0" xfId="0" applyNumberFormat="1" applyFont="1" applyFill="1" applyAlignment="1">
      <alignment vertical="center"/>
    </xf>
    <xf numFmtId="169" fontId="0" fillId="0" borderId="0" xfId="0" applyNumberFormat="1" applyAlignment="1">
      <alignment vertical="center"/>
    </xf>
    <xf numFmtId="0" fontId="5" fillId="36" borderId="64" xfId="52" applyFont="1" applyFill="1" applyBorder="1" applyAlignment="1">
      <alignment vertical="center"/>
    </xf>
    <xf numFmtId="3" fontId="14" fillId="0" borderId="0" xfId="52" applyNumberFormat="1" applyAlignment="1">
      <alignment horizontal="center" vertical="center"/>
    </xf>
    <xf numFmtId="9" fontId="7" fillId="0" borderId="0" xfId="109" applyFont="1" applyFill="1" applyBorder="1" applyAlignment="1">
      <alignment horizontal="center" vertical="center"/>
    </xf>
    <xf numFmtId="0" fontId="5" fillId="0" borderId="68" xfId="52" applyFont="1" applyBorder="1" applyAlignment="1">
      <alignment vertical="center"/>
    </xf>
    <xf numFmtId="0" fontId="5" fillId="36" borderId="11" xfId="52" applyFont="1" applyFill="1" applyBorder="1" applyAlignment="1">
      <alignment vertical="center"/>
    </xf>
    <xf numFmtId="9" fontId="15" fillId="0" borderId="0" xfId="109" applyFont="1" applyFill="1" applyBorder="1" applyAlignment="1">
      <alignment horizontal="center" vertical="center"/>
    </xf>
    <xf numFmtId="0" fontId="5" fillId="0" borderId="70" xfId="52" applyFont="1" applyBorder="1" applyAlignment="1">
      <alignment vertical="center"/>
    </xf>
    <xf numFmtId="0" fontId="8" fillId="0" borderId="0" xfId="52" applyFont="1" applyAlignment="1">
      <alignment horizontal="left"/>
    </xf>
    <xf numFmtId="9" fontId="28" fillId="36" borderId="23" xfId="109" applyFont="1" applyFill="1" applyBorder="1" applyAlignment="1">
      <alignment horizontal="center" vertical="center"/>
    </xf>
    <xf numFmtId="0" fontId="14" fillId="0" borderId="0" xfId="52" applyAlignment="1">
      <alignment horizontal="right" vertical="center"/>
    </xf>
    <xf numFmtId="169" fontId="14" fillId="0" borderId="0" xfId="52" applyNumberFormat="1" applyAlignment="1">
      <alignment vertical="center"/>
    </xf>
    <xf numFmtId="0" fontId="5" fillId="27" borderId="82" xfId="52" applyFont="1" applyFill="1" applyBorder="1" applyAlignment="1">
      <alignment vertical="center"/>
    </xf>
    <xf numFmtId="9" fontId="28" fillId="27" borderId="55" xfId="109" applyFont="1" applyFill="1" applyBorder="1" applyAlignment="1">
      <alignment horizontal="center" vertical="center"/>
    </xf>
    <xf numFmtId="0" fontId="5" fillId="36" borderId="82" xfId="52" applyFont="1" applyFill="1" applyBorder="1" applyAlignment="1">
      <alignment vertical="center"/>
    </xf>
    <xf numFmtId="0" fontId="5" fillId="27" borderId="79" xfId="52" applyFont="1" applyFill="1" applyBorder="1" applyAlignment="1">
      <alignment vertical="center"/>
    </xf>
    <xf numFmtId="9" fontId="28" fillId="27" borderId="48" xfId="109" applyFont="1" applyFill="1" applyBorder="1" applyAlignment="1">
      <alignment horizontal="center" vertical="center"/>
    </xf>
    <xf numFmtId="9" fontId="28" fillId="27" borderId="61" xfId="109" applyFont="1" applyFill="1" applyBorder="1" applyAlignment="1">
      <alignment horizontal="center" vertical="center"/>
    </xf>
    <xf numFmtId="0" fontId="5" fillId="0" borderId="81" xfId="52" applyFont="1" applyBorder="1" applyAlignment="1">
      <alignment horizontal="left" vertical="center" wrapText="1"/>
    </xf>
    <xf numFmtId="0" fontId="14" fillId="34" borderId="0" xfId="52" applyFill="1" applyAlignment="1">
      <alignment horizontal="center" vertical="center"/>
    </xf>
    <xf numFmtId="9" fontId="35" fillId="34" borderId="0" xfId="109" applyFont="1" applyFill="1" applyBorder="1" applyAlignment="1">
      <alignment horizontal="center" vertical="center"/>
    </xf>
    <xf numFmtId="9" fontId="37" fillId="34" borderId="17" xfId="109" applyFont="1" applyFill="1" applyBorder="1" applyAlignment="1">
      <alignment horizontal="center" vertical="center"/>
    </xf>
    <xf numFmtId="9" fontId="35" fillId="34" borderId="0" xfId="109" applyFont="1" applyFill="1" applyBorder="1" applyAlignment="1">
      <alignment vertical="center"/>
    </xf>
    <xf numFmtId="0" fontId="5" fillId="36" borderId="68" xfId="52" applyFont="1" applyFill="1" applyBorder="1" applyAlignment="1">
      <alignment horizontal="left" vertical="center" wrapText="1"/>
    </xf>
    <xf numFmtId="9" fontId="15" fillId="36" borderId="81" xfId="109" applyFont="1" applyFill="1" applyBorder="1" applyAlignment="1">
      <alignment horizontal="center" vertical="center"/>
    </xf>
    <xf numFmtId="9" fontId="15" fillId="0" borderId="68" xfId="109" applyFont="1" applyFill="1" applyBorder="1" applyAlignment="1">
      <alignment horizontal="center" vertical="center"/>
    </xf>
    <xf numFmtId="0" fontId="5" fillId="36" borderId="70" xfId="52" applyFont="1" applyFill="1" applyBorder="1" applyAlignment="1">
      <alignment horizontal="left" vertical="center" wrapText="1"/>
    </xf>
    <xf numFmtId="9" fontId="15" fillId="0" borderId="56" xfId="109" applyFont="1" applyFill="1" applyBorder="1" applyAlignment="1">
      <alignment horizontal="center" vertical="center"/>
    </xf>
    <xf numFmtId="9" fontId="15" fillId="27" borderId="0" xfId="109" applyFont="1" applyFill="1" applyBorder="1" applyAlignment="1">
      <alignment vertical="center"/>
    </xf>
    <xf numFmtId="9" fontId="15" fillId="0" borderId="81" xfId="109" applyFont="1" applyFill="1" applyBorder="1" applyAlignment="1">
      <alignment horizontal="center" vertical="center"/>
    </xf>
    <xf numFmtId="9" fontId="35" fillId="0" borderId="0" xfId="109" applyFont="1" applyBorder="1" applyAlignment="1">
      <alignment vertical="center"/>
    </xf>
    <xf numFmtId="0" fontId="34" fillId="0" borderId="0" xfId="52" applyFont="1" applyAlignment="1">
      <alignment vertical="center"/>
    </xf>
    <xf numFmtId="9" fontId="15" fillId="36" borderId="70" xfId="109" applyFont="1" applyFill="1" applyBorder="1" applyAlignment="1">
      <alignment horizontal="center" vertical="center"/>
    </xf>
    <xf numFmtId="0" fontId="28" fillId="0" borderId="65" xfId="52" applyFont="1" applyBorder="1" applyAlignment="1">
      <alignment vertical="center"/>
    </xf>
    <xf numFmtId="3" fontId="4" fillId="0" borderId="0" xfId="52" applyNumberFormat="1" applyFont="1" applyAlignment="1">
      <alignment horizontal="center" vertical="center"/>
    </xf>
    <xf numFmtId="0" fontId="28" fillId="31" borderId="53" xfId="52" applyFont="1" applyFill="1" applyBorder="1" applyAlignment="1">
      <alignment vertical="center"/>
    </xf>
    <xf numFmtId="0" fontId="28" fillId="0" borderId="47" xfId="52" applyFont="1" applyBorder="1" applyAlignment="1">
      <alignment vertical="center"/>
    </xf>
    <xf numFmtId="3" fontId="14" fillId="0" borderId="0" xfId="52" applyNumberFormat="1" applyAlignment="1">
      <alignment vertical="center"/>
    </xf>
    <xf numFmtId="0" fontId="28" fillId="31" borderId="46" xfId="52" applyFont="1" applyFill="1" applyBorder="1" applyAlignment="1">
      <alignment vertical="center"/>
    </xf>
    <xf numFmtId="0" fontId="13" fillId="24" borderId="94" xfId="52" applyFont="1" applyFill="1" applyBorder="1" applyAlignment="1">
      <alignment horizontal="left" vertical="center"/>
    </xf>
    <xf numFmtId="0" fontId="13" fillId="24" borderId="16" xfId="52" applyFont="1" applyFill="1" applyBorder="1" applyAlignment="1">
      <alignment horizontal="left" vertical="center"/>
    </xf>
    <xf numFmtId="0" fontId="13" fillId="24" borderId="16" xfId="52" applyFont="1" applyFill="1" applyBorder="1" applyAlignment="1">
      <alignment horizontal="center" vertical="center"/>
    </xf>
    <xf numFmtId="172" fontId="13" fillId="24" borderId="94" xfId="52" applyNumberFormat="1" applyFont="1" applyFill="1" applyBorder="1" applyAlignment="1">
      <alignment horizontal="center" vertical="center"/>
    </xf>
    <xf numFmtId="3" fontId="13" fillId="24" borderId="16" xfId="52" applyNumberFormat="1" applyFont="1" applyFill="1" applyBorder="1" applyAlignment="1">
      <alignment horizontal="center" vertical="center"/>
    </xf>
    <xf numFmtId="3" fontId="13" fillId="24" borderId="72" xfId="52" applyNumberFormat="1" applyFont="1" applyFill="1" applyBorder="1" applyAlignment="1">
      <alignment horizontal="center" vertical="center"/>
    </xf>
    <xf numFmtId="3" fontId="13" fillId="24" borderId="94" xfId="52" applyNumberFormat="1" applyFont="1" applyFill="1" applyBorder="1" applyAlignment="1">
      <alignment horizontal="center" vertical="center"/>
    </xf>
    <xf numFmtId="0" fontId="4" fillId="0" borderId="0" xfId="52" applyFont="1" applyAlignment="1">
      <alignment horizontal="center" vertical="center"/>
    </xf>
    <xf numFmtId="0" fontId="62" fillId="3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7" borderId="0" xfId="0" applyFont="1" applyFill="1" applyAlignment="1">
      <alignment vertical="center"/>
    </xf>
    <xf numFmtId="0" fontId="28" fillId="31" borderId="74" xfId="52" applyFont="1" applyFill="1" applyBorder="1" applyAlignment="1">
      <alignment horizontal="left" vertical="center" wrapText="1"/>
    </xf>
    <xf numFmtId="0" fontId="28" fillId="0" borderId="82" xfId="52" applyFont="1" applyBorder="1" applyAlignment="1">
      <alignment horizontal="left" vertical="center" wrapText="1"/>
    </xf>
    <xf numFmtId="0" fontId="28" fillId="31" borderId="76" xfId="52" applyFont="1" applyFill="1" applyBorder="1" applyAlignment="1">
      <alignment horizontal="left" vertical="center" wrapText="1"/>
    </xf>
    <xf numFmtId="0" fontId="28" fillId="0" borderId="79" xfId="52" applyFont="1" applyBorder="1" applyAlignment="1">
      <alignment horizontal="left" vertical="center" wrapText="1"/>
    </xf>
    <xf numFmtId="9" fontId="28" fillId="0" borderId="39" xfId="109" applyFont="1" applyFill="1" applyBorder="1" applyAlignment="1">
      <alignment horizontal="center" vertical="center"/>
    </xf>
    <xf numFmtId="9" fontId="28" fillId="31" borderId="47" xfId="109" applyFont="1" applyFill="1" applyBorder="1" applyAlignment="1">
      <alignment horizontal="center" vertical="center"/>
    </xf>
    <xf numFmtId="9" fontId="28" fillId="31" borderId="46" xfId="109" applyFont="1" applyFill="1" applyBorder="1" applyAlignment="1">
      <alignment horizontal="center" vertical="center"/>
    </xf>
    <xf numFmtId="9" fontId="0" fillId="0" borderId="0" xfId="109" applyFont="1" applyAlignment="1">
      <alignment vertical="center"/>
    </xf>
    <xf numFmtId="0" fontId="28" fillId="27" borderId="79" xfId="52" applyFont="1" applyFill="1" applyBorder="1" applyAlignment="1">
      <alignment vertical="center"/>
    </xf>
    <xf numFmtId="0" fontId="40" fillId="0" borderId="0" xfId="52" applyFont="1" applyAlignment="1">
      <alignment horizontal="center" vertical="center"/>
    </xf>
    <xf numFmtId="0" fontId="28" fillId="0" borderId="68" xfId="52" applyFont="1" applyBorder="1" applyAlignment="1">
      <alignment horizontal="left" vertical="center" wrapText="1"/>
    </xf>
    <xf numFmtId="0" fontId="14" fillId="0" borderId="0" xfId="52" applyAlignment="1">
      <alignment horizontal="center" vertical="center" wrapText="1"/>
    </xf>
    <xf numFmtId="10" fontId="4" fillId="0" borderId="0" xfId="109" applyNumberFormat="1" applyFont="1" applyAlignment="1">
      <alignment horizontal="center" vertical="center"/>
    </xf>
    <xf numFmtId="173" fontId="0" fillId="0" borderId="0" xfId="109" applyNumberFormat="1" applyFont="1" applyAlignment="1">
      <alignment horizontal="center" vertical="center"/>
    </xf>
    <xf numFmtId="0" fontId="28" fillId="0" borderId="70" xfId="52" applyFont="1" applyBorder="1" applyAlignment="1">
      <alignment horizontal="left" vertical="center" wrapText="1"/>
    </xf>
    <xf numFmtId="9" fontId="14" fillId="34" borderId="0" xfId="52" applyNumberFormat="1" applyFill="1" applyAlignment="1">
      <alignment vertical="center"/>
    </xf>
    <xf numFmtId="9" fontId="28" fillId="0" borderId="74" xfId="109" applyFont="1" applyFill="1" applyBorder="1" applyAlignment="1">
      <alignment horizontal="center" vertical="center"/>
    </xf>
    <xf numFmtId="9" fontId="28" fillId="0" borderId="83" xfId="109" applyFont="1" applyFill="1" applyBorder="1" applyAlignment="1">
      <alignment horizontal="center" vertical="center"/>
    </xf>
    <xf numFmtId="9" fontId="28" fillId="0" borderId="23" xfId="109" applyFont="1" applyFill="1" applyBorder="1" applyAlignment="1">
      <alignment horizontal="center" vertical="center"/>
    </xf>
    <xf numFmtId="9" fontId="28" fillId="0" borderId="156" xfId="109" applyFont="1" applyFill="1" applyBorder="1" applyAlignment="1">
      <alignment horizontal="center" vertical="center"/>
    </xf>
    <xf numFmtId="9" fontId="28" fillId="31" borderId="55" xfId="109" applyFont="1" applyFill="1" applyBorder="1" applyAlignment="1">
      <alignment horizontal="center" vertical="center"/>
    </xf>
    <xf numFmtId="9" fontId="28" fillId="31" borderId="157" xfId="109" applyFont="1" applyFill="1" applyBorder="1" applyAlignment="1">
      <alignment horizontal="center" vertical="center"/>
    </xf>
    <xf numFmtId="9" fontId="28" fillId="0" borderId="24" xfId="109" applyFont="1" applyFill="1" applyBorder="1" applyAlignment="1">
      <alignment horizontal="center" vertical="center"/>
    </xf>
    <xf numFmtId="9" fontId="28" fillId="0" borderId="158" xfId="109" applyFont="1" applyFill="1" applyBorder="1" applyAlignment="1">
      <alignment horizontal="center" vertical="center"/>
    </xf>
    <xf numFmtId="9" fontId="28" fillId="31" borderId="79" xfId="109" applyFont="1" applyFill="1" applyBorder="1" applyAlignment="1">
      <alignment horizontal="center" vertical="center"/>
    </xf>
    <xf numFmtId="9" fontId="28" fillId="31" borderId="61" xfId="109" applyFont="1" applyFill="1" applyBorder="1" applyAlignment="1">
      <alignment horizontal="center" vertical="center"/>
    </xf>
    <xf numFmtId="9" fontId="28" fillId="31" borderId="117" xfId="109" applyFont="1" applyFill="1" applyBorder="1" applyAlignment="1">
      <alignment horizontal="center" vertical="center"/>
    </xf>
    <xf numFmtId="9" fontId="28" fillId="31" borderId="74" xfId="109" applyFont="1" applyFill="1" applyBorder="1" applyAlignment="1">
      <alignment horizontal="center" vertical="center"/>
    </xf>
    <xf numFmtId="9" fontId="28" fillId="31" borderId="83" xfId="109" applyFont="1" applyFill="1" applyBorder="1" applyAlignment="1">
      <alignment horizontal="center" vertical="center"/>
    </xf>
    <xf numFmtId="9" fontId="28" fillId="31" borderId="23" xfId="109" applyFont="1" applyFill="1" applyBorder="1" applyAlignment="1">
      <alignment horizontal="center" vertical="center"/>
    </xf>
    <xf numFmtId="9" fontId="15" fillId="0" borderId="51" xfId="109" applyFont="1" applyFill="1" applyBorder="1" applyAlignment="1">
      <alignment vertical="center"/>
    </xf>
    <xf numFmtId="9" fontId="28" fillId="0" borderId="82" xfId="109" applyFont="1" applyFill="1" applyBorder="1" applyAlignment="1">
      <alignment horizontal="center" vertical="center"/>
    </xf>
    <xf numFmtId="9" fontId="28" fillId="0" borderId="57" xfId="109" applyFont="1" applyFill="1" applyBorder="1" applyAlignment="1">
      <alignment horizontal="center" vertical="center"/>
    </xf>
    <xf numFmtId="9" fontId="28" fillId="0" borderId="55" xfId="109" applyFont="1" applyFill="1" applyBorder="1" applyAlignment="1">
      <alignment horizontal="center" vertical="center"/>
    </xf>
    <xf numFmtId="9" fontId="15" fillId="0" borderId="0" xfId="109" applyFont="1" applyFill="1" applyBorder="1" applyAlignment="1">
      <alignment vertical="center"/>
    </xf>
    <xf numFmtId="9" fontId="28" fillId="31" borderId="76" xfId="109" applyFont="1" applyFill="1" applyBorder="1" applyAlignment="1">
      <alignment horizontal="center" vertical="center"/>
    </xf>
    <xf numFmtId="9" fontId="28" fillId="31" borderId="58" xfId="109" applyFont="1" applyFill="1" applyBorder="1" applyAlignment="1">
      <alignment horizontal="center" vertical="center"/>
    </xf>
    <xf numFmtId="9" fontId="28" fillId="31" borderId="24" xfId="109" applyFont="1" applyFill="1" applyBorder="1" applyAlignment="1">
      <alignment horizontal="center" vertical="center"/>
    </xf>
    <xf numFmtId="9" fontId="28" fillId="0" borderId="79" xfId="109" applyFont="1" applyFill="1" applyBorder="1" applyAlignment="1">
      <alignment horizontal="center" vertical="center"/>
    </xf>
    <xf numFmtId="9" fontId="28" fillId="0" borderId="60" xfId="109" applyFont="1" applyFill="1" applyBorder="1" applyAlignment="1">
      <alignment horizontal="center" vertical="center"/>
    </xf>
    <xf numFmtId="9" fontId="28" fillId="0" borderId="61" xfId="109" applyFont="1" applyFill="1" applyBorder="1" applyAlignment="1">
      <alignment horizontal="center" vertical="center"/>
    </xf>
    <xf numFmtId="9" fontId="28" fillId="31" borderId="64" xfId="109" applyFont="1" applyFill="1" applyBorder="1" applyAlignment="1">
      <alignment horizontal="center" vertical="center"/>
    </xf>
    <xf numFmtId="9" fontId="28" fillId="27" borderId="24" xfId="109" applyFont="1" applyFill="1" applyBorder="1" applyAlignment="1">
      <alignment horizontal="center" vertical="center"/>
    </xf>
    <xf numFmtId="9" fontId="28" fillId="27" borderId="58" xfId="109" applyFont="1" applyFill="1" applyBorder="1" applyAlignment="1">
      <alignment horizontal="center" vertical="center"/>
    </xf>
    <xf numFmtId="9" fontId="28" fillId="27" borderId="70" xfId="109" applyFont="1" applyFill="1" applyBorder="1" applyAlignment="1">
      <alignment horizontal="center" vertical="center"/>
    </xf>
    <xf numFmtId="9" fontId="28" fillId="27" borderId="60" xfId="109" applyFont="1" applyFill="1" applyBorder="1" applyAlignment="1">
      <alignment horizontal="center" vertical="center"/>
    </xf>
    <xf numFmtId="173" fontId="28" fillId="27" borderId="61" xfId="109" applyNumberFormat="1" applyFont="1" applyFill="1" applyBorder="1" applyAlignment="1">
      <alignment horizontal="center" vertical="center"/>
    </xf>
    <xf numFmtId="9" fontId="28" fillId="31" borderId="156" xfId="109" applyFont="1" applyFill="1" applyBorder="1" applyAlignment="1">
      <alignment horizontal="center" vertical="center"/>
    </xf>
    <xf numFmtId="9" fontId="28" fillId="0" borderId="0" xfId="109" applyFont="1" applyFill="1" applyBorder="1" applyAlignment="1">
      <alignment horizontal="center" vertical="center"/>
    </xf>
    <xf numFmtId="0" fontId="28" fillId="27" borderId="82" xfId="52" applyFont="1" applyFill="1" applyBorder="1" applyAlignment="1">
      <alignment horizontal="left" vertical="center" wrapText="1"/>
    </xf>
    <xf numFmtId="9" fontId="28" fillId="27" borderId="82" xfId="109" applyFont="1" applyFill="1" applyBorder="1" applyAlignment="1">
      <alignment horizontal="center" vertical="center"/>
    </xf>
    <xf numFmtId="9" fontId="28" fillId="27" borderId="81" xfId="109" applyFont="1" applyFill="1" applyBorder="1" applyAlignment="1">
      <alignment horizontal="center" vertical="center"/>
    </xf>
    <xf numFmtId="9" fontId="28" fillId="27" borderId="57" xfId="109" applyFont="1" applyFill="1" applyBorder="1" applyAlignment="1">
      <alignment horizontal="center" vertical="center"/>
    </xf>
    <xf numFmtId="9" fontId="28" fillId="27" borderId="157" xfId="109" applyFont="1" applyFill="1" applyBorder="1" applyAlignment="1">
      <alignment horizontal="center" vertical="center"/>
    </xf>
    <xf numFmtId="9" fontId="28" fillId="31" borderId="158" xfId="109" applyFont="1" applyFill="1" applyBorder="1" applyAlignment="1">
      <alignment horizontal="center" vertical="center"/>
    </xf>
    <xf numFmtId="173" fontId="28" fillId="0" borderId="0" xfId="109" applyNumberFormat="1" applyFont="1" applyFill="1" applyBorder="1" applyAlignment="1">
      <alignment horizontal="center" vertical="center"/>
    </xf>
    <xf numFmtId="0" fontId="28" fillId="27" borderId="79" xfId="52" applyFont="1" applyFill="1" applyBorder="1" applyAlignment="1">
      <alignment horizontal="left" vertical="center" wrapText="1"/>
    </xf>
    <xf numFmtId="9" fontId="28" fillId="27" borderId="79" xfId="109" applyFont="1" applyFill="1" applyBorder="1" applyAlignment="1">
      <alignment horizontal="center" vertical="center"/>
    </xf>
    <xf numFmtId="9" fontId="28" fillId="27" borderId="117" xfId="109" applyFont="1" applyFill="1" applyBorder="1" applyAlignment="1">
      <alignment horizontal="center" vertical="center"/>
    </xf>
    <xf numFmtId="0" fontId="5" fillId="31" borderId="74" xfId="52" applyFont="1" applyFill="1" applyBorder="1" applyAlignment="1">
      <alignment horizontal="left" vertical="center" wrapText="1"/>
    </xf>
    <xf numFmtId="9" fontId="15" fillId="31" borderId="156" xfId="109" applyFont="1" applyFill="1" applyBorder="1" applyAlignment="1">
      <alignment horizontal="center" vertical="center"/>
    </xf>
    <xf numFmtId="0" fontId="5" fillId="27" borderId="82" xfId="52" applyFont="1" applyFill="1" applyBorder="1" applyAlignment="1">
      <alignment horizontal="left" vertical="center" wrapText="1"/>
    </xf>
    <xf numFmtId="173" fontId="15" fillId="27" borderId="157" xfId="109" applyNumberFormat="1" applyFont="1" applyFill="1" applyBorder="1" applyAlignment="1">
      <alignment horizontal="center" vertical="center"/>
    </xf>
    <xf numFmtId="175" fontId="14" fillId="0" borderId="0" xfId="52" applyNumberFormat="1" applyAlignment="1">
      <alignment vertical="center"/>
    </xf>
    <xf numFmtId="0" fontId="5" fillId="31" borderId="76" xfId="52" applyFont="1" applyFill="1" applyBorder="1" applyAlignment="1">
      <alignment horizontal="left" vertical="center" wrapText="1"/>
    </xf>
    <xf numFmtId="9" fontId="15" fillId="31" borderId="158" xfId="109" applyFont="1" applyFill="1" applyBorder="1" applyAlignment="1">
      <alignment horizontal="center" vertical="center"/>
    </xf>
    <xf numFmtId="0" fontId="5" fillId="27" borderId="79" xfId="52" applyFont="1" applyFill="1" applyBorder="1" applyAlignment="1">
      <alignment horizontal="left" vertical="center" wrapText="1"/>
    </xf>
    <xf numFmtId="9" fontId="15" fillId="27" borderId="117" xfId="109" applyFont="1" applyFill="1" applyBorder="1" applyAlignment="1">
      <alignment horizontal="center" vertical="center"/>
    </xf>
    <xf numFmtId="0" fontId="5" fillId="0" borderId="76" xfId="52" applyFont="1" applyBorder="1" applyAlignment="1">
      <alignment vertical="center"/>
    </xf>
    <xf numFmtId="0" fontId="8" fillId="34" borderId="0" xfId="52" applyFont="1" applyFill="1" applyAlignment="1">
      <alignment horizontal="left"/>
    </xf>
    <xf numFmtId="2" fontId="14" fillId="0" borderId="0" xfId="52" applyNumberFormat="1" applyAlignment="1">
      <alignment vertical="center"/>
    </xf>
    <xf numFmtId="0" fontId="14" fillId="34" borderId="0" xfId="52" applyFill="1" applyAlignment="1">
      <alignment horizontal="right" vertical="center"/>
    </xf>
    <xf numFmtId="169" fontId="14" fillId="0" borderId="0" xfId="52" applyNumberFormat="1" applyAlignment="1">
      <alignment horizontal="center" vertical="center"/>
    </xf>
    <xf numFmtId="2" fontId="14" fillId="0" borderId="0" xfId="52" applyNumberFormat="1" applyAlignment="1">
      <alignment horizontal="center" vertical="center"/>
    </xf>
    <xf numFmtId="172" fontId="14" fillId="0" borderId="0" xfId="52" applyNumberFormat="1" applyAlignment="1">
      <alignment horizontal="center" vertical="center"/>
    </xf>
    <xf numFmtId="0" fontId="4" fillId="35" borderId="22" xfId="0" applyFont="1" applyFill="1" applyBorder="1" applyAlignment="1">
      <alignment horizontal="center"/>
    </xf>
    <xf numFmtId="0" fontId="4" fillId="27" borderId="37" xfId="52" applyFont="1" applyFill="1" applyBorder="1" applyAlignment="1">
      <alignment horizontal="center"/>
    </xf>
    <xf numFmtId="9" fontId="28" fillId="27" borderId="78" xfId="109" applyFont="1" applyFill="1" applyBorder="1" applyAlignment="1">
      <alignment horizontal="center" vertical="center"/>
    </xf>
    <xf numFmtId="9" fontId="28" fillId="27" borderId="161" xfId="109" applyFont="1" applyFill="1" applyBorder="1" applyAlignment="1">
      <alignment horizontal="center" vertical="center"/>
    </xf>
    <xf numFmtId="9" fontId="28" fillId="31" borderId="160" xfId="109" applyFont="1" applyFill="1" applyBorder="1" applyAlignment="1">
      <alignment horizontal="center" vertical="center"/>
    </xf>
    <xf numFmtId="173" fontId="15" fillId="27" borderId="47" xfId="109" applyNumberFormat="1" applyFont="1" applyFill="1" applyBorder="1" applyAlignment="1">
      <alignment horizontal="center" vertical="center"/>
    </xf>
    <xf numFmtId="0" fontId="28" fillId="0" borderId="0" xfId="52" applyFont="1" applyAlignment="1">
      <alignment horizontal="center" vertical="center"/>
    </xf>
    <xf numFmtId="182" fontId="28" fillId="27" borderId="60" xfId="109" applyNumberFormat="1" applyFont="1" applyFill="1" applyBorder="1" applyAlignment="1">
      <alignment horizontal="center" vertical="center"/>
    </xf>
    <xf numFmtId="182" fontId="28" fillId="31" borderId="58" xfId="109" applyNumberFormat="1" applyFont="1" applyFill="1" applyBorder="1" applyAlignment="1">
      <alignment horizontal="center" vertical="center"/>
    </xf>
    <xf numFmtId="173" fontId="28" fillId="27" borderId="81" xfId="109" applyNumberFormat="1" applyFont="1" applyFill="1" applyBorder="1" applyAlignment="1">
      <alignment horizontal="center" vertical="center"/>
    </xf>
    <xf numFmtId="173" fontId="28" fillId="27" borderId="57" xfId="109" applyNumberFormat="1" applyFont="1" applyFill="1" applyBorder="1" applyAlignment="1">
      <alignment horizontal="center" vertical="center"/>
    </xf>
    <xf numFmtId="0" fontId="4" fillId="0" borderId="37" xfId="52" applyFont="1" applyBorder="1" applyAlignment="1">
      <alignment horizontal="center" vertical="center"/>
    </xf>
    <xf numFmtId="9" fontId="15" fillId="0" borderId="56" xfId="109" quotePrefix="1" applyFont="1" applyFill="1" applyBorder="1" applyAlignment="1">
      <alignment horizontal="center" vertical="center"/>
    </xf>
    <xf numFmtId="0" fontId="64" fillId="38" borderId="85" xfId="0" applyFont="1" applyFill="1" applyBorder="1"/>
    <xf numFmtId="0" fontId="64" fillId="38" borderId="51" xfId="0" applyFont="1" applyFill="1" applyBorder="1"/>
    <xf numFmtId="0" fontId="64" fillId="38" borderId="109" xfId="0" applyFont="1" applyFill="1" applyBorder="1"/>
    <xf numFmtId="0" fontId="65" fillId="38" borderId="97" xfId="0" applyFont="1" applyFill="1" applyBorder="1" applyAlignment="1">
      <alignment horizontal="center"/>
    </xf>
    <xf numFmtId="0" fontId="64" fillId="38" borderId="98" xfId="0" applyFont="1" applyFill="1" applyBorder="1"/>
    <xf numFmtId="0" fontId="65" fillId="38" borderId="98" xfId="0" applyFont="1" applyFill="1" applyBorder="1" applyAlignment="1">
      <alignment horizontal="center"/>
    </xf>
    <xf numFmtId="0" fontId="64" fillId="38" borderId="99" xfId="0" applyFont="1" applyFill="1" applyBorder="1" applyAlignment="1">
      <alignment horizontal="center"/>
    </xf>
    <xf numFmtId="0" fontId="64" fillId="38" borderId="95" xfId="0" applyFont="1" applyFill="1" applyBorder="1"/>
    <xf numFmtId="0" fontId="62" fillId="38" borderId="96" xfId="0" applyFont="1" applyFill="1" applyBorder="1"/>
    <xf numFmtId="0" fontId="62" fillId="38" borderId="96" xfId="0" applyFont="1" applyFill="1" applyBorder="1" applyAlignment="1">
      <alignment horizontal="right"/>
    </xf>
    <xf numFmtId="0" fontId="62" fillId="38" borderId="110" xfId="0" applyFont="1" applyFill="1" applyBorder="1" applyAlignment="1">
      <alignment horizontal="right"/>
    </xf>
    <xf numFmtId="16" fontId="64" fillId="38" borderId="100" xfId="0" quotePrefix="1" applyNumberFormat="1" applyFont="1" applyFill="1" applyBorder="1" applyAlignment="1">
      <alignment horizontal="center"/>
    </xf>
    <xf numFmtId="16" fontId="64" fillId="38" borderId="101" xfId="0" quotePrefix="1" applyNumberFormat="1" applyFont="1" applyFill="1" applyBorder="1" applyAlignment="1">
      <alignment horizontal="center"/>
    </xf>
    <xf numFmtId="16" fontId="64" fillId="38" borderId="102" xfId="0" quotePrefix="1" applyNumberFormat="1" applyFont="1" applyFill="1" applyBorder="1" applyAlignment="1">
      <alignment horizontal="center"/>
    </xf>
    <xf numFmtId="0" fontId="5" fillId="39" borderId="103" xfId="0" applyFont="1" applyFill="1" applyBorder="1"/>
    <xf numFmtId="3" fontId="4" fillId="39" borderId="104" xfId="0" applyNumberFormat="1" applyFont="1" applyFill="1" applyBorder="1"/>
    <xf numFmtId="3" fontId="4" fillId="39" borderId="111" xfId="0" applyNumberFormat="1" applyFont="1" applyFill="1" applyBorder="1"/>
    <xf numFmtId="172" fontId="5" fillId="39" borderId="105" xfId="0" applyNumberFormat="1" applyFont="1" applyFill="1" applyBorder="1" applyAlignment="1">
      <alignment horizontal="center"/>
    </xf>
    <xf numFmtId="173" fontId="5" fillId="39" borderId="106" xfId="107" applyNumberFormat="1" applyFont="1" applyFill="1" applyBorder="1" applyAlignment="1">
      <alignment horizontal="center"/>
    </xf>
    <xf numFmtId="172" fontId="5" fillId="39" borderId="106" xfId="0" applyNumberFormat="1" applyFont="1" applyFill="1" applyBorder="1" applyAlignment="1">
      <alignment horizontal="center"/>
    </xf>
    <xf numFmtId="173" fontId="5" fillId="39" borderId="107" xfId="107" applyNumberFormat="1" applyFont="1" applyFill="1" applyBorder="1" applyAlignment="1">
      <alignment horizontal="center"/>
    </xf>
    <xf numFmtId="0" fontId="5" fillId="39" borderId="94" xfId="0" applyFont="1" applyFill="1" applyBorder="1"/>
    <xf numFmtId="3" fontId="4" fillId="39" borderId="16" xfId="0" applyNumberFormat="1" applyFont="1" applyFill="1" applyBorder="1"/>
    <xf numFmtId="3" fontId="4" fillId="39" borderId="108" xfId="0" applyNumberFormat="1" applyFont="1" applyFill="1" applyBorder="1"/>
    <xf numFmtId="172" fontId="5" fillId="39" borderId="114" xfId="0" applyNumberFormat="1" applyFont="1" applyFill="1" applyBorder="1" applyAlignment="1">
      <alignment horizontal="center"/>
    </xf>
    <xf numFmtId="173" fontId="5" fillId="39" borderId="115" xfId="107" applyNumberFormat="1" applyFont="1" applyFill="1" applyBorder="1" applyAlignment="1">
      <alignment horizontal="center"/>
    </xf>
    <xf numFmtId="172" fontId="5" fillId="39" borderId="115" xfId="0" applyNumberFormat="1" applyFont="1" applyFill="1" applyBorder="1" applyAlignment="1">
      <alignment horizontal="center"/>
    </xf>
    <xf numFmtId="173" fontId="5" fillId="39" borderId="116" xfId="107" applyNumberFormat="1" applyFont="1" applyFill="1" applyBorder="1" applyAlignment="1">
      <alignment horizontal="center"/>
    </xf>
    <xf numFmtId="169" fontId="4" fillId="39" borderId="16" xfId="0" applyNumberFormat="1" applyFont="1" applyFill="1" applyBorder="1"/>
    <xf numFmtId="169" fontId="4" fillId="39" borderId="108" xfId="0" applyNumberFormat="1" applyFont="1" applyFill="1" applyBorder="1"/>
    <xf numFmtId="1" fontId="4" fillId="39" borderId="16" xfId="0" applyNumberFormat="1" applyFont="1" applyFill="1" applyBorder="1"/>
    <xf numFmtId="1" fontId="4" fillId="39" borderId="108" xfId="0" applyNumberFormat="1" applyFont="1" applyFill="1" applyBorder="1"/>
    <xf numFmtId="0" fontId="4" fillId="39" borderId="16" xfId="0" applyFont="1" applyFill="1" applyBorder="1"/>
    <xf numFmtId="0" fontId="4" fillId="39" borderId="108" xfId="0" applyFont="1" applyFill="1" applyBorder="1"/>
    <xf numFmtId="0" fontId="5" fillId="39" borderId="114" xfId="0" applyFont="1" applyFill="1" applyBorder="1"/>
    <xf numFmtId="0" fontId="5" fillId="39" borderId="115" xfId="0" applyFont="1" applyFill="1" applyBorder="1"/>
    <xf numFmtId="0" fontId="5" fillId="39" borderId="116" xfId="0" applyFont="1" applyFill="1" applyBorder="1"/>
    <xf numFmtId="0" fontId="62" fillId="38" borderId="21" xfId="0" applyFont="1" applyFill="1" applyBorder="1" applyAlignment="1">
      <alignment horizontal="center" vertical="center"/>
    </xf>
    <xf numFmtId="0" fontId="65" fillId="38" borderId="36" xfId="0" applyFont="1" applyFill="1" applyBorder="1" applyAlignment="1">
      <alignment horizontal="center" vertical="center"/>
    </xf>
    <xf numFmtId="0" fontId="65" fillId="38" borderId="22" xfId="0" applyFont="1" applyFill="1" applyBorder="1" applyAlignment="1">
      <alignment horizontal="center" vertical="center"/>
    </xf>
    <xf numFmtId="0" fontId="65" fillId="38" borderId="35" xfId="0" applyFont="1" applyFill="1" applyBorder="1" applyAlignment="1">
      <alignment horizontal="center" vertical="center"/>
    </xf>
    <xf numFmtId="0" fontId="62" fillId="38" borderId="30" xfId="0" applyFont="1" applyFill="1" applyBorder="1" applyAlignment="1">
      <alignment horizontal="center" vertical="center"/>
    </xf>
    <xf numFmtId="0" fontId="65" fillId="38" borderId="28" xfId="0" applyFont="1" applyFill="1" applyBorder="1" applyAlignment="1">
      <alignment horizontal="center" vertical="center"/>
    </xf>
    <xf numFmtId="0" fontId="65" fillId="38" borderId="21" xfId="0" applyFont="1" applyFill="1" applyBorder="1" applyAlignment="1">
      <alignment horizontal="center" vertical="center"/>
    </xf>
    <xf numFmtId="0" fontId="65" fillId="38" borderId="31" xfId="0" applyFont="1" applyFill="1" applyBorder="1" applyAlignment="1">
      <alignment horizontal="center" vertical="center"/>
    </xf>
    <xf numFmtId="0" fontId="65" fillId="38" borderId="32" xfId="0" applyFont="1" applyFill="1" applyBorder="1" applyAlignment="1">
      <alignment horizontal="center" vertical="center"/>
    </xf>
    <xf numFmtId="169" fontId="62" fillId="38" borderId="132" xfId="0" applyNumberFormat="1" applyFont="1" applyFill="1" applyBorder="1" applyAlignment="1">
      <alignment horizontal="centerContinuous" vertical="center"/>
    </xf>
    <xf numFmtId="169" fontId="62" fillId="38" borderId="151" xfId="0" applyNumberFormat="1" applyFont="1" applyFill="1" applyBorder="1" applyAlignment="1">
      <alignment horizontal="centerContinuous" vertical="center"/>
    </xf>
    <xf numFmtId="169" fontId="66" fillId="38" borderId="151" xfId="0" applyNumberFormat="1" applyFont="1" applyFill="1" applyBorder="1" applyAlignment="1">
      <alignment horizontal="centerContinuous" vertical="center"/>
    </xf>
    <xf numFmtId="169" fontId="66" fillId="38" borderId="130" xfId="0" applyNumberFormat="1" applyFont="1" applyFill="1" applyBorder="1" applyAlignment="1">
      <alignment horizontal="centerContinuous" vertical="center"/>
    </xf>
    <xf numFmtId="169" fontId="66" fillId="38" borderId="149" xfId="0" applyNumberFormat="1" applyFont="1" applyFill="1" applyBorder="1" applyAlignment="1">
      <alignment horizontal="centerContinuous" vertical="center"/>
    </xf>
    <xf numFmtId="169" fontId="65" fillId="38" borderId="150" xfId="0" applyNumberFormat="1" applyFont="1" applyFill="1" applyBorder="1" applyAlignment="1">
      <alignment horizontal="center" vertical="center"/>
    </xf>
    <xf numFmtId="169" fontId="65" fillId="38" borderId="121" xfId="0" applyNumberFormat="1" applyFont="1" applyFill="1" applyBorder="1" applyAlignment="1">
      <alignment horizontal="center" vertical="center"/>
    </xf>
    <xf numFmtId="169" fontId="64" fillId="38" borderId="150" xfId="0" applyNumberFormat="1" applyFont="1" applyFill="1" applyBorder="1" applyAlignment="1">
      <alignment horizontal="center" vertical="center"/>
    </xf>
    <xf numFmtId="169" fontId="65" fillId="38" borderId="122" xfId="0" applyNumberFormat="1" applyFont="1" applyFill="1" applyBorder="1" applyAlignment="1">
      <alignment horizontal="center" vertical="center"/>
    </xf>
    <xf numFmtId="169" fontId="65" fillId="38" borderId="123" xfId="0" applyNumberFormat="1" applyFont="1" applyFill="1" applyBorder="1" applyAlignment="1">
      <alignment horizontal="center" vertical="center"/>
    </xf>
    <xf numFmtId="0" fontId="62" fillId="38" borderId="46" xfId="0" applyFont="1" applyFill="1" applyBorder="1" applyAlignment="1">
      <alignment horizontal="center" vertical="center"/>
    </xf>
    <xf numFmtId="0" fontId="62" fillId="38" borderId="42" xfId="0" applyFont="1" applyFill="1" applyBorder="1" applyAlignment="1">
      <alignment horizontal="center" vertical="center"/>
    </xf>
    <xf numFmtId="0" fontId="62" fillId="38" borderId="63" xfId="0" applyFont="1" applyFill="1" applyBorder="1" applyAlignment="1">
      <alignment horizontal="center" vertical="center"/>
    </xf>
    <xf numFmtId="0" fontId="62" fillId="38" borderId="43" xfId="0" applyFont="1" applyFill="1" applyBorder="1" applyAlignment="1">
      <alignment horizontal="center" vertical="center"/>
    </xf>
    <xf numFmtId="0" fontId="62" fillId="38" borderId="38" xfId="0" applyFont="1" applyFill="1" applyBorder="1" applyAlignment="1">
      <alignment horizontal="center" vertical="center"/>
    </xf>
    <xf numFmtId="169" fontId="62" fillId="38" borderId="152" xfId="0" applyNumberFormat="1" applyFont="1" applyFill="1" applyBorder="1" applyAlignment="1">
      <alignment horizontal="centerContinuous" vertical="center"/>
    </xf>
    <xf numFmtId="169" fontId="64" fillId="38" borderId="153" xfId="0" applyNumberFormat="1" applyFont="1" applyFill="1" applyBorder="1" applyAlignment="1">
      <alignment horizontal="center" vertical="center"/>
    </xf>
    <xf numFmtId="0" fontId="62" fillId="38" borderId="121" xfId="0" applyFont="1" applyFill="1" applyBorder="1" applyAlignment="1">
      <alignment horizontal="center" vertical="center"/>
    </xf>
    <xf numFmtId="0" fontId="62" fillId="38" borderId="122" xfId="0" applyFont="1" applyFill="1" applyBorder="1" applyAlignment="1">
      <alignment horizontal="center" vertical="center"/>
    </xf>
    <xf numFmtId="0" fontId="62" fillId="38" borderId="123" xfId="0" applyFont="1" applyFill="1" applyBorder="1" applyAlignment="1">
      <alignment horizontal="center" vertical="center"/>
    </xf>
    <xf numFmtId="0" fontId="62" fillId="38" borderId="121" xfId="0" applyFont="1" applyFill="1" applyBorder="1" applyAlignment="1">
      <alignment horizontal="center"/>
    </xf>
    <xf numFmtId="0" fontId="62" fillId="38" borderId="122" xfId="0" applyFont="1" applyFill="1" applyBorder="1" applyAlignment="1">
      <alignment horizontal="center"/>
    </xf>
    <xf numFmtId="0" fontId="62" fillId="38" borderId="123" xfId="0" applyFont="1" applyFill="1" applyBorder="1" applyAlignment="1">
      <alignment horizontal="center"/>
    </xf>
    <xf numFmtId="0" fontId="62" fillId="38" borderId="44" xfId="52" applyFont="1" applyFill="1" applyBorder="1" applyAlignment="1">
      <alignment horizontal="center" vertical="center"/>
    </xf>
    <xf numFmtId="0" fontId="62" fillId="38" borderId="124" xfId="52" applyFont="1" applyFill="1" applyBorder="1" applyAlignment="1">
      <alignment horizontal="center" vertical="center"/>
    </xf>
    <xf numFmtId="0" fontId="62" fillId="38" borderId="131" xfId="52" applyFont="1" applyFill="1" applyBorder="1" applyAlignment="1">
      <alignment horizontal="centerContinuous" vertical="center"/>
    </xf>
    <xf numFmtId="0" fontId="66" fillId="38" borderId="131" xfId="52" applyFont="1" applyFill="1" applyBorder="1" applyAlignment="1">
      <alignment horizontal="centerContinuous" vertical="center"/>
    </xf>
    <xf numFmtId="0" fontId="66" fillId="38" borderId="132" xfId="52" applyFont="1" applyFill="1" applyBorder="1" applyAlignment="1">
      <alignment horizontal="centerContinuous" vertical="center"/>
    </xf>
    <xf numFmtId="0" fontId="66" fillId="38" borderId="149" xfId="52" applyFont="1" applyFill="1" applyBorder="1" applyAlignment="1">
      <alignment horizontal="centerContinuous" vertical="center"/>
    </xf>
    <xf numFmtId="0" fontId="65" fillId="38" borderId="43" xfId="52" applyFont="1" applyFill="1" applyBorder="1" applyAlignment="1">
      <alignment horizontal="center" vertical="center"/>
    </xf>
    <xf numFmtId="0" fontId="65" fillId="38" borderId="121" xfId="52" applyFont="1" applyFill="1" applyBorder="1" applyAlignment="1">
      <alignment horizontal="center" vertical="center"/>
    </xf>
    <xf numFmtId="0" fontId="65" fillId="38" borderId="150" xfId="52" applyFont="1" applyFill="1" applyBorder="1" applyAlignment="1">
      <alignment horizontal="center" vertical="center"/>
    </xf>
    <xf numFmtId="0" fontId="65" fillId="38" borderId="15" xfId="52" applyFont="1" applyFill="1" applyBorder="1" applyAlignment="1">
      <alignment horizontal="center" vertical="center"/>
    </xf>
    <xf numFmtId="0" fontId="65" fillId="38" borderId="122" xfId="52" applyFont="1" applyFill="1" applyBorder="1" applyAlignment="1">
      <alignment horizontal="center" vertical="center"/>
    </xf>
    <xf numFmtId="0" fontId="65" fillId="38" borderId="123" xfId="52" applyFont="1" applyFill="1" applyBorder="1" applyAlignment="1">
      <alignment horizontal="center" vertical="center"/>
    </xf>
    <xf numFmtId="0" fontId="62" fillId="38" borderId="136" xfId="52" applyFont="1" applyFill="1" applyBorder="1" applyAlignment="1">
      <alignment horizontal="center" vertical="center"/>
    </xf>
    <xf numFmtId="0" fontId="62" fillId="38" borderId="147" xfId="52" applyFont="1" applyFill="1" applyBorder="1" applyAlignment="1">
      <alignment horizontal="center" vertical="center"/>
    </xf>
    <xf numFmtId="0" fontId="62" fillId="38" borderId="127" xfId="52" applyFont="1" applyFill="1" applyBorder="1" applyAlignment="1">
      <alignment horizontal="center" vertical="center"/>
    </xf>
    <xf numFmtId="0" fontId="62" fillId="38" borderId="128" xfId="52" applyFont="1" applyFill="1" applyBorder="1" applyAlignment="1">
      <alignment horizontal="center" vertical="center"/>
    </xf>
    <xf numFmtId="0" fontId="62" fillId="38" borderId="148" xfId="52" applyFont="1" applyFill="1" applyBorder="1" applyAlignment="1">
      <alignment horizontal="center" vertical="center"/>
    </xf>
    <xf numFmtId="0" fontId="62" fillId="38" borderId="137" xfId="52" applyFont="1" applyFill="1" applyBorder="1" applyAlignment="1">
      <alignment horizontal="center" vertical="center"/>
    </xf>
    <xf numFmtId="0" fontId="62" fillId="38" borderId="46" xfId="52" applyFont="1" applyFill="1" applyBorder="1" applyAlignment="1">
      <alignment horizontal="center"/>
    </xf>
    <xf numFmtId="0" fontId="62" fillId="38" borderId="43" xfId="52" applyFont="1" applyFill="1" applyBorder="1" applyAlignment="1">
      <alignment horizontal="center"/>
    </xf>
    <xf numFmtId="0" fontId="62" fillId="38" borderId="38" xfId="52" applyFont="1" applyFill="1" applyBorder="1" applyAlignment="1">
      <alignment horizontal="center"/>
    </xf>
    <xf numFmtId="0" fontId="62" fillId="38" borderId="135" xfId="52" applyFont="1" applyFill="1" applyBorder="1" applyAlignment="1">
      <alignment horizontal="center"/>
    </xf>
    <xf numFmtId="0" fontId="62" fillId="38" borderId="136" xfId="52" applyFont="1" applyFill="1" applyBorder="1" applyAlignment="1">
      <alignment horizontal="center"/>
    </xf>
    <xf numFmtId="0" fontId="62" fillId="38" borderId="137" xfId="52" applyFont="1" applyFill="1" applyBorder="1" applyAlignment="1">
      <alignment horizontal="center"/>
    </xf>
    <xf numFmtId="0" fontId="62" fillId="38" borderId="63" xfId="52" applyFont="1" applyFill="1" applyBorder="1" applyAlignment="1">
      <alignment horizontal="center"/>
    </xf>
    <xf numFmtId="0" fontId="62" fillId="38" borderId="42" xfId="52" applyFont="1" applyFill="1" applyBorder="1" applyAlignment="1">
      <alignment horizontal="center"/>
    </xf>
    <xf numFmtId="0" fontId="62" fillId="38" borderId="38" xfId="52" applyFont="1" applyFill="1" applyBorder="1" applyAlignment="1">
      <alignment horizontal="center" vertical="center" wrapText="1"/>
    </xf>
    <xf numFmtId="0" fontId="62" fillId="38" borderId="38" xfId="52" applyFont="1" applyFill="1" applyBorder="1" applyAlignment="1">
      <alignment horizontal="center" vertical="center"/>
    </xf>
    <xf numFmtId="0" fontId="62" fillId="38" borderId="42" xfId="52" applyFont="1" applyFill="1" applyBorder="1" applyAlignment="1">
      <alignment horizontal="center" vertical="center"/>
    </xf>
    <xf numFmtId="0" fontId="62" fillId="38" borderId="94" xfId="52" applyFont="1" applyFill="1" applyBorder="1" applyAlignment="1">
      <alignment horizontal="center" vertical="center"/>
    </xf>
    <xf numFmtId="172" fontId="62" fillId="38" borderId="94" xfId="52" applyNumberFormat="1" applyFont="1" applyFill="1" applyBorder="1" applyAlignment="1">
      <alignment horizontal="center" vertical="center"/>
    </xf>
    <xf numFmtId="3" fontId="62" fillId="38" borderId="144" xfId="52" applyNumberFormat="1" applyFont="1" applyFill="1" applyBorder="1" applyAlignment="1">
      <alignment horizontal="center" vertical="center"/>
    </xf>
    <xf numFmtId="3" fontId="62" fillId="38" borderId="72" xfId="52" applyNumberFormat="1" applyFont="1" applyFill="1" applyBorder="1" applyAlignment="1">
      <alignment horizontal="center" vertical="center"/>
    </xf>
    <xf numFmtId="3" fontId="62" fillId="38" borderId="145" xfId="52" applyNumberFormat="1" applyFont="1" applyFill="1" applyBorder="1" applyAlignment="1">
      <alignment horizontal="center" vertical="center"/>
    </xf>
    <xf numFmtId="0" fontId="62" fillId="38" borderId="139" xfId="52" applyFont="1" applyFill="1" applyBorder="1" applyAlignment="1">
      <alignment horizontal="centerContinuous" vertical="center"/>
    </xf>
    <xf numFmtId="0" fontId="62" fillId="38" borderId="140" xfId="52" applyFont="1" applyFill="1" applyBorder="1" applyAlignment="1">
      <alignment horizontal="centerContinuous" vertical="center"/>
    </xf>
    <xf numFmtId="0" fontId="66" fillId="38" borderId="141" xfId="52" applyFont="1" applyFill="1" applyBorder="1" applyAlignment="1">
      <alignment horizontal="centerContinuous" vertical="center"/>
    </xf>
    <xf numFmtId="0" fontId="62" fillId="38" borderId="142" xfId="52" applyFont="1" applyFill="1" applyBorder="1" applyAlignment="1">
      <alignment horizontal="centerContinuous" vertical="center"/>
    </xf>
    <xf numFmtId="0" fontId="66" fillId="38" borderId="140" xfId="52" applyFont="1" applyFill="1" applyBorder="1" applyAlignment="1">
      <alignment horizontal="centerContinuous" vertical="center"/>
    </xf>
    <xf numFmtId="0" fontId="66" fillId="38" borderId="143" xfId="52" applyFont="1" applyFill="1" applyBorder="1" applyAlignment="1">
      <alignment horizontal="centerContinuous" vertical="center"/>
    </xf>
    <xf numFmtId="0" fontId="62" fillId="38" borderId="14" xfId="52" applyFont="1" applyFill="1" applyBorder="1" applyAlignment="1">
      <alignment horizontal="center" vertical="center"/>
    </xf>
    <xf numFmtId="0" fontId="65" fillId="38" borderId="63" xfId="52" applyFont="1" applyFill="1" applyBorder="1" applyAlignment="1">
      <alignment horizontal="center" vertical="center"/>
    </xf>
    <xf numFmtId="0" fontId="65" fillId="38" borderId="20" xfId="52" applyFont="1" applyFill="1" applyBorder="1" applyAlignment="1">
      <alignment horizontal="center" vertical="center"/>
    </xf>
    <xf numFmtId="0" fontId="62" fillId="38" borderId="26" xfId="52" applyFont="1" applyFill="1" applyBorder="1" applyAlignment="1">
      <alignment horizontal="center" vertical="center"/>
    </xf>
    <xf numFmtId="0" fontId="62" fillId="38" borderId="121" xfId="52" applyFont="1" applyFill="1" applyBorder="1" applyAlignment="1">
      <alignment horizontal="center" vertical="center"/>
    </xf>
    <xf numFmtId="0" fontId="62" fillId="38" borderId="122" xfId="52" applyFont="1" applyFill="1" applyBorder="1" applyAlignment="1">
      <alignment horizontal="center" vertical="center"/>
    </xf>
    <xf numFmtId="0" fontId="62" fillId="38" borderId="154" xfId="52" applyFont="1" applyFill="1" applyBorder="1" applyAlignment="1">
      <alignment horizontal="center" vertical="center"/>
    </xf>
    <xf numFmtId="0" fontId="62" fillId="38" borderId="153" xfId="52" applyFont="1" applyFill="1" applyBorder="1" applyAlignment="1">
      <alignment horizontal="center" vertical="center"/>
    </xf>
    <xf numFmtId="0" fontId="62" fillId="38" borderId="155" xfId="52" applyFont="1" applyFill="1" applyBorder="1" applyAlignment="1">
      <alignment horizontal="center" vertical="center"/>
    </xf>
    <xf numFmtId="0" fontId="62" fillId="38" borderId="27" xfId="52" applyFont="1" applyFill="1" applyBorder="1" applyAlignment="1">
      <alignment horizontal="center" vertical="center"/>
    </xf>
    <xf numFmtId="0" fontId="65" fillId="38" borderId="21" xfId="52" applyFont="1" applyFill="1" applyBorder="1" applyAlignment="1">
      <alignment horizontal="center" vertical="center"/>
    </xf>
    <xf numFmtId="0" fontId="65" fillId="38" borderId="29" xfId="52" applyFont="1" applyFill="1" applyBorder="1" applyAlignment="1">
      <alignment horizontal="center" vertical="center"/>
    </xf>
    <xf numFmtId="0" fontId="65" fillId="38" borderId="27" xfId="52" applyFont="1" applyFill="1" applyBorder="1" applyAlignment="1">
      <alignment horizontal="center" vertical="center"/>
    </xf>
    <xf numFmtId="0" fontId="65" fillId="38" borderId="28" xfId="52" applyFont="1" applyFill="1" applyBorder="1" applyAlignment="1">
      <alignment horizontal="center" vertical="center"/>
    </xf>
    <xf numFmtId="9" fontId="28" fillId="31" borderId="65" xfId="109" applyFont="1" applyFill="1" applyBorder="1" applyAlignment="1">
      <alignment horizontal="center" vertical="center"/>
    </xf>
    <xf numFmtId="9" fontId="28" fillId="27" borderId="47" xfId="109" applyFont="1" applyFill="1" applyBorder="1" applyAlignment="1">
      <alignment horizontal="center" vertical="center"/>
    </xf>
    <xf numFmtId="1" fontId="28" fillId="27" borderId="24" xfId="109" applyNumberFormat="1" applyFont="1" applyFill="1" applyBorder="1" applyAlignment="1">
      <alignment horizontal="center" vertical="center"/>
    </xf>
    <xf numFmtId="9" fontId="28" fillId="31" borderId="68" xfId="109" applyFont="1" applyFill="1" applyBorder="1" applyAlignment="1">
      <alignment horizontal="center" vertical="center"/>
    </xf>
    <xf numFmtId="9" fontId="28" fillId="31" borderId="78" xfId="109" applyFont="1" applyFill="1" applyBorder="1" applyAlignment="1">
      <alignment horizontal="center" vertical="center"/>
    </xf>
    <xf numFmtId="9" fontId="28" fillId="27" borderId="84" xfId="109" applyFont="1" applyFill="1" applyBorder="1" applyAlignment="1">
      <alignment horizontal="center" vertical="center"/>
    </xf>
    <xf numFmtId="0" fontId="62" fillId="38" borderId="150" xfId="52" applyFont="1" applyFill="1" applyBorder="1" applyAlignment="1">
      <alignment horizontal="center" vertical="center"/>
    </xf>
    <xf numFmtId="173" fontId="28" fillId="27" borderId="68" xfId="109" applyNumberFormat="1" applyFont="1" applyFill="1" applyBorder="1" applyAlignment="1">
      <alignment horizontal="center" vertical="center"/>
    </xf>
    <xf numFmtId="0" fontId="62" fillId="38" borderId="154" xfId="52" applyFont="1" applyFill="1" applyBorder="1" applyAlignment="1">
      <alignment horizontal="center"/>
    </xf>
    <xf numFmtId="0" fontId="62" fillId="38" borderId="121" xfId="52" applyFont="1" applyFill="1" applyBorder="1" applyAlignment="1">
      <alignment horizontal="center"/>
    </xf>
    <xf numFmtId="0" fontId="62" fillId="38" borderId="123" xfId="52" applyFont="1" applyFill="1" applyBorder="1" applyAlignment="1">
      <alignment horizontal="center"/>
    </xf>
    <xf numFmtId="0" fontId="65" fillId="38" borderId="72" xfId="52" applyFont="1" applyFill="1" applyBorder="1" applyAlignment="1">
      <alignment horizontal="center" vertical="center"/>
    </xf>
    <xf numFmtId="0" fontId="65" fillId="38" borderId="16" xfId="52" applyFont="1" applyFill="1" applyBorder="1" applyAlignment="1">
      <alignment horizontal="center" vertical="center"/>
    </xf>
    <xf numFmtId="0" fontId="65" fillId="38" borderId="94" xfId="52" applyFont="1" applyFill="1" applyBorder="1" applyAlignment="1">
      <alignment horizontal="center" vertical="center"/>
    </xf>
    <xf numFmtId="0" fontId="65" fillId="38" borderId="125" xfId="52" applyFont="1" applyFill="1" applyBorder="1" applyAlignment="1">
      <alignment horizontal="center" vertical="center"/>
    </xf>
    <xf numFmtId="0" fontId="65" fillId="38" borderId="116" xfId="52" applyFont="1" applyFill="1" applyBorder="1" applyAlignment="1">
      <alignment horizontal="center" vertical="center"/>
    </xf>
    <xf numFmtId="0" fontId="65" fillId="38" borderId="31" xfId="52" applyFont="1" applyFill="1" applyBorder="1" applyAlignment="1">
      <alignment horizontal="center" vertical="center"/>
    </xf>
    <xf numFmtId="0" fontId="62" fillId="38" borderId="153" xfId="52" applyFont="1" applyFill="1" applyBorder="1" applyAlignment="1">
      <alignment horizontal="center"/>
    </xf>
    <xf numFmtId="0" fontId="62" fillId="38" borderId="155" xfId="52" applyFont="1" applyFill="1" applyBorder="1" applyAlignment="1">
      <alignment horizontal="center"/>
    </xf>
    <xf numFmtId="0" fontId="62" fillId="38" borderId="72" xfId="52" applyFont="1" applyFill="1" applyBorder="1" applyAlignment="1">
      <alignment horizontal="center" vertical="center"/>
    </xf>
    <xf numFmtId="0" fontId="62" fillId="38" borderId="72" xfId="52" applyFont="1" applyFill="1" applyBorder="1" applyAlignment="1">
      <alignment horizontal="center" vertical="center" wrapText="1"/>
    </xf>
    <xf numFmtId="0" fontId="62" fillId="38" borderId="11" xfId="52" applyFont="1" applyFill="1" applyBorder="1" applyAlignment="1">
      <alignment horizontal="center" vertical="center"/>
    </xf>
    <xf numFmtId="0" fontId="62" fillId="38" borderId="0" xfId="52" applyFont="1" applyFill="1" applyAlignment="1">
      <alignment horizontal="center" vertical="center" wrapText="1"/>
    </xf>
    <xf numFmtId="0" fontId="62" fillId="38" borderId="37" xfId="52" applyFont="1" applyFill="1" applyBorder="1" applyAlignment="1">
      <alignment horizontal="center" vertical="center" wrapText="1"/>
    </xf>
    <xf numFmtId="9" fontId="28" fillId="36" borderId="64" xfId="109" applyFont="1" applyFill="1" applyBorder="1" applyAlignment="1">
      <alignment horizontal="center" vertical="center"/>
    </xf>
    <xf numFmtId="9" fontId="28" fillId="36" borderId="83" xfId="109" applyFont="1" applyFill="1" applyBorder="1" applyAlignment="1">
      <alignment horizontal="center" vertical="center"/>
    </xf>
    <xf numFmtId="9" fontId="28" fillId="36" borderId="74" xfId="109" applyFont="1" applyFill="1" applyBorder="1" applyAlignment="1">
      <alignment horizontal="center" vertical="center"/>
    </xf>
    <xf numFmtId="9" fontId="28" fillId="27" borderId="76" xfId="109" applyFont="1" applyFill="1" applyBorder="1" applyAlignment="1">
      <alignment horizontal="center" vertical="center"/>
    </xf>
    <xf numFmtId="9" fontId="28" fillId="36" borderId="24" xfId="109" applyFont="1" applyFill="1" applyBorder="1" applyAlignment="1">
      <alignment horizontal="center" vertical="center"/>
    </xf>
    <xf numFmtId="9" fontId="28" fillId="36" borderId="58" xfId="109" applyFont="1" applyFill="1" applyBorder="1" applyAlignment="1">
      <alignment horizontal="center" vertical="center"/>
    </xf>
    <xf numFmtId="9" fontId="28" fillId="36" borderId="76" xfId="109" applyFont="1" applyFill="1" applyBorder="1" applyAlignment="1">
      <alignment horizontal="center" vertical="center"/>
    </xf>
    <xf numFmtId="9" fontId="28" fillId="27" borderId="38" xfId="109" applyFont="1" applyFill="1" applyBorder="1" applyAlignment="1">
      <alignment horizontal="center" vertical="center"/>
    </xf>
    <xf numFmtId="9" fontId="28" fillId="27" borderId="15" xfId="109" applyFont="1" applyFill="1" applyBorder="1" applyAlignment="1">
      <alignment horizontal="center" vertical="center"/>
    </xf>
    <xf numFmtId="9" fontId="28" fillId="27" borderId="52" xfId="109" applyFont="1" applyFill="1" applyBorder="1" applyAlignment="1">
      <alignment horizontal="center" vertical="center"/>
    </xf>
    <xf numFmtId="0" fontId="66" fillId="38" borderId="85" xfId="52" applyFont="1" applyFill="1" applyBorder="1" applyAlignment="1">
      <alignment horizontal="center" vertical="center"/>
    </xf>
    <xf numFmtId="0" fontId="66" fillId="38" borderId="14" xfId="52" applyFont="1" applyFill="1" applyBorder="1" applyAlignment="1">
      <alignment horizontal="center" vertical="center"/>
    </xf>
    <xf numFmtId="0" fontId="66" fillId="38" borderId="85" xfId="52" applyFont="1" applyFill="1" applyBorder="1"/>
    <xf numFmtId="173" fontId="28" fillId="36" borderId="64" xfId="109" applyNumberFormat="1" applyFont="1" applyFill="1" applyBorder="1" applyAlignment="1">
      <alignment horizontal="center" vertical="center"/>
    </xf>
    <xf numFmtId="173" fontId="28" fillId="36" borderId="74" xfId="109" applyNumberFormat="1" applyFont="1" applyFill="1" applyBorder="1" applyAlignment="1">
      <alignment horizontal="center" vertical="center"/>
    </xf>
    <xf numFmtId="173" fontId="28" fillId="27" borderId="24" xfId="109" applyNumberFormat="1" applyFont="1" applyFill="1" applyBorder="1" applyAlignment="1">
      <alignment horizontal="center" vertical="center"/>
    </xf>
    <xf numFmtId="9" fontId="15" fillId="0" borderId="23" xfId="108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9" fontId="35" fillId="0" borderId="51" xfId="108" applyFont="1" applyFill="1" applyBorder="1" applyAlignment="1">
      <alignment horizontal="center" vertical="center"/>
    </xf>
    <xf numFmtId="9" fontId="15" fillId="0" borderId="64" xfId="108" applyFont="1" applyFill="1" applyBorder="1" applyAlignment="1">
      <alignment horizontal="center" vertical="center"/>
    </xf>
    <xf numFmtId="9" fontId="15" fillId="0" borderId="24" xfId="108" applyFont="1" applyFill="1" applyBorder="1" applyAlignment="1">
      <alignment horizontal="center" vertical="center"/>
    </xf>
    <xf numFmtId="9" fontId="15" fillId="0" borderId="59" xfId="108" applyFont="1" applyFill="1" applyBorder="1" applyAlignment="1">
      <alignment horizontal="center" vertical="center"/>
    </xf>
    <xf numFmtId="9" fontId="35" fillId="0" borderId="0" xfId="108" applyFont="1" applyFill="1" applyBorder="1" applyAlignment="1">
      <alignment horizontal="center" vertical="center"/>
    </xf>
    <xf numFmtId="9" fontId="15" fillId="0" borderId="68" xfId="108" applyFont="1" applyFill="1" applyBorder="1" applyAlignment="1">
      <alignment horizontal="center" vertical="center"/>
    </xf>
    <xf numFmtId="9" fontId="15" fillId="31" borderId="61" xfId="108" applyFont="1" applyFill="1" applyBorder="1" applyAlignment="1">
      <alignment horizontal="center" vertical="center"/>
    </xf>
    <xf numFmtId="9" fontId="15" fillId="31" borderId="50" xfId="108" applyFont="1" applyFill="1" applyBorder="1" applyAlignment="1">
      <alignment horizontal="center" vertical="center"/>
    </xf>
    <xf numFmtId="9" fontId="15" fillId="0" borderId="67" xfId="108" applyFont="1" applyFill="1" applyBorder="1" applyAlignment="1">
      <alignment horizontal="center" vertical="center"/>
    </xf>
    <xf numFmtId="0" fontId="0" fillId="27" borderId="51" xfId="0" applyFill="1" applyBorder="1" applyAlignment="1">
      <alignment horizontal="center" vertical="center"/>
    </xf>
    <xf numFmtId="9" fontId="35" fillId="27" borderId="51" xfId="108" applyFont="1" applyFill="1" applyBorder="1" applyAlignment="1">
      <alignment horizontal="center" vertical="center"/>
    </xf>
    <xf numFmtId="9" fontId="15" fillId="0" borderId="83" xfId="108" applyFont="1" applyFill="1" applyBorder="1" applyAlignment="1">
      <alignment horizontal="center" vertical="center"/>
    </xf>
    <xf numFmtId="9" fontId="15" fillId="31" borderId="54" xfId="108" applyFont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9" fontId="35" fillId="27" borderId="0" xfId="108" applyFont="1" applyFill="1" applyBorder="1" applyAlignment="1">
      <alignment horizontal="center" vertical="center"/>
    </xf>
    <xf numFmtId="9" fontId="15" fillId="0" borderId="58" xfId="108" applyFont="1" applyFill="1" applyBorder="1" applyAlignment="1">
      <alignment horizontal="center" vertical="center"/>
    </xf>
    <xf numFmtId="9" fontId="35" fillId="27" borderId="11" xfId="108" applyFont="1" applyFill="1" applyBorder="1" applyAlignment="1">
      <alignment horizontal="center" vertical="center"/>
    </xf>
    <xf numFmtId="173" fontId="15" fillId="31" borderId="23" xfId="108" applyNumberFormat="1" applyFont="1" applyFill="1" applyBorder="1" applyAlignment="1">
      <alignment horizontal="center" vertical="center"/>
    </xf>
    <xf numFmtId="9" fontId="15" fillId="31" borderId="49" xfId="109" applyFont="1" applyFill="1" applyBorder="1" applyAlignment="1">
      <alignment horizontal="center" vertical="center"/>
    </xf>
    <xf numFmtId="9" fontId="15" fillId="31" borderId="50" xfId="109" applyFont="1" applyFill="1" applyBorder="1" applyAlignment="1">
      <alignment horizontal="center" vertical="center"/>
    </xf>
    <xf numFmtId="173" fontId="15" fillId="27" borderId="0" xfId="108" applyNumberFormat="1" applyFont="1" applyFill="1" applyBorder="1" applyAlignment="1">
      <alignment horizontal="center" vertical="center"/>
    </xf>
    <xf numFmtId="9" fontId="15" fillId="27" borderId="51" xfId="108" applyFont="1" applyFill="1" applyBorder="1" applyAlignment="1">
      <alignment horizontal="center" vertical="center"/>
    </xf>
    <xf numFmtId="9" fontId="15" fillId="27" borderId="0" xfId="108" applyFont="1" applyFill="1" applyBorder="1" applyAlignment="1">
      <alignment horizontal="center" vertical="center"/>
    </xf>
    <xf numFmtId="173" fontId="15" fillId="31" borderId="68" xfId="108" applyNumberFormat="1" applyFont="1" applyFill="1" applyBorder="1" applyAlignment="1">
      <alignment horizontal="center" vertical="center"/>
    </xf>
    <xf numFmtId="173" fontId="15" fillId="31" borderId="24" xfId="108" applyNumberFormat="1" applyFont="1" applyFill="1" applyBorder="1" applyAlignment="1">
      <alignment horizontal="center" vertical="center"/>
    </xf>
    <xf numFmtId="173" fontId="15" fillId="31" borderId="59" xfId="108" applyNumberFormat="1" applyFont="1" applyFill="1" applyBorder="1" applyAlignment="1">
      <alignment horizontal="center" vertical="center"/>
    </xf>
    <xf numFmtId="173" fontId="15" fillId="31" borderId="70" xfId="108" applyNumberFormat="1" applyFont="1" applyFill="1" applyBorder="1" applyAlignment="1">
      <alignment horizontal="center" vertical="center"/>
    </xf>
    <xf numFmtId="173" fontId="15" fillId="31" borderId="61" xfId="108" applyNumberFormat="1" applyFont="1" applyFill="1" applyBorder="1" applyAlignment="1">
      <alignment horizontal="center" vertical="center"/>
    </xf>
    <xf numFmtId="173" fontId="15" fillId="31" borderId="50" xfId="108" applyNumberFormat="1" applyFont="1" applyFill="1" applyBorder="1" applyAlignment="1">
      <alignment horizontal="center" vertical="center"/>
    </xf>
    <xf numFmtId="9" fontId="15" fillId="0" borderId="67" xfId="108" quotePrefix="1" applyFont="1" applyFill="1" applyBorder="1" applyAlignment="1">
      <alignment horizontal="center" vertical="center"/>
    </xf>
    <xf numFmtId="9" fontId="15" fillId="31" borderId="69" xfId="108" quotePrefix="1" applyFont="1" applyFill="1" applyBorder="1" applyAlignment="1">
      <alignment horizontal="center" vertical="center"/>
    </xf>
    <xf numFmtId="9" fontId="15" fillId="31" borderId="59" xfId="108" quotePrefix="1" applyFont="1" applyFill="1" applyBorder="1" applyAlignment="1">
      <alignment horizontal="center" vertical="center"/>
    </xf>
    <xf numFmtId="9" fontId="15" fillId="0" borderId="69" xfId="108" quotePrefix="1" applyFont="1" applyFill="1" applyBorder="1" applyAlignment="1">
      <alignment horizontal="center" vertical="center"/>
    </xf>
    <xf numFmtId="9" fontId="15" fillId="0" borderId="59" xfId="108" quotePrefix="1" applyFont="1" applyFill="1" applyBorder="1" applyAlignment="1">
      <alignment horizontal="center" vertical="center"/>
    </xf>
    <xf numFmtId="9" fontId="15" fillId="31" borderId="49" xfId="108" quotePrefix="1" applyFont="1" applyFill="1" applyBorder="1" applyAlignment="1">
      <alignment horizontal="center" vertical="center"/>
    </xf>
    <xf numFmtId="9" fontId="15" fillId="31" borderId="50" xfId="108" quotePrefix="1" applyFont="1" applyFill="1" applyBorder="1" applyAlignment="1">
      <alignment horizontal="center" vertical="center"/>
    </xf>
    <xf numFmtId="0" fontId="4" fillId="29" borderId="11" xfId="0" applyFont="1" applyFill="1" applyBorder="1" applyAlignment="1">
      <alignment horizontal="center"/>
    </xf>
    <xf numFmtId="0" fontId="3" fillId="31" borderId="37" xfId="52" applyFont="1" applyFill="1" applyBorder="1" applyAlignment="1">
      <alignment horizontal="center"/>
    </xf>
    <xf numFmtId="0" fontId="4" fillId="0" borderId="35" xfId="52" applyFont="1" applyBorder="1" applyAlignment="1">
      <alignment horizontal="center"/>
    </xf>
    <xf numFmtId="0" fontId="3" fillId="28" borderId="35" xfId="52" applyFont="1" applyFill="1" applyBorder="1" applyAlignment="1">
      <alignment horizontal="center"/>
    </xf>
    <xf numFmtId="4" fontId="14" fillId="34" borderId="0" xfId="52" applyNumberFormat="1" applyFill="1"/>
    <xf numFmtId="164" fontId="14" fillId="34" borderId="0" xfId="35" applyFont="1" applyFill="1"/>
    <xf numFmtId="173" fontId="28" fillId="0" borderId="55" xfId="109" applyNumberFormat="1" applyFont="1" applyFill="1" applyBorder="1" applyAlignment="1">
      <alignment horizontal="center" vertical="center"/>
    </xf>
    <xf numFmtId="4" fontId="14" fillId="0" borderId="0" xfId="52" applyNumberFormat="1" applyAlignment="1">
      <alignment vertical="center"/>
    </xf>
    <xf numFmtId="164" fontId="14" fillId="0" borderId="0" xfId="35" applyFont="1" applyAlignment="1">
      <alignment vertical="center"/>
    </xf>
    <xf numFmtId="186" fontId="14" fillId="0" borderId="0" xfId="52" applyNumberFormat="1" applyAlignment="1">
      <alignment vertical="center"/>
    </xf>
    <xf numFmtId="173" fontId="28" fillId="31" borderId="24" xfId="109" applyNumberFormat="1" applyFont="1" applyFill="1" applyBorder="1" applyAlignment="1">
      <alignment horizontal="center" vertical="center"/>
    </xf>
    <xf numFmtId="173" fontId="28" fillId="31" borderId="161" xfId="109" applyNumberFormat="1" applyFont="1" applyFill="1" applyBorder="1" applyAlignment="1">
      <alignment horizontal="center" vertical="center"/>
    </xf>
    <xf numFmtId="10" fontId="28" fillId="27" borderId="162" xfId="109" applyNumberFormat="1" applyFont="1" applyFill="1" applyBorder="1" applyAlignment="1">
      <alignment horizontal="center" vertical="center"/>
    </xf>
    <xf numFmtId="10" fontId="28" fillId="27" borderId="79" xfId="109" applyNumberFormat="1" applyFont="1" applyFill="1" applyBorder="1" applyAlignment="1">
      <alignment horizontal="center" vertical="center"/>
    </xf>
    <xf numFmtId="0" fontId="62" fillId="38" borderId="46" xfId="52" applyFont="1" applyFill="1" applyBorder="1" applyAlignment="1">
      <alignment horizontal="center" vertical="center"/>
    </xf>
    <xf numFmtId="0" fontId="62" fillId="38" borderId="126" xfId="52" applyFont="1" applyFill="1" applyBorder="1" applyAlignment="1">
      <alignment horizontal="center" vertical="center"/>
    </xf>
    <xf numFmtId="169" fontId="3" fillId="27" borderId="33" xfId="0" applyNumberFormat="1" applyFont="1" applyFill="1" applyBorder="1"/>
    <xf numFmtId="9" fontId="28" fillId="28" borderId="25" xfId="108" applyFont="1" applyFill="1" applyBorder="1" applyAlignment="1">
      <alignment horizontal="center" vertical="center"/>
    </xf>
    <xf numFmtId="9" fontId="15" fillId="31" borderId="51" xfId="108" applyFont="1" applyFill="1" applyBorder="1" applyAlignment="1">
      <alignment horizontal="center" vertical="center"/>
    </xf>
    <xf numFmtId="9" fontId="15" fillId="31" borderId="26" xfId="108" applyFont="1" applyFill="1" applyBorder="1" applyAlignment="1">
      <alignment horizontal="center" vertical="center"/>
    </xf>
    <xf numFmtId="9" fontId="15" fillId="31" borderId="80" xfId="108" applyFont="1" applyFill="1" applyBorder="1" applyAlignment="1">
      <alignment horizontal="center" vertical="center"/>
    </xf>
    <xf numFmtId="9" fontId="15" fillId="31" borderId="44" xfId="108" applyFont="1" applyFill="1" applyBorder="1" applyAlignment="1">
      <alignment horizontal="center" vertical="center"/>
    </xf>
    <xf numFmtId="173" fontId="15" fillId="27" borderId="59" xfId="108" applyNumberFormat="1" applyFont="1" applyFill="1" applyBorder="1" applyAlignment="1">
      <alignment horizontal="center" vertical="center"/>
    </xf>
    <xf numFmtId="0" fontId="5" fillId="31" borderId="64" xfId="0" applyFont="1" applyFill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31" borderId="81" xfId="0" applyFont="1" applyFill="1" applyBorder="1" applyAlignment="1">
      <alignment vertical="center"/>
    </xf>
    <xf numFmtId="0" fontId="5" fillId="0" borderId="70" xfId="0" applyFont="1" applyBorder="1" applyAlignment="1">
      <alignment vertical="center"/>
    </xf>
    <xf numFmtId="0" fontId="62" fillId="38" borderId="36" xfId="0" applyFont="1" applyFill="1" applyBorder="1" applyAlignment="1">
      <alignment horizontal="center" vertical="center"/>
    </xf>
    <xf numFmtId="172" fontId="0" fillId="29" borderId="32" xfId="0" applyNumberFormat="1" applyFill="1" applyBorder="1" applyAlignment="1">
      <alignment horizontal="center"/>
    </xf>
    <xf numFmtId="172" fontId="0" fillId="30" borderId="36" xfId="0" applyNumberFormat="1" applyFill="1" applyBorder="1" applyAlignment="1">
      <alignment horizontal="center"/>
    </xf>
    <xf numFmtId="172" fontId="0" fillId="29" borderId="36" xfId="0" applyNumberFormat="1" applyFill="1" applyBorder="1" applyAlignment="1">
      <alignment horizontal="center"/>
    </xf>
    <xf numFmtId="172" fontId="60" fillId="30" borderId="36" xfId="0" applyNumberFormat="1" applyFont="1" applyFill="1" applyBorder="1" applyAlignment="1">
      <alignment horizontal="center"/>
    </xf>
    <xf numFmtId="172" fontId="60" fillId="0" borderId="36" xfId="0" applyNumberFormat="1" applyFont="1" applyBorder="1" applyAlignment="1">
      <alignment horizontal="center"/>
    </xf>
    <xf numFmtId="172" fontId="0" fillId="29" borderId="71" xfId="0" applyNumberFormat="1" applyFill="1" applyBorder="1" applyAlignment="1">
      <alignment horizontal="center"/>
    </xf>
    <xf numFmtId="172" fontId="0" fillId="30" borderId="37" xfId="0" applyNumberFormat="1" applyFill="1" applyBorder="1" applyAlignment="1">
      <alignment horizontal="center"/>
    </xf>
    <xf numFmtId="172" fontId="0" fillId="29" borderId="37" xfId="0" applyNumberFormat="1" applyFill="1" applyBorder="1" applyAlignment="1">
      <alignment horizontal="center"/>
    </xf>
    <xf numFmtId="172" fontId="60" fillId="30" borderId="37" xfId="0" applyNumberFormat="1" applyFont="1" applyFill="1" applyBorder="1" applyAlignment="1">
      <alignment horizontal="center"/>
    </xf>
    <xf numFmtId="172" fontId="60" fillId="0" borderId="37" xfId="0" applyNumberFormat="1" applyFont="1" applyBorder="1" applyAlignment="1">
      <alignment horizontal="center"/>
    </xf>
    <xf numFmtId="9" fontId="15" fillId="31" borderId="60" xfId="108" applyFont="1" applyFill="1" applyBorder="1" applyAlignment="1">
      <alignment horizontal="center" vertical="center"/>
    </xf>
    <xf numFmtId="172" fontId="4" fillId="31" borderId="37" xfId="0" applyNumberFormat="1" applyFont="1" applyFill="1" applyBorder="1"/>
    <xf numFmtId="172" fontId="4" fillId="27" borderId="37" xfId="0" applyNumberFormat="1" applyFont="1" applyFill="1" applyBorder="1"/>
    <xf numFmtId="4" fontId="4" fillId="27" borderId="37" xfId="0" applyNumberFormat="1" applyFont="1" applyFill="1" applyBorder="1"/>
    <xf numFmtId="172" fontId="4" fillId="0" borderId="37" xfId="0" applyNumberFormat="1" applyFont="1" applyBorder="1"/>
    <xf numFmtId="9" fontId="15" fillId="0" borderId="74" xfId="108" applyFont="1" applyFill="1" applyBorder="1" applyAlignment="1">
      <alignment horizontal="center" vertical="center"/>
    </xf>
    <xf numFmtId="173" fontId="15" fillId="31" borderId="76" xfId="108" applyNumberFormat="1" applyFont="1" applyFill="1" applyBorder="1" applyAlignment="1">
      <alignment horizontal="center" vertical="center"/>
    </xf>
    <xf numFmtId="9" fontId="15" fillId="0" borderId="76" xfId="108" applyFont="1" applyFill="1" applyBorder="1" applyAlignment="1">
      <alignment horizontal="center" vertical="center"/>
    </xf>
    <xf numFmtId="9" fontId="15" fillId="31" borderId="79" xfId="108" applyFont="1" applyFill="1" applyBorder="1" applyAlignment="1">
      <alignment horizontal="center" vertical="center"/>
    </xf>
    <xf numFmtId="0" fontId="62" fillId="38" borderId="1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9" fontId="15" fillId="0" borderId="35" xfId="109" applyFont="1" applyFill="1" applyBorder="1" applyAlignment="1">
      <alignment horizontal="center" vertical="center"/>
    </xf>
    <xf numFmtId="9" fontId="15" fillId="0" borderId="33" xfId="109" applyFont="1" applyFill="1" applyBorder="1" applyAlignment="1">
      <alignment horizontal="center" vertical="center"/>
    </xf>
    <xf numFmtId="0" fontId="5" fillId="36" borderId="81" xfId="0" applyFont="1" applyFill="1" applyBorder="1" applyAlignment="1">
      <alignment horizontal="left" vertical="center" wrapText="1"/>
    </xf>
    <xf numFmtId="9" fontId="15" fillId="36" borderId="54" xfId="109" applyFont="1" applyFill="1" applyBorder="1" applyAlignment="1">
      <alignment horizontal="center" vertical="center"/>
    </xf>
    <xf numFmtId="0" fontId="5" fillId="0" borderId="118" xfId="0" applyFont="1" applyBorder="1" applyAlignment="1">
      <alignment horizontal="left" vertical="center" wrapText="1"/>
    </xf>
    <xf numFmtId="9" fontId="15" fillId="0" borderId="119" xfId="109" applyFont="1" applyFill="1" applyBorder="1" applyAlignment="1">
      <alignment horizontal="center" vertical="center"/>
    </xf>
    <xf numFmtId="9" fontId="15" fillId="0" borderId="120" xfId="109" applyFont="1" applyFill="1" applyBorder="1" applyAlignment="1">
      <alignment horizontal="center" vertical="center"/>
    </xf>
    <xf numFmtId="172" fontId="28" fillId="36" borderId="36" xfId="0" applyNumberFormat="1" applyFont="1" applyFill="1" applyBorder="1"/>
    <xf numFmtId="4" fontId="4" fillId="31" borderId="37" xfId="0" applyNumberFormat="1" applyFont="1" applyFill="1" applyBorder="1"/>
    <xf numFmtId="172" fontId="4" fillId="36" borderId="37" xfId="0" applyNumberFormat="1" applyFont="1" applyFill="1" applyBorder="1"/>
    <xf numFmtId="9" fontId="15" fillId="31" borderId="76" xfId="108" applyFont="1" applyFill="1" applyBorder="1" applyAlignment="1">
      <alignment horizontal="center" vertical="center"/>
    </xf>
    <xf numFmtId="9" fontId="15" fillId="0" borderId="164" xfId="109" applyFont="1" applyFill="1" applyBorder="1" applyAlignment="1">
      <alignment horizontal="center" vertical="center"/>
    </xf>
    <xf numFmtId="9" fontId="15" fillId="36" borderId="57" xfId="109" applyFont="1" applyFill="1" applyBorder="1" applyAlignment="1">
      <alignment horizontal="center" vertical="center"/>
    </xf>
    <xf numFmtId="9" fontId="15" fillId="31" borderId="60" xfId="109" applyFont="1" applyFill="1" applyBorder="1" applyAlignment="1">
      <alignment horizontal="center" vertical="center"/>
    </xf>
    <xf numFmtId="9" fontId="28" fillId="0" borderId="165" xfId="109" applyFont="1" applyFill="1" applyBorder="1" applyAlignment="1">
      <alignment horizontal="center" vertical="center"/>
    </xf>
    <xf numFmtId="9" fontId="28" fillId="36" borderId="82" xfId="109" applyFont="1" applyFill="1" applyBorder="1" applyAlignment="1">
      <alignment horizontal="center" vertical="center"/>
    </xf>
    <xf numFmtId="9" fontId="28" fillId="0" borderId="37" xfId="109" applyFont="1" applyFill="1" applyBorder="1" applyAlignment="1">
      <alignment horizontal="center" vertical="center"/>
    </xf>
    <xf numFmtId="169" fontId="65" fillId="38" borderId="63" xfId="0" applyNumberFormat="1" applyFont="1" applyFill="1" applyBorder="1" applyAlignment="1">
      <alignment horizontal="center" vertical="center"/>
    </xf>
    <xf numFmtId="169" fontId="65" fillId="38" borderId="38" xfId="0" applyNumberFormat="1" applyFont="1" applyFill="1" applyBorder="1" applyAlignment="1">
      <alignment horizontal="center" vertical="center"/>
    </xf>
    <xf numFmtId="169" fontId="65" fillId="38" borderId="46" xfId="0" applyNumberFormat="1" applyFont="1" applyFill="1" applyBorder="1" applyAlignment="1">
      <alignment horizontal="center" vertical="center"/>
    </xf>
    <xf numFmtId="169" fontId="65" fillId="38" borderId="153" xfId="0" applyNumberFormat="1" applyFont="1" applyFill="1" applyBorder="1" applyAlignment="1">
      <alignment horizontal="center" vertical="center"/>
    </xf>
    <xf numFmtId="177" fontId="4" fillId="31" borderId="34" xfId="0" applyNumberFormat="1" applyFont="1" applyFill="1" applyBorder="1"/>
    <xf numFmtId="177" fontId="4" fillId="27" borderId="34" xfId="0" applyNumberFormat="1" applyFont="1" applyFill="1" applyBorder="1"/>
    <xf numFmtId="177" fontId="4" fillId="0" borderId="34" xfId="0" applyNumberFormat="1" applyFont="1" applyBorder="1"/>
    <xf numFmtId="177" fontId="4" fillId="0" borderId="46" xfId="0" applyNumberFormat="1" applyFont="1" applyBorder="1"/>
    <xf numFmtId="177" fontId="0" fillId="27" borderId="42" xfId="0" applyNumberFormat="1" applyFill="1" applyBorder="1"/>
    <xf numFmtId="172" fontId="14" fillId="27" borderId="34" xfId="0" applyNumberFormat="1" applyFont="1" applyFill="1" applyBorder="1"/>
    <xf numFmtId="172" fontId="14" fillId="27" borderId="17" xfId="0" applyNumberFormat="1" applyFont="1" applyFill="1" applyBorder="1"/>
    <xf numFmtId="177" fontId="0" fillId="0" borderId="46" xfId="0" applyNumberFormat="1" applyBorder="1"/>
    <xf numFmtId="177" fontId="0" fillId="0" borderId="42" xfId="0" applyNumberFormat="1" applyBorder="1"/>
    <xf numFmtId="177" fontId="14" fillId="0" borderId="42" xfId="0" applyNumberFormat="1" applyFont="1" applyBorder="1"/>
    <xf numFmtId="172" fontId="28" fillId="31" borderId="46" xfId="0" applyNumberFormat="1" applyFont="1" applyFill="1" applyBorder="1"/>
    <xf numFmtId="172" fontId="0" fillId="31" borderId="43" xfId="0" applyNumberFormat="1" applyFill="1" applyBorder="1"/>
    <xf numFmtId="172" fontId="0" fillId="31" borderId="42" xfId="0" applyNumberFormat="1" applyFill="1" applyBorder="1"/>
    <xf numFmtId="9" fontId="37" fillId="27" borderId="51" xfId="108" applyFont="1" applyFill="1" applyBorder="1" applyAlignment="1">
      <alignment horizontal="center" vertical="center"/>
    </xf>
    <xf numFmtId="9" fontId="37" fillId="27" borderId="0" xfId="108" applyFont="1" applyFill="1" applyBorder="1" applyAlignment="1">
      <alignment horizontal="center" vertical="center"/>
    </xf>
    <xf numFmtId="9" fontId="35" fillId="27" borderId="0" xfId="108" applyFont="1" applyFill="1" applyBorder="1" applyAlignment="1">
      <alignment vertical="center"/>
    </xf>
    <xf numFmtId="0" fontId="62" fillId="38" borderId="153" xfId="0" applyFont="1" applyFill="1" applyBorder="1" applyAlignment="1">
      <alignment horizontal="center"/>
    </xf>
    <xf numFmtId="9" fontId="15" fillId="31" borderId="81" xfId="108" applyFont="1" applyFill="1" applyBorder="1" applyAlignment="1">
      <alignment horizontal="center" vertical="center"/>
    </xf>
    <xf numFmtId="173" fontId="15" fillId="0" borderId="59" xfId="108" applyNumberFormat="1" applyFont="1" applyFill="1" applyBorder="1" applyAlignment="1">
      <alignment horizontal="center" vertical="center"/>
    </xf>
    <xf numFmtId="10" fontId="15" fillId="31" borderId="50" xfId="108" applyNumberFormat="1" applyFont="1" applyFill="1" applyBorder="1" applyAlignment="1">
      <alignment horizontal="center" vertical="center"/>
    </xf>
    <xf numFmtId="0" fontId="3" fillId="0" borderId="0" xfId="52" applyFont="1"/>
    <xf numFmtId="0" fontId="3" fillId="0" borderId="0" xfId="52" applyFont="1" applyAlignment="1">
      <alignment horizontal="center" vertical="center"/>
    </xf>
    <xf numFmtId="0" fontId="14" fillId="28" borderId="0" xfId="52" applyFill="1" applyAlignment="1">
      <alignment horizontal="center" vertical="center"/>
    </xf>
    <xf numFmtId="9" fontId="15" fillId="0" borderId="50" xfId="108" applyFont="1" applyFill="1" applyBorder="1" applyAlignment="1">
      <alignment horizontal="center" vertical="center"/>
    </xf>
    <xf numFmtId="9" fontId="7" fillId="31" borderId="65" xfId="108" applyFont="1" applyFill="1" applyBorder="1" applyAlignment="1">
      <alignment horizontal="center" vertical="center"/>
    </xf>
    <xf numFmtId="9" fontId="7" fillId="31" borderId="23" xfId="108" applyFont="1" applyFill="1" applyBorder="1" applyAlignment="1">
      <alignment horizontal="center" vertical="center"/>
    </xf>
    <xf numFmtId="9" fontId="7" fillId="31" borderId="67" xfId="108" applyFont="1" applyFill="1" applyBorder="1" applyAlignment="1">
      <alignment horizontal="center" vertical="center"/>
    </xf>
    <xf numFmtId="9" fontId="7" fillId="0" borderId="47" xfId="108" applyFont="1" applyFill="1" applyBorder="1" applyAlignment="1">
      <alignment horizontal="center" vertical="center"/>
    </xf>
    <xf numFmtId="173" fontId="7" fillId="0" borderId="24" xfId="108" applyNumberFormat="1" applyFont="1" applyFill="1" applyBorder="1" applyAlignment="1">
      <alignment horizontal="center" vertical="center"/>
    </xf>
    <xf numFmtId="9" fontId="7" fillId="0" borderId="24" xfId="108" applyFont="1" applyFill="1" applyBorder="1" applyAlignment="1">
      <alignment horizontal="center" vertical="center"/>
    </xf>
    <xf numFmtId="173" fontId="7" fillId="0" borderId="59" xfId="108" applyNumberFormat="1" applyFont="1" applyFill="1" applyBorder="1" applyAlignment="1">
      <alignment horizontal="center" vertical="center"/>
    </xf>
    <xf numFmtId="9" fontId="7" fillId="31" borderId="47" xfId="108" applyFont="1" applyFill="1" applyBorder="1" applyAlignment="1">
      <alignment horizontal="center" vertical="center"/>
    </xf>
    <xf numFmtId="9" fontId="7" fillId="31" borderId="24" xfId="108" applyFont="1" applyFill="1" applyBorder="1" applyAlignment="1">
      <alignment horizontal="center" vertical="center"/>
    </xf>
    <xf numFmtId="9" fontId="7" fillId="31" borderId="59" xfId="108" applyFont="1" applyFill="1" applyBorder="1" applyAlignment="1">
      <alignment horizontal="center" vertical="center"/>
    </xf>
    <xf numFmtId="9" fontId="7" fillId="0" borderId="48" xfId="108" applyFont="1" applyFill="1" applyBorder="1" applyAlignment="1">
      <alignment horizontal="center" vertical="center"/>
    </xf>
    <xf numFmtId="9" fontId="7" fillId="0" borderId="61" xfId="108" applyFont="1" applyFill="1" applyBorder="1" applyAlignment="1">
      <alignment horizontal="center" vertical="center"/>
    </xf>
    <xf numFmtId="173" fontId="7" fillId="0" borderId="50" xfId="108" applyNumberFormat="1" applyFont="1" applyFill="1" applyBorder="1" applyAlignment="1">
      <alignment horizontal="center" vertical="center"/>
    </xf>
    <xf numFmtId="9" fontId="7" fillId="36" borderId="44" xfId="109" applyFont="1" applyFill="1" applyBorder="1" applyAlignment="1">
      <alignment horizontal="center" vertical="center"/>
    </xf>
    <xf numFmtId="9" fontId="7" fillId="0" borderId="59" xfId="109" applyFont="1" applyFill="1" applyBorder="1" applyAlignment="1">
      <alignment horizontal="center" vertical="center"/>
    </xf>
    <xf numFmtId="9" fontId="7" fillId="36" borderId="33" xfId="109" applyFont="1" applyFill="1" applyBorder="1" applyAlignment="1">
      <alignment horizontal="center" vertical="center"/>
    </xf>
    <xf numFmtId="9" fontId="7" fillId="0" borderId="50" xfId="109" applyFont="1" applyFill="1" applyBorder="1" applyAlignment="1">
      <alignment horizontal="center" vertical="center"/>
    </xf>
    <xf numFmtId="172" fontId="14" fillId="36" borderId="33" xfId="38" applyNumberFormat="1" applyFill="1" applyBorder="1" applyAlignment="1">
      <alignment horizontal="center" vertical="center"/>
    </xf>
    <xf numFmtId="172" fontId="14" fillId="0" borderId="33" xfId="38" applyNumberFormat="1" applyFill="1" applyBorder="1" applyAlignment="1">
      <alignment horizontal="center" vertical="center"/>
    </xf>
    <xf numFmtId="172" fontId="14" fillId="27" borderId="33" xfId="38" applyNumberFormat="1" applyFill="1" applyBorder="1" applyAlignment="1">
      <alignment horizontal="center" vertical="center"/>
    </xf>
    <xf numFmtId="172" fontId="3" fillId="36" borderId="36" xfId="52" applyNumberFormat="1" applyFont="1" applyFill="1" applyBorder="1" applyProtection="1">
      <protection locked="0"/>
    </xf>
    <xf numFmtId="172" fontId="14" fillId="27" borderId="22" xfId="52" quotePrefix="1" applyNumberFormat="1" applyFill="1" applyBorder="1" applyAlignment="1">
      <alignment horizontal="right"/>
    </xf>
    <xf numFmtId="172" fontId="14" fillId="0" borderId="22" xfId="52" applyNumberFormat="1" applyBorder="1" applyProtection="1">
      <protection locked="0"/>
    </xf>
    <xf numFmtId="0" fontId="65" fillId="38" borderId="38" xfId="52" applyFont="1" applyFill="1" applyBorder="1" applyAlignment="1">
      <alignment horizontal="center" vertical="center"/>
    </xf>
    <xf numFmtId="0" fontId="3" fillId="0" borderId="0" xfId="0" applyFont="1"/>
    <xf numFmtId="0" fontId="62" fillId="0" borderId="34" xfId="52" applyFont="1" applyBorder="1" applyAlignment="1">
      <alignment vertical="center"/>
    </xf>
    <xf numFmtId="0" fontId="66" fillId="0" borderId="22" xfId="52" applyFont="1" applyBorder="1" applyAlignment="1">
      <alignment vertical="center"/>
    </xf>
    <xf numFmtId="0" fontId="66" fillId="0" borderId="33" xfId="52" applyFont="1" applyBorder="1" applyAlignment="1">
      <alignment vertical="center"/>
    </xf>
    <xf numFmtId="172" fontId="28" fillId="36" borderId="36" xfId="52" applyNumberFormat="1" applyFont="1" applyFill="1" applyBorder="1"/>
    <xf numFmtId="172" fontId="28" fillId="27" borderId="36" xfId="52" applyNumberFormat="1" applyFont="1" applyFill="1" applyBorder="1"/>
    <xf numFmtId="0" fontId="62" fillId="0" borderId="36" xfId="52" applyFont="1" applyBorder="1" applyAlignment="1">
      <alignment vertical="center"/>
    </xf>
    <xf numFmtId="172" fontId="28" fillId="0" borderId="36" xfId="52" applyNumberFormat="1" applyFont="1" applyBorder="1"/>
    <xf numFmtId="172" fontId="28" fillId="36" borderId="11" xfId="52" applyNumberFormat="1" applyFont="1" applyFill="1" applyBorder="1"/>
    <xf numFmtId="172" fontId="28" fillId="27" borderId="11" xfId="52" applyNumberFormat="1" applyFont="1" applyFill="1" applyBorder="1"/>
    <xf numFmtId="4" fontId="28" fillId="27" borderId="11" xfId="52" applyNumberFormat="1" applyFont="1" applyFill="1" applyBorder="1"/>
    <xf numFmtId="4" fontId="14" fillId="27" borderId="17" xfId="52" applyNumberFormat="1" applyFill="1" applyBorder="1"/>
    <xf numFmtId="172" fontId="28" fillId="0" borderId="11" xfId="52" applyNumberFormat="1" applyFont="1" applyBorder="1"/>
    <xf numFmtId="172" fontId="28" fillId="36" borderId="14" xfId="52" applyNumberFormat="1" applyFont="1" applyFill="1" applyBorder="1"/>
    <xf numFmtId="172" fontId="14" fillId="36" borderId="38" xfId="52" applyNumberFormat="1" applyFill="1" applyBorder="1"/>
    <xf numFmtId="172" fontId="14" fillId="36" borderId="20" xfId="52" applyNumberFormat="1" applyFill="1" applyBorder="1"/>
    <xf numFmtId="172" fontId="4" fillId="36" borderId="46" xfId="52" applyNumberFormat="1" applyFont="1" applyFill="1" applyBorder="1"/>
    <xf numFmtId="172" fontId="28" fillId="36" borderId="38" xfId="52" applyNumberFormat="1" applyFont="1" applyFill="1" applyBorder="1"/>
    <xf numFmtId="172" fontId="14" fillId="36" borderId="43" xfId="52" applyNumberFormat="1" applyFill="1" applyBorder="1"/>
    <xf numFmtId="0" fontId="62" fillId="0" borderId="22" xfId="52" applyFont="1" applyBorder="1" applyAlignment="1">
      <alignment vertical="center"/>
    </xf>
    <xf numFmtId="0" fontId="62" fillId="0" borderId="33" xfId="52" applyFont="1" applyBorder="1" applyAlignment="1">
      <alignment vertical="center"/>
    </xf>
    <xf numFmtId="0" fontId="62" fillId="38" borderId="15" xfId="52" applyFont="1" applyFill="1" applyBorder="1" applyAlignment="1">
      <alignment horizontal="center" vertical="center"/>
    </xf>
    <xf numFmtId="172" fontId="4" fillId="36" borderId="37" xfId="52" applyNumberFormat="1" applyFont="1" applyFill="1" applyBorder="1"/>
    <xf numFmtId="9" fontId="3" fillId="27" borderId="39" xfId="109" applyFont="1" applyFill="1" applyBorder="1" applyAlignment="1">
      <alignment horizontal="center" vertical="center"/>
    </xf>
    <xf numFmtId="9" fontId="3" fillId="27" borderId="26" xfId="109" applyFont="1" applyFill="1" applyBorder="1" applyAlignment="1">
      <alignment horizontal="center" vertical="center"/>
    </xf>
    <xf numFmtId="9" fontId="3" fillId="27" borderId="44" xfId="109" applyFont="1" applyFill="1" applyBorder="1" applyAlignment="1">
      <alignment horizontal="center" vertical="center"/>
    </xf>
    <xf numFmtId="9" fontId="3" fillId="31" borderId="11" xfId="109" applyFont="1" applyFill="1" applyBorder="1" applyAlignment="1">
      <alignment horizontal="center" vertical="center"/>
    </xf>
    <xf numFmtId="9" fontId="3" fillId="31" borderId="34" xfId="109" applyFont="1" applyFill="1" applyBorder="1" applyAlignment="1">
      <alignment horizontal="center" vertical="center"/>
    </xf>
    <xf numFmtId="9" fontId="3" fillId="31" borderId="22" xfId="109" applyFont="1" applyFill="1" applyBorder="1" applyAlignment="1">
      <alignment horizontal="center" vertical="center"/>
    </xf>
    <xf numFmtId="9" fontId="3" fillId="31" borderId="33" xfId="109" applyFont="1" applyFill="1" applyBorder="1" applyAlignment="1">
      <alignment horizontal="center" vertical="center"/>
    </xf>
    <xf numFmtId="9" fontId="3" fillId="27" borderId="11" xfId="109" applyFont="1" applyFill="1" applyBorder="1" applyAlignment="1">
      <alignment horizontal="center" vertical="center"/>
    </xf>
    <xf numFmtId="9" fontId="3" fillId="27" borderId="34" xfId="109" applyFont="1" applyFill="1" applyBorder="1" applyAlignment="1">
      <alignment horizontal="center" vertical="center"/>
    </xf>
    <xf numFmtId="9" fontId="3" fillId="27" borderId="22" xfId="109" applyFont="1" applyFill="1" applyBorder="1" applyAlignment="1">
      <alignment horizontal="center" vertical="center"/>
    </xf>
    <xf numFmtId="9" fontId="3" fillId="27" borderId="33" xfId="109" applyFont="1" applyFill="1" applyBorder="1" applyAlignment="1">
      <alignment horizontal="center" vertical="center"/>
    </xf>
    <xf numFmtId="9" fontId="3" fillId="31" borderId="14" xfId="109" applyFont="1" applyFill="1" applyBorder="1" applyAlignment="1">
      <alignment horizontal="center" vertical="center"/>
    </xf>
    <xf numFmtId="9" fontId="3" fillId="31" borderId="46" xfId="109" applyFont="1" applyFill="1" applyBorder="1" applyAlignment="1">
      <alignment horizontal="center" vertical="center"/>
    </xf>
    <xf numFmtId="9" fontId="3" fillId="31" borderId="38" xfId="109" applyFont="1" applyFill="1" applyBorder="1" applyAlignment="1">
      <alignment horizontal="center" vertical="center"/>
    </xf>
    <xf numFmtId="9" fontId="3" fillId="31" borderId="42" xfId="109" applyFont="1" applyFill="1" applyBorder="1" applyAlignment="1">
      <alignment horizontal="center" vertical="center"/>
    </xf>
    <xf numFmtId="3" fontId="3" fillId="31" borderId="11" xfId="52" applyNumberFormat="1" applyFont="1" applyFill="1" applyBorder="1" applyAlignment="1">
      <alignment horizontal="center"/>
    </xf>
    <xf numFmtId="3" fontId="3" fillId="27" borderId="11" xfId="52" applyNumberFormat="1" applyFont="1" applyFill="1" applyBorder="1" applyAlignment="1">
      <alignment horizontal="center"/>
    </xf>
    <xf numFmtId="3" fontId="0" fillId="0" borderId="0" xfId="0" applyNumberFormat="1" applyAlignment="1">
      <alignment vertical="center"/>
    </xf>
    <xf numFmtId="9" fontId="15" fillId="27" borderId="75" xfId="109" applyFont="1" applyFill="1" applyBorder="1" applyAlignment="1">
      <alignment horizontal="center" vertical="center"/>
    </xf>
    <xf numFmtId="9" fontId="15" fillId="27" borderId="156" xfId="109" applyFont="1" applyFill="1" applyBorder="1" applyAlignment="1">
      <alignment horizontal="center" vertical="center"/>
    </xf>
    <xf numFmtId="9" fontId="15" fillId="31" borderId="77" xfId="109" applyFont="1" applyFill="1" applyBorder="1" applyAlignment="1">
      <alignment horizontal="center" vertical="center"/>
    </xf>
    <xf numFmtId="9" fontId="15" fillId="31" borderId="157" xfId="109" applyFont="1" applyFill="1" applyBorder="1" applyAlignment="1">
      <alignment horizontal="center" vertical="center"/>
    </xf>
    <xf numFmtId="9" fontId="15" fillId="27" borderId="78" xfId="109" applyFont="1" applyFill="1" applyBorder="1" applyAlignment="1">
      <alignment horizontal="center" vertical="center"/>
    </xf>
    <xf numFmtId="9" fontId="15" fillId="27" borderId="158" xfId="109" applyFont="1" applyFill="1" applyBorder="1" applyAlignment="1">
      <alignment horizontal="center" vertical="center"/>
    </xf>
    <xf numFmtId="9" fontId="15" fillId="31" borderId="63" xfId="109" applyFont="1" applyFill="1" applyBorder="1" applyAlignment="1">
      <alignment horizontal="center" vertical="center"/>
    </xf>
    <xf numFmtId="9" fontId="15" fillId="31" borderId="20" xfId="109" applyFont="1" applyFill="1" applyBorder="1" applyAlignment="1">
      <alignment horizontal="center" vertical="center"/>
    </xf>
    <xf numFmtId="9" fontId="28" fillId="31" borderId="37" xfId="109" applyFont="1" applyFill="1" applyBorder="1" applyAlignment="1">
      <alignment horizontal="center" vertical="center"/>
    </xf>
    <xf numFmtId="0" fontId="14" fillId="31" borderId="62" xfId="52" applyFill="1" applyBorder="1" applyAlignment="1">
      <alignment horizontal="center"/>
    </xf>
    <xf numFmtId="3" fontId="4" fillId="31" borderId="80" xfId="52" applyNumberFormat="1" applyFont="1" applyFill="1" applyBorder="1" applyAlignment="1">
      <alignment horizontal="center"/>
    </xf>
    <xf numFmtId="3" fontId="28" fillId="31" borderId="26" xfId="52" applyNumberFormat="1" applyFont="1" applyFill="1" applyBorder="1" applyAlignment="1">
      <alignment horizontal="center"/>
    </xf>
    <xf numFmtId="3" fontId="14" fillId="31" borderId="51" xfId="52" applyNumberFormat="1" applyFill="1" applyBorder="1" applyAlignment="1">
      <alignment horizontal="center"/>
    </xf>
    <xf numFmtId="3" fontId="14" fillId="31" borderId="26" xfId="52" applyNumberFormat="1" applyFill="1" applyBorder="1" applyAlignment="1">
      <alignment horizontal="center"/>
    </xf>
    <xf numFmtId="3" fontId="28" fillId="31" borderId="39" xfId="52" applyNumberFormat="1" applyFont="1" applyFill="1" applyBorder="1" applyAlignment="1">
      <alignment horizontal="center"/>
    </xf>
    <xf numFmtId="3" fontId="14" fillId="31" borderId="40" xfId="52" applyNumberFormat="1" applyFill="1" applyBorder="1" applyAlignment="1">
      <alignment horizontal="center"/>
    </xf>
    <xf numFmtId="3" fontId="14" fillId="27" borderId="0" xfId="52" applyNumberFormat="1" applyFill="1" applyAlignment="1">
      <alignment horizontal="center"/>
    </xf>
    <xf numFmtId="3" fontId="14" fillId="31" borderId="0" xfId="52" applyNumberFormat="1" applyFill="1" applyAlignment="1">
      <alignment horizontal="center"/>
    </xf>
    <xf numFmtId="3" fontId="14" fillId="0" borderId="0" xfId="52" applyNumberFormat="1" applyAlignment="1">
      <alignment horizontal="center"/>
    </xf>
    <xf numFmtId="0" fontId="4" fillId="27" borderId="52" xfId="52" applyFont="1" applyFill="1" applyBorder="1" applyAlignment="1">
      <alignment horizontal="center"/>
    </xf>
    <xf numFmtId="3" fontId="28" fillId="0" borderId="38" xfId="52" applyNumberFormat="1" applyFont="1" applyBorder="1" applyAlignment="1">
      <alignment horizontal="center"/>
    </xf>
    <xf numFmtId="3" fontId="14" fillId="0" borderId="15" xfId="52" applyNumberFormat="1" applyBorder="1" applyAlignment="1">
      <alignment horizontal="center"/>
    </xf>
    <xf numFmtId="9" fontId="28" fillId="31" borderId="40" xfId="109" applyFont="1" applyFill="1" applyBorder="1" applyAlignment="1">
      <alignment horizontal="center" vertical="center"/>
    </xf>
    <xf numFmtId="9" fontId="28" fillId="0" borderId="20" xfId="109" applyFont="1" applyFill="1" applyBorder="1" applyAlignment="1">
      <alignment horizontal="center" vertical="center"/>
    </xf>
    <xf numFmtId="0" fontId="28" fillId="31" borderId="166" xfId="52" applyFont="1" applyFill="1" applyBorder="1" applyAlignment="1">
      <alignment horizontal="left" vertical="center" wrapText="1"/>
    </xf>
    <xf numFmtId="0" fontId="28" fillId="27" borderId="54" xfId="52" applyFont="1" applyFill="1" applyBorder="1" applyAlignment="1">
      <alignment horizontal="left" vertical="center" wrapText="1"/>
    </xf>
    <xf numFmtId="0" fontId="28" fillId="31" borderId="69" xfId="52" applyFont="1" applyFill="1" applyBorder="1" applyAlignment="1">
      <alignment horizontal="left" vertical="center" wrapText="1"/>
    </xf>
    <xf numFmtId="0" fontId="28" fillId="27" borderId="167" xfId="52" applyFont="1" applyFill="1" applyBorder="1" applyAlignment="1">
      <alignment horizontal="left" vertical="center" wrapText="1"/>
    </xf>
    <xf numFmtId="9" fontId="28" fillId="31" borderId="73" xfId="109" applyFont="1" applyFill="1" applyBorder="1" applyAlignment="1">
      <alignment horizontal="center" vertical="center"/>
    </xf>
    <xf numFmtId="9" fontId="28" fillId="27" borderId="25" xfId="109" applyFont="1" applyFill="1" applyBorder="1" applyAlignment="1">
      <alignment horizontal="center" vertical="center"/>
    </xf>
    <xf numFmtId="0" fontId="3" fillId="0" borderId="0" xfId="52" applyFont="1" applyAlignment="1">
      <alignment vertical="center"/>
    </xf>
    <xf numFmtId="9" fontId="28" fillId="36" borderId="51" xfId="109" applyFont="1" applyFill="1" applyBorder="1" applyAlignment="1">
      <alignment horizontal="center" vertical="center"/>
    </xf>
    <xf numFmtId="0" fontId="14" fillId="36" borderId="85" xfId="52" applyFill="1" applyBorder="1" applyAlignment="1">
      <alignment horizontal="center"/>
    </xf>
    <xf numFmtId="172" fontId="14" fillId="36" borderId="62" xfId="52" applyNumberFormat="1" applyFill="1" applyBorder="1"/>
    <xf numFmtId="172" fontId="14" fillId="0" borderId="37" xfId="52" applyNumberFormat="1" applyBorder="1"/>
    <xf numFmtId="172" fontId="14" fillId="36" borderId="37" xfId="52" applyNumberFormat="1" applyFill="1" applyBorder="1"/>
    <xf numFmtId="9" fontId="28" fillId="36" borderId="62" xfId="109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36" borderId="37" xfId="0" applyFont="1" applyFill="1" applyBorder="1" applyAlignment="1">
      <alignment horizontal="center"/>
    </xf>
    <xf numFmtId="0" fontId="14" fillId="27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4" fillId="36" borderId="37" xfId="0" applyFont="1" applyFill="1" applyBorder="1" applyAlignment="1">
      <alignment horizontal="center"/>
    </xf>
    <xf numFmtId="0" fontId="0" fillId="31" borderId="37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36" borderId="37" xfId="0" applyFill="1" applyBorder="1" applyAlignment="1">
      <alignment horizontal="center"/>
    </xf>
    <xf numFmtId="0" fontId="4" fillId="27" borderId="37" xfId="0" applyFont="1" applyFill="1" applyBorder="1" applyAlignment="1">
      <alignment horizontal="center"/>
    </xf>
    <xf numFmtId="0" fontId="14" fillId="31" borderId="11" xfId="0" applyFont="1" applyFill="1" applyBorder="1" applyAlignment="1">
      <alignment horizontal="center"/>
    </xf>
    <xf numFmtId="0" fontId="14" fillId="27" borderId="11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36" borderId="11" xfId="0" applyFont="1" applyFill="1" applyBorder="1" applyAlignment="1">
      <alignment horizontal="center"/>
    </xf>
    <xf numFmtId="0" fontId="4" fillId="36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31" borderId="11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4" fillId="36" borderId="37" xfId="52" applyFill="1" applyBorder="1" applyAlignment="1" applyProtection="1">
      <alignment horizontal="center"/>
      <protection locked="0"/>
    </xf>
    <xf numFmtId="0" fontId="14" fillId="27" borderId="37" xfId="52" applyFill="1" applyBorder="1" applyAlignment="1" applyProtection="1">
      <alignment horizontal="center"/>
      <protection locked="0"/>
    </xf>
    <xf numFmtId="0" fontId="4" fillId="36" borderId="52" xfId="52" applyFont="1" applyFill="1" applyBorder="1" applyAlignment="1">
      <alignment horizontal="center"/>
    </xf>
    <xf numFmtId="0" fontId="14" fillId="27" borderId="11" xfId="52" applyFill="1" applyBorder="1" applyAlignment="1">
      <alignment horizontal="center"/>
    </xf>
    <xf numFmtId="0" fontId="4" fillId="36" borderId="37" xfId="52" applyFont="1" applyFill="1" applyBorder="1" applyAlignment="1">
      <alignment horizontal="center"/>
    </xf>
    <xf numFmtId="0" fontId="14" fillId="36" borderId="34" xfId="52" applyFill="1" applyBorder="1" applyAlignment="1">
      <alignment horizontal="center"/>
    </xf>
    <xf numFmtId="0" fontId="4" fillId="27" borderId="11" xfId="52" applyFont="1" applyFill="1" applyBorder="1" applyAlignment="1">
      <alignment horizontal="center"/>
    </xf>
    <xf numFmtId="2" fontId="15" fillId="0" borderId="0" xfId="0" applyNumberFormat="1" applyFont="1"/>
    <xf numFmtId="172" fontId="14" fillId="36" borderId="22" xfId="52" applyNumberFormat="1" applyFill="1" applyBorder="1" applyAlignment="1">
      <alignment horizontal="right"/>
    </xf>
    <xf numFmtId="0" fontId="69" fillId="0" borderId="0" xfId="52" applyFont="1"/>
    <xf numFmtId="0" fontId="70" fillId="0" borderId="0" xfId="52" applyFont="1"/>
    <xf numFmtId="0" fontId="3" fillId="34" borderId="0" xfId="52" applyFont="1" applyFill="1"/>
    <xf numFmtId="172" fontId="14" fillId="36" borderId="11" xfId="52" applyNumberFormat="1" applyFill="1" applyBorder="1" applyAlignment="1">
      <alignment horizontal="center" vertical="center"/>
    </xf>
    <xf numFmtId="172" fontId="14" fillId="36" borderId="35" xfId="52" applyNumberFormat="1" applyFill="1" applyBorder="1" applyAlignment="1">
      <alignment horizontal="center" vertical="center"/>
    </xf>
    <xf numFmtId="172" fontId="14" fillId="36" borderId="37" xfId="52" applyNumberFormat="1" applyFill="1" applyBorder="1" applyAlignment="1">
      <alignment horizontal="center" vertical="center"/>
    </xf>
    <xf numFmtId="172" fontId="14" fillId="27" borderId="11" xfId="52" applyNumberFormat="1" applyFill="1" applyBorder="1" applyAlignment="1">
      <alignment horizontal="center" vertical="center"/>
    </xf>
    <xf numFmtId="172" fontId="14" fillId="27" borderId="35" xfId="52" applyNumberFormat="1" applyFill="1" applyBorder="1" applyAlignment="1">
      <alignment horizontal="center" vertical="center"/>
    </xf>
    <xf numFmtId="172" fontId="14" fillId="27" borderId="37" xfId="52" applyNumberFormat="1" applyFill="1" applyBorder="1" applyAlignment="1">
      <alignment horizontal="center" vertical="center"/>
    </xf>
    <xf numFmtId="9" fontId="14" fillId="34" borderId="0" xfId="107" applyFont="1" applyFill="1"/>
    <xf numFmtId="173" fontId="3" fillId="27" borderId="85" xfId="109" applyNumberFormat="1" applyFont="1" applyFill="1" applyBorder="1" applyAlignment="1">
      <alignment horizontal="center" vertical="center"/>
    </xf>
    <xf numFmtId="9" fontId="7" fillId="31" borderId="74" xfId="108" applyFont="1" applyFill="1" applyBorder="1" applyAlignment="1">
      <alignment horizontal="center" vertical="center"/>
    </xf>
    <xf numFmtId="9" fontId="15" fillId="31" borderId="75" xfId="108" applyFont="1" applyFill="1" applyBorder="1" applyAlignment="1">
      <alignment horizontal="center" vertical="center"/>
    </xf>
    <xf numFmtId="9" fontId="15" fillId="31" borderId="39" xfId="108" applyFont="1" applyFill="1" applyBorder="1" applyAlignment="1">
      <alignment horizontal="center" vertical="center"/>
    </xf>
    <xf numFmtId="9" fontId="3" fillId="31" borderId="23" xfId="108" applyFont="1" applyFill="1" applyBorder="1" applyAlignment="1">
      <alignment horizontal="center" vertical="center"/>
    </xf>
    <xf numFmtId="173" fontId="15" fillId="31" borderId="39" xfId="108" applyNumberFormat="1" applyFont="1" applyFill="1" applyBorder="1" applyAlignment="1">
      <alignment horizontal="center" vertical="center"/>
    </xf>
    <xf numFmtId="9" fontId="7" fillId="27" borderId="76" xfId="108" applyFont="1" applyFill="1" applyBorder="1" applyAlignment="1">
      <alignment horizontal="center" vertical="center"/>
    </xf>
    <xf numFmtId="9" fontId="15" fillId="27" borderId="47" xfId="108" applyFont="1" applyFill="1" applyBorder="1" applyAlignment="1">
      <alignment horizontal="center" vertical="center"/>
    </xf>
    <xf numFmtId="9" fontId="3" fillId="27" borderId="24" xfId="108" applyFont="1" applyFill="1" applyBorder="1" applyAlignment="1">
      <alignment horizontal="center" vertical="center"/>
    </xf>
    <xf numFmtId="9" fontId="7" fillId="31" borderId="37" xfId="108" applyFont="1" applyFill="1" applyBorder="1" applyAlignment="1">
      <alignment horizontal="center" vertical="center"/>
    </xf>
    <xf numFmtId="9" fontId="3" fillId="31" borderId="24" xfId="108" applyFont="1" applyFill="1" applyBorder="1" applyAlignment="1">
      <alignment horizontal="center" vertical="center"/>
    </xf>
    <xf numFmtId="9" fontId="7" fillId="27" borderId="79" xfId="108" applyFont="1" applyFill="1" applyBorder="1" applyAlignment="1">
      <alignment horizontal="center" vertical="center"/>
    </xf>
    <xf numFmtId="9" fontId="15" fillId="27" borderId="46" xfId="108" applyFont="1" applyFill="1" applyBorder="1" applyAlignment="1">
      <alignment horizontal="center" vertical="center"/>
    </xf>
    <xf numFmtId="9" fontId="3" fillId="27" borderId="38" xfId="108" applyFont="1" applyFill="1" applyBorder="1" applyAlignment="1">
      <alignment horizontal="center" vertical="center"/>
    </xf>
    <xf numFmtId="9" fontId="15" fillId="0" borderId="53" xfId="108" applyFont="1" applyFill="1" applyBorder="1" applyAlignment="1">
      <alignment horizontal="center" vertical="center"/>
    </xf>
    <xf numFmtId="9" fontId="15" fillId="31" borderId="53" xfId="108" applyFont="1" applyFill="1" applyBorder="1" applyAlignment="1">
      <alignment horizontal="center" vertical="center"/>
    </xf>
    <xf numFmtId="169" fontId="14" fillId="0" borderId="0" xfId="0" applyNumberFormat="1" applyFont="1" applyAlignment="1">
      <alignment horizontal="center"/>
    </xf>
    <xf numFmtId="0" fontId="62" fillId="38" borderId="85" xfId="0" applyFont="1" applyFill="1" applyBorder="1" applyAlignment="1">
      <alignment horizontal="center" vertical="center"/>
    </xf>
    <xf numFmtId="0" fontId="62" fillId="38" borderId="163" xfId="0" applyFont="1" applyFill="1" applyBorder="1" applyAlignment="1">
      <alignment horizontal="center" vertical="center"/>
    </xf>
    <xf numFmtId="0" fontId="62" fillId="38" borderId="62" xfId="0" applyFont="1" applyFill="1" applyBorder="1" applyAlignment="1">
      <alignment horizontal="center" vertical="center" wrapText="1"/>
    </xf>
    <xf numFmtId="0" fontId="62" fillId="38" borderId="146" xfId="0" applyFont="1" applyFill="1" applyBorder="1" applyAlignment="1">
      <alignment horizontal="center" vertical="center" wrapText="1"/>
    </xf>
    <xf numFmtId="0" fontId="62" fillId="38" borderId="131" xfId="0" applyFont="1" applyFill="1" applyBorder="1" applyAlignment="1">
      <alignment horizontal="center" vertical="center"/>
    </xf>
    <xf numFmtId="0" fontId="66" fillId="38" borderId="131" xfId="0" applyFont="1" applyFill="1" applyBorder="1" applyAlignment="1">
      <alignment horizontal="center" vertical="center"/>
    </xf>
    <xf numFmtId="0" fontId="66" fillId="38" borderId="133" xfId="0" applyFont="1" applyFill="1" applyBorder="1" applyAlignment="1">
      <alignment horizontal="center" vertical="center"/>
    </xf>
    <xf numFmtId="0" fontId="62" fillId="38" borderId="138" xfId="0" applyFont="1" applyFill="1" applyBorder="1" applyAlignment="1">
      <alignment horizontal="center" vertical="center"/>
    </xf>
    <xf numFmtId="0" fontId="66" fillId="38" borderId="132" xfId="0" applyFont="1" applyFill="1" applyBorder="1" applyAlignment="1">
      <alignment horizontal="center" vertical="center"/>
    </xf>
    <xf numFmtId="0" fontId="62" fillId="38" borderId="44" xfId="0" applyFont="1" applyFill="1" applyBorder="1" applyAlignment="1">
      <alignment horizontal="center" vertical="center" wrapText="1"/>
    </xf>
    <xf numFmtId="0" fontId="62" fillId="38" borderId="33" xfId="0" applyFont="1" applyFill="1" applyBorder="1" applyAlignment="1">
      <alignment horizontal="center" vertical="center" wrapText="1"/>
    </xf>
    <xf numFmtId="169" fontId="62" fillId="38" borderId="62" xfId="0" applyNumberFormat="1" applyFont="1" applyFill="1" applyBorder="1" applyAlignment="1">
      <alignment horizontal="center" vertical="center"/>
    </xf>
    <xf numFmtId="169" fontId="62" fillId="38" borderId="52" xfId="0" applyNumberFormat="1" applyFont="1" applyFill="1" applyBorder="1" applyAlignment="1">
      <alignment horizontal="center" vertical="center"/>
    </xf>
    <xf numFmtId="169" fontId="62" fillId="38" borderId="138" xfId="0" applyNumberFormat="1" applyFont="1" applyFill="1" applyBorder="1" applyAlignment="1">
      <alignment horizontal="center" vertical="center"/>
    </xf>
    <xf numFmtId="169" fontId="62" fillId="38" borderId="131" xfId="0" applyNumberFormat="1" applyFont="1" applyFill="1" applyBorder="1" applyAlignment="1">
      <alignment horizontal="center" vertical="center"/>
    </xf>
    <xf numFmtId="169" fontId="62" fillId="38" borderId="132" xfId="0" applyNumberFormat="1" applyFont="1" applyFill="1" applyBorder="1" applyAlignment="1">
      <alignment horizontal="center" vertical="center"/>
    </xf>
    <xf numFmtId="4" fontId="62" fillId="38" borderId="125" xfId="0" applyNumberFormat="1" applyFont="1" applyFill="1" applyBorder="1" applyAlignment="1">
      <alignment horizontal="center"/>
    </xf>
    <xf numFmtId="4" fontId="62" fillId="38" borderId="16" xfId="0" applyNumberFormat="1" applyFont="1" applyFill="1" applyBorder="1" applyAlignment="1">
      <alignment horizontal="center"/>
    </xf>
    <xf numFmtId="172" fontId="14" fillId="27" borderId="35" xfId="0" applyNumberFormat="1" applyFont="1" applyFill="1" applyBorder="1" applyAlignment="1">
      <alignment horizontal="right" indent="3"/>
    </xf>
    <xf numFmtId="172" fontId="14" fillId="27" borderId="36" xfId="0" applyNumberFormat="1" applyFont="1" applyFill="1" applyBorder="1" applyAlignment="1">
      <alignment horizontal="right" indent="3"/>
    </xf>
    <xf numFmtId="172" fontId="14" fillId="31" borderId="35" xfId="0" applyNumberFormat="1" applyFont="1" applyFill="1" applyBorder="1" applyAlignment="1">
      <alignment horizontal="right" indent="3"/>
    </xf>
    <xf numFmtId="172" fontId="14" fillId="31" borderId="36" xfId="0" applyNumberFormat="1" applyFont="1" applyFill="1" applyBorder="1" applyAlignment="1">
      <alignment horizontal="right" indent="3"/>
    </xf>
    <xf numFmtId="172" fontId="14" fillId="31" borderId="31" xfId="0" applyNumberFormat="1" applyFont="1" applyFill="1" applyBorder="1" applyAlignment="1">
      <alignment horizontal="right" indent="3"/>
    </xf>
    <xf numFmtId="172" fontId="14" fillId="31" borderId="32" xfId="0" applyNumberFormat="1" applyFont="1" applyFill="1" applyBorder="1" applyAlignment="1">
      <alignment horizontal="right" indent="3"/>
    </xf>
    <xf numFmtId="9" fontId="7" fillId="31" borderId="23" xfId="108" applyFont="1" applyFill="1" applyBorder="1" applyAlignment="1">
      <alignment horizontal="center" vertical="center"/>
    </xf>
    <xf numFmtId="9" fontId="7" fillId="0" borderId="24" xfId="108" applyFont="1" applyFill="1" applyBorder="1" applyAlignment="1">
      <alignment horizontal="center" vertical="center"/>
    </xf>
    <xf numFmtId="9" fontId="7" fillId="31" borderId="24" xfId="108" applyFont="1" applyFill="1" applyBorder="1" applyAlignment="1">
      <alignment horizontal="center" vertical="center"/>
    </xf>
    <xf numFmtId="9" fontId="7" fillId="0" borderId="61" xfId="108" applyFont="1" applyFill="1" applyBorder="1" applyAlignment="1">
      <alignment horizontal="center" vertical="center"/>
    </xf>
    <xf numFmtId="4" fontId="62" fillId="38" borderId="129" xfId="0" applyNumberFormat="1" applyFont="1" applyFill="1" applyBorder="1" applyAlignment="1">
      <alignment horizontal="center"/>
    </xf>
    <xf numFmtId="0" fontId="62" fillId="38" borderId="126" xfId="0" applyFont="1" applyFill="1" applyBorder="1" applyAlignment="1">
      <alignment horizontal="center" vertical="center"/>
    </xf>
    <xf numFmtId="0" fontId="66" fillId="38" borderId="127" xfId="0" applyFont="1" applyFill="1" applyBorder="1" applyAlignment="1">
      <alignment horizontal="center" vertical="center"/>
    </xf>
    <xf numFmtId="0" fontId="66" fillId="38" borderId="128" xfId="0" applyFont="1" applyFill="1" applyBorder="1" applyAlignment="1">
      <alignment horizontal="center" vertical="center"/>
    </xf>
    <xf numFmtId="4" fontId="65" fillId="38" borderId="16" xfId="0" applyNumberFormat="1" applyFont="1" applyFill="1" applyBorder="1" applyAlignment="1">
      <alignment horizontal="center"/>
    </xf>
    <xf numFmtId="4" fontId="65" fillId="38" borderId="129" xfId="0" applyNumberFormat="1" applyFont="1" applyFill="1" applyBorder="1" applyAlignment="1">
      <alignment horizontal="center"/>
    </xf>
    <xf numFmtId="0" fontId="62" fillId="38" borderId="127" xfId="0" applyFont="1" applyFill="1" applyBorder="1" applyAlignment="1">
      <alignment horizontal="center" vertical="center" wrapText="1"/>
    </xf>
    <xf numFmtId="0" fontId="62" fillId="38" borderId="128" xfId="0" applyFont="1" applyFill="1" applyBorder="1" applyAlignment="1">
      <alignment horizontal="center" vertical="center" wrapText="1"/>
    </xf>
    <xf numFmtId="0" fontId="62" fillId="38" borderId="126" xfId="0" applyFont="1" applyFill="1" applyBorder="1" applyAlignment="1">
      <alignment horizontal="center" vertical="center" wrapText="1"/>
    </xf>
    <xf numFmtId="0" fontId="62" fillId="38" borderId="127" xfId="0" applyFont="1" applyFill="1" applyBorder="1" applyAlignment="1">
      <alignment horizontal="center" vertical="center"/>
    </xf>
    <xf numFmtId="0" fontId="62" fillId="38" borderId="128" xfId="0" applyFont="1" applyFill="1" applyBorder="1" applyAlignment="1">
      <alignment horizontal="center" vertical="center"/>
    </xf>
    <xf numFmtId="0" fontId="62" fillId="38" borderId="62" xfId="0" applyFont="1" applyFill="1" applyBorder="1" applyAlignment="1">
      <alignment horizontal="center" vertical="center"/>
    </xf>
    <xf numFmtId="0" fontId="62" fillId="38" borderId="52" xfId="0" applyFont="1" applyFill="1" applyBorder="1" applyAlignment="1">
      <alignment horizontal="center" vertical="center"/>
    </xf>
    <xf numFmtId="0" fontId="62" fillId="38" borderId="14" xfId="0" applyFont="1" applyFill="1" applyBorder="1" applyAlignment="1">
      <alignment horizontal="center" vertical="center"/>
    </xf>
    <xf numFmtId="4" fontId="62" fillId="38" borderId="131" xfId="0" applyNumberFormat="1" applyFont="1" applyFill="1" applyBorder="1" applyAlignment="1">
      <alignment horizontal="center" vertical="center"/>
    </xf>
    <xf numFmtId="4" fontId="62" fillId="38" borderId="13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9" fontId="15" fillId="31" borderId="23" xfId="108" applyFont="1" applyFill="1" applyBorder="1" applyAlignment="1">
      <alignment horizontal="center" vertical="center"/>
    </xf>
    <xf numFmtId="172" fontId="14" fillId="27" borderId="43" xfId="0" applyNumberFormat="1" applyFont="1" applyFill="1" applyBorder="1" applyAlignment="1">
      <alignment horizontal="right" indent="3"/>
    </xf>
    <xf numFmtId="172" fontId="14" fillId="27" borderId="63" xfId="0" applyNumberFormat="1" applyFont="1" applyFill="1" applyBorder="1" applyAlignment="1">
      <alignment horizontal="right" indent="3"/>
    </xf>
    <xf numFmtId="9" fontId="15" fillId="0" borderId="24" xfId="108" applyFont="1" applyFill="1" applyBorder="1" applyAlignment="1">
      <alignment horizontal="center" vertical="center"/>
    </xf>
    <xf numFmtId="9" fontId="15" fillId="31" borderId="24" xfId="108" applyFont="1" applyFill="1" applyBorder="1" applyAlignment="1">
      <alignment horizontal="center" vertical="center"/>
    </xf>
    <xf numFmtId="9" fontId="15" fillId="0" borderId="61" xfId="108" applyFont="1" applyFill="1" applyBorder="1" applyAlignment="1">
      <alignment horizontal="center" vertical="center"/>
    </xf>
    <xf numFmtId="169" fontId="62" fillId="38" borderId="133" xfId="0" applyNumberFormat="1" applyFont="1" applyFill="1" applyBorder="1" applyAlignment="1">
      <alignment horizontal="center" vertical="center"/>
    </xf>
    <xf numFmtId="0" fontId="65" fillId="38" borderId="151" xfId="0" applyFont="1" applyFill="1" applyBorder="1" applyAlignment="1">
      <alignment horizontal="center" vertical="center"/>
    </xf>
    <xf numFmtId="0" fontId="65" fillId="38" borderId="130" xfId="0" applyFont="1" applyFill="1" applyBorder="1" applyAlignment="1">
      <alignment horizontal="center" vertical="center"/>
    </xf>
    <xf numFmtId="0" fontId="65" fillId="38" borderId="149" xfId="0" applyFont="1" applyFill="1" applyBorder="1" applyAlignment="1">
      <alignment horizontal="center" vertical="center"/>
    </xf>
    <xf numFmtId="0" fontId="65" fillId="38" borderId="130" xfId="0" applyFont="1" applyFill="1" applyBorder="1" applyAlignment="1">
      <alignment horizontal="center"/>
    </xf>
    <xf numFmtId="0" fontId="65" fillId="38" borderId="131" xfId="0" applyFont="1" applyFill="1" applyBorder="1" applyAlignment="1">
      <alignment horizontal="center"/>
    </xf>
    <xf numFmtId="0" fontId="65" fillId="38" borderId="132" xfId="0" applyFont="1" applyFill="1" applyBorder="1" applyAlignment="1">
      <alignment horizontal="center"/>
    </xf>
    <xf numFmtId="0" fontId="65" fillId="38" borderId="138" xfId="0" applyFont="1" applyFill="1" applyBorder="1" applyAlignment="1">
      <alignment horizontal="center"/>
    </xf>
    <xf numFmtId="0" fontId="65" fillId="38" borderId="133" xfId="0" applyFont="1" applyFill="1" applyBorder="1" applyAlignment="1">
      <alignment horizontal="center"/>
    </xf>
    <xf numFmtId="0" fontId="62" fillId="38" borderId="39" xfId="0" applyFont="1" applyFill="1" applyBorder="1" applyAlignment="1">
      <alignment horizontal="center" vertical="center"/>
    </xf>
    <xf numFmtId="0" fontId="62" fillId="38" borderId="46" xfId="0" applyFont="1" applyFill="1" applyBorder="1" applyAlignment="1">
      <alignment horizontal="center" vertical="center"/>
    </xf>
    <xf numFmtId="0" fontId="62" fillId="38" borderId="26" xfId="0" applyFont="1" applyFill="1" applyBorder="1" applyAlignment="1">
      <alignment horizontal="center" vertical="center"/>
    </xf>
    <xf numFmtId="0" fontId="62" fillId="38" borderId="38" xfId="0" applyFont="1" applyFill="1" applyBorder="1" applyAlignment="1">
      <alignment horizontal="center" vertical="center"/>
    </xf>
    <xf numFmtId="4" fontId="65" fillId="38" borderId="125" xfId="0" applyNumberFormat="1" applyFont="1" applyFill="1" applyBorder="1" applyAlignment="1">
      <alignment horizontal="center"/>
    </xf>
    <xf numFmtId="4" fontId="65" fillId="38" borderId="116" xfId="0" applyNumberFormat="1" applyFont="1" applyFill="1" applyBorder="1" applyAlignment="1">
      <alignment horizontal="center"/>
    </xf>
    <xf numFmtId="0" fontId="65" fillId="38" borderId="131" xfId="0" applyFont="1" applyFill="1" applyBorder="1" applyAlignment="1">
      <alignment horizontal="center" vertical="center"/>
    </xf>
    <xf numFmtId="0" fontId="65" fillId="38" borderId="132" xfId="0" applyFont="1" applyFill="1" applyBorder="1" applyAlignment="1">
      <alignment horizontal="center" vertical="center"/>
    </xf>
    <xf numFmtId="0" fontId="62" fillId="38" borderId="39" xfId="52" applyFont="1" applyFill="1" applyBorder="1" applyAlignment="1">
      <alignment horizontal="center" vertical="center"/>
    </xf>
    <xf numFmtId="0" fontId="62" fillId="38" borderId="134" xfId="52" applyFont="1" applyFill="1" applyBorder="1" applyAlignment="1">
      <alignment horizontal="center" vertical="center"/>
    </xf>
    <xf numFmtId="0" fontId="4" fillId="0" borderId="0" xfId="52" applyFont="1" applyAlignment="1">
      <alignment horizontal="center"/>
    </xf>
    <xf numFmtId="0" fontId="62" fillId="38" borderId="62" xfId="52" applyFont="1" applyFill="1" applyBorder="1" applyAlignment="1">
      <alignment horizontal="center" vertical="center"/>
    </xf>
    <xf numFmtId="0" fontId="62" fillId="38" borderId="52" xfId="52" applyFont="1" applyFill="1" applyBorder="1" applyAlignment="1">
      <alignment horizontal="center" vertical="center"/>
    </xf>
    <xf numFmtId="0" fontId="62" fillId="38" borderId="138" xfId="52" applyFont="1" applyFill="1" applyBorder="1" applyAlignment="1">
      <alignment horizontal="center" vertical="center"/>
    </xf>
    <xf numFmtId="0" fontId="62" fillId="38" borderId="131" xfId="52" applyFont="1" applyFill="1" applyBorder="1" applyAlignment="1">
      <alignment horizontal="center" vertical="center"/>
    </xf>
    <xf numFmtId="0" fontId="62" fillId="38" borderId="132" xfId="52" applyFont="1" applyFill="1" applyBorder="1" applyAlignment="1">
      <alignment horizontal="center" vertical="center"/>
    </xf>
    <xf numFmtId="0" fontId="67" fillId="38" borderId="85" xfId="52" applyFont="1" applyFill="1" applyBorder="1" applyAlignment="1">
      <alignment horizontal="center" vertical="center"/>
    </xf>
    <xf numFmtId="0" fontId="66" fillId="38" borderId="51" xfId="52" applyFont="1" applyFill="1" applyBorder="1" applyAlignment="1">
      <alignment horizontal="center" vertical="center"/>
    </xf>
    <xf numFmtId="0" fontId="66" fillId="38" borderId="40" xfId="52" applyFont="1" applyFill="1" applyBorder="1" applyAlignment="1">
      <alignment horizontal="center" vertical="center"/>
    </xf>
    <xf numFmtId="0" fontId="62" fillId="38" borderId="51" xfId="52" applyFont="1" applyFill="1" applyBorder="1" applyAlignment="1">
      <alignment horizontal="center" vertical="center"/>
    </xf>
    <xf numFmtId="4" fontId="62" fillId="38" borderId="125" xfId="52" applyNumberFormat="1" applyFont="1" applyFill="1" applyBorder="1" applyAlignment="1">
      <alignment horizontal="center"/>
    </xf>
    <xf numFmtId="4" fontId="62" fillId="38" borderId="16" xfId="52" applyNumberFormat="1" applyFont="1" applyFill="1" applyBorder="1" applyAlignment="1">
      <alignment horizontal="center"/>
    </xf>
    <xf numFmtId="4" fontId="62" fillId="38" borderId="116" xfId="52" applyNumberFormat="1" applyFont="1" applyFill="1" applyBorder="1" applyAlignment="1">
      <alignment horizontal="center"/>
    </xf>
    <xf numFmtId="0" fontId="67" fillId="38" borderId="126" xfId="52" applyFont="1" applyFill="1" applyBorder="1" applyAlignment="1">
      <alignment horizontal="center"/>
    </xf>
    <xf numFmtId="0" fontId="66" fillId="38" borderId="127" xfId="52" applyFont="1" applyFill="1" applyBorder="1" applyAlignment="1">
      <alignment horizontal="center"/>
    </xf>
    <xf numFmtId="0" fontId="66" fillId="38" borderId="128" xfId="52" applyFont="1" applyFill="1" applyBorder="1" applyAlignment="1">
      <alignment horizontal="center"/>
    </xf>
    <xf numFmtId="0" fontId="67" fillId="38" borderId="127" xfId="52" applyFont="1" applyFill="1" applyBorder="1" applyAlignment="1">
      <alignment horizontal="center"/>
    </xf>
    <xf numFmtId="0" fontId="67" fillId="38" borderId="128" xfId="52" applyFont="1" applyFill="1" applyBorder="1" applyAlignment="1">
      <alignment horizontal="center"/>
    </xf>
    <xf numFmtId="0" fontId="62" fillId="38" borderId="126" xfId="52" applyFont="1" applyFill="1" applyBorder="1" applyAlignment="1">
      <alignment horizontal="center" vertical="center"/>
    </xf>
    <xf numFmtId="0" fontId="62" fillId="38" borderId="127" xfId="52" applyFont="1" applyFill="1" applyBorder="1" applyAlignment="1">
      <alignment horizontal="center" vertical="center"/>
    </xf>
    <xf numFmtId="0" fontId="62" fillId="38" borderId="128" xfId="52" applyFont="1" applyFill="1" applyBorder="1" applyAlignment="1">
      <alignment horizontal="center" vertical="center"/>
    </xf>
    <xf numFmtId="0" fontId="67" fillId="38" borderId="62" xfId="52" applyFont="1" applyFill="1" applyBorder="1" applyAlignment="1">
      <alignment horizontal="center" vertical="center"/>
    </xf>
    <xf numFmtId="0" fontId="67" fillId="38" borderId="52" xfId="52" applyFont="1" applyFill="1" applyBorder="1" applyAlignment="1">
      <alignment horizontal="center" vertical="center"/>
    </xf>
    <xf numFmtId="0" fontId="67" fillId="38" borderId="14" xfId="52" applyFont="1" applyFill="1" applyBorder="1" applyAlignment="1">
      <alignment horizontal="center" vertical="center"/>
    </xf>
    <xf numFmtId="0" fontId="67" fillId="38" borderId="39" xfId="52" applyFont="1" applyFill="1" applyBorder="1" applyAlignment="1">
      <alignment horizontal="center" vertical="center"/>
    </xf>
    <xf numFmtId="0" fontId="67" fillId="38" borderId="46" xfId="52" applyFont="1" applyFill="1" applyBorder="1" applyAlignment="1">
      <alignment horizontal="center" vertical="center"/>
    </xf>
    <xf numFmtId="0" fontId="67" fillId="38" borderId="44" xfId="52" applyFont="1" applyFill="1" applyBorder="1" applyAlignment="1">
      <alignment horizontal="center" vertical="center"/>
    </xf>
    <xf numFmtId="0" fontId="67" fillId="38" borderId="42" xfId="52" applyFont="1" applyFill="1" applyBorder="1" applyAlignment="1">
      <alignment horizontal="center" vertical="center"/>
    </xf>
    <xf numFmtId="4" fontId="65" fillId="38" borderId="35" xfId="52" applyNumberFormat="1" applyFont="1" applyFill="1" applyBorder="1" applyAlignment="1">
      <alignment horizontal="center"/>
    </xf>
    <xf numFmtId="4" fontId="65" fillId="38" borderId="0" xfId="52" applyNumberFormat="1" applyFont="1" applyFill="1" applyAlignment="1">
      <alignment horizontal="center"/>
    </xf>
    <xf numFmtId="4" fontId="65" fillId="38" borderId="17" xfId="52" applyNumberFormat="1" applyFont="1" applyFill="1" applyBorder="1" applyAlignment="1">
      <alignment horizontal="center"/>
    </xf>
    <xf numFmtId="0" fontId="67" fillId="38" borderId="126" xfId="52" applyFont="1" applyFill="1" applyBorder="1" applyAlignment="1">
      <alignment horizontal="center" vertical="center"/>
    </xf>
    <xf numFmtId="0" fontId="67" fillId="38" borderId="127" xfId="52" applyFont="1" applyFill="1" applyBorder="1" applyAlignment="1">
      <alignment horizontal="center" vertical="center"/>
    </xf>
    <xf numFmtId="0" fontId="67" fillId="38" borderId="128" xfId="52" applyFont="1" applyFill="1" applyBorder="1" applyAlignment="1">
      <alignment horizontal="center" vertical="center"/>
    </xf>
    <xf numFmtId="4" fontId="65" fillId="38" borderId="131" xfId="52" applyNumberFormat="1" applyFont="1" applyFill="1" applyBorder="1" applyAlignment="1">
      <alignment horizontal="center" vertical="center"/>
    </xf>
    <xf numFmtId="4" fontId="65" fillId="38" borderId="133" xfId="52" applyNumberFormat="1" applyFont="1" applyFill="1" applyBorder="1" applyAlignment="1">
      <alignment horizontal="center" vertical="center"/>
    </xf>
    <xf numFmtId="0" fontId="62" fillId="38" borderId="133" xfId="52" applyFont="1" applyFill="1" applyBorder="1" applyAlignment="1">
      <alignment horizontal="center" vertical="center"/>
    </xf>
    <xf numFmtId="0" fontId="62" fillId="38" borderId="94" xfId="52" applyFont="1" applyFill="1" applyBorder="1" applyAlignment="1">
      <alignment horizontal="center" vertical="center"/>
    </xf>
    <xf numFmtId="0" fontId="62" fillId="38" borderId="16" xfId="52" applyFont="1" applyFill="1" applyBorder="1" applyAlignment="1">
      <alignment horizontal="center" vertical="center"/>
    </xf>
    <xf numFmtId="0" fontId="62" fillId="38" borderId="116" xfId="52" applyFont="1" applyFill="1" applyBorder="1" applyAlignment="1">
      <alignment horizontal="center" vertical="center"/>
    </xf>
    <xf numFmtId="0" fontId="62" fillId="38" borderId="37" xfId="52" applyFont="1" applyFill="1" applyBorder="1" applyAlignment="1">
      <alignment horizontal="center" vertical="center"/>
    </xf>
    <xf numFmtId="0" fontId="62" fillId="38" borderId="146" xfId="52" applyFont="1" applyFill="1" applyBorder="1" applyAlignment="1">
      <alignment horizontal="center" vertical="center"/>
    </xf>
    <xf numFmtId="0" fontId="13" fillId="24" borderId="163" xfId="52" applyFont="1" applyFill="1" applyBorder="1" applyAlignment="1">
      <alignment horizontal="center"/>
    </xf>
    <xf numFmtId="0" fontId="13" fillId="24" borderId="93" xfId="52" applyFont="1" applyFill="1" applyBorder="1" applyAlignment="1">
      <alignment horizontal="center"/>
    </xf>
    <xf numFmtId="0" fontId="21" fillId="0" borderId="0" xfId="52" applyFont="1" applyAlignment="1">
      <alignment horizontal="center"/>
    </xf>
    <xf numFmtId="0" fontId="62" fillId="38" borderId="62" xfId="52" applyFont="1" applyFill="1" applyBorder="1" applyAlignment="1">
      <alignment horizontal="center" vertical="center" wrapText="1"/>
    </xf>
    <xf numFmtId="0" fontId="62" fillId="38" borderId="52" xfId="52" applyFont="1" applyFill="1" applyBorder="1" applyAlignment="1">
      <alignment horizontal="center" vertical="center" wrapText="1"/>
    </xf>
    <xf numFmtId="0" fontId="62" fillId="38" borderId="46" xfId="52" applyFont="1" applyFill="1" applyBorder="1" applyAlignment="1">
      <alignment horizontal="center" vertical="center"/>
    </xf>
    <xf numFmtId="0" fontId="62" fillId="38" borderId="130" xfId="52" applyFont="1" applyFill="1" applyBorder="1" applyAlignment="1">
      <alignment horizontal="center" vertical="center"/>
    </xf>
    <xf numFmtId="0" fontId="62" fillId="38" borderId="152" xfId="52" applyFont="1" applyFill="1" applyBorder="1" applyAlignment="1">
      <alignment horizontal="center" vertical="center"/>
    </xf>
    <xf numFmtId="0" fontId="62" fillId="38" borderId="151" xfId="52" applyFont="1" applyFill="1" applyBorder="1" applyAlignment="1">
      <alignment horizontal="center" vertical="center"/>
    </xf>
    <xf numFmtId="0" fontId="62" fillId="38" borderId="26" xfId="52" applyFont="1" applyFill="1" applyBorder="1" applyAlignment="1">
      <alignment horizontal="center" vertical="center"/>
    </xf>
    <xf numFmtId="0" fontId="62" fillId="38" borderId="149" xfId="52" applyFont="1" applyFill="1" applyBorder="1" applyAlignment="1">
      <alignment horizontal="center" vertical="center"/>
    </xf>
    <xf numFmtId="0" fontId="62" fillId="38" borderId="71" xfId="52" applyFont="1" applyFill="1" applyBorder="1" applyAlignment="1">
      <alignment horizontal="center" vertical="center"/>
    </xf>
    <xf numFmtId="0" fontId="62" fillId="38" borderId="27" xfId="52" applyFont="1" applyFill="1" applyBorder="1" applyAlignment="1">
      <alignment horizontal="center" vertical="center"/>
    </xf>
    <xf numFmtId="0" fontId="62" fillId="38" borderId="28" xfId="52" applyFont="1" applyFill="1" applyBorder="1" applyAlignment="1">
      <alignment horizontal="center" vertical="center"/>
    </xf>
    <xf numFmtId="0" fontId="62" fillId="38" borderId="29" xfId="52" applyFont="1" applyFill="1" applyBorder="1" applyAlignment="1">
      <alignment horizontal="center" vertical="center"/>
    </xf>
    <xf numFmtId="0" fontId="65" fillId="38" borderId="130" xfId="52" applyFont="1" applyFill="1" applyBorder="1" applyAlignment="1">
      <alignment horizontal="center" vertical="center"/>
    </xf>
    <xf numFmtId="0" fontId="65" fillId="38" borderId="131" xfId="52" applyFont="1" applyFill="1" applyBorder="1" applyAlignment="1">
      <alignment horizontal="center" vertical="center"/>
    </xf>
    <xf numFmtId="0" fontId="65" fillId="38" borderId="132" xfId="52" applyFont="1" applyFill="1" applyBorder="1" applyAlignment="1">
      <alignment horizontal="center" vertical="center"/>
    </xf>
    <xf numFmtId="0" fontId="65" fillId="38" borderId="133" xfId="52" applyFont="1" applyFill="1" applyBorder="1" applyAlignment="1">
      <alignment horizontal="center" vertical="center"/>
    </xf>
    <xf numFmtId="0" fontId="65" fillId="38" borderId="131" xfId="52" applyFont="1" applyFill="1" applyBorder="1" applyAlignment="1">
      <alignment horizontal="center"/>
    </xf>
    <xf numFmtId="0" fontId="65" fillId="38" borderId="133" xfId="52" applyFont="1" applyFill="1" applyBorder="1" applyAlignment="1">
      <alignment horizontal="center"/>
    </xf>
    <xf numFmtId="0" fontId="62" fillId="38" borderId="38" xfId="52" applyFont="1" applyFill="1" applyBorder="1" applyAlignment="1">
      <alignment horizontal="center" vertical="center"/>
    </xf>
    <xf numFmtId="0" fontId="62" fillId="38" borderId="31" xfId="52" applyFont="1" applyFill="1" applyBorder="1" applyAlignment="1">
      <alignment horizontal="center" vertical="center"/>
    </xf>
    <xf numFmtId="0" fontId="65" fillId="38" borderId="138" xfId="52" applyFont="1" applyFill="1" applyBorder="1" applyAlignment="1">
      <alignment horizontal="center" vertical="center"/>
    </xf>
    <xf numFmtId="0" fontId="65" fillId="38" borderId="152" xfId="52" applyFont="1" applyFill="1" applyBorder="1" applyAlignment="1">
      <alignment horizontal="center" vertical="center"/>
    </xf>
    <xf numFmtId="0" fontId="65" fillId="38" borderId="151" xfId="52" applyFont="1" applyFill="1" applyBorder="1" applyAlignment="1">
      <alignment horizontal="center" vertical="center"/>
    </xf>
    <xf numFmtId="0" fontId="65" fillId="38" borderId="149" xfId="52" applyFont="1" applyFill="1" applyBorder="1" applyAlignment="1">
      <alignment horizontal="center" vertical="center"/>
    </xf>
    <xf numFmtId="0" fontId="62" fillId="38" borderId="44" xfId="52" applyFont="1" applyFill="1" applyBorder="1" applyAlignment="1">
      <alignment horizontal="center" vertical="center"/>
    </xf>
    <xf numFmtId="0" fontId="62" fillId="38" borderId="42" xfId="52" applyFont="1" applyFill="1" applyBorder="1" applyAlignment="1">
      <alignment horizontal="center" vertical="center"/>
    </xf>
    <xf numFmtId="0" fontId="65" fillId="38" borderId="138" xfId="52" applyFont="1" applyFill="1" applyBorder="1" applyAlignment="1">
      <alignment horizontal="center"/>
    </xf>
    <xf numFmtId="0" fontId="66" fillId="38" borderId="151" xfId="52" applyFont="1" applyFill="1" applyBorder="1" applyAlignment="1">
      <alignment horizontal="center" vertical="center"/>
    </xf>
    <xf numFmtId="0" fontId="62" fillId="38" borderId="153" xfId="52" applyFont="1" applyFill="1" applyBorder="1" applyAlignment="1">
      <alignment horizontal="center" vertical="center"/>
    </xf>
    <xf numFmtId="0" fontId="62" fillId="38" borderId="26" xfId="52" applyFont="1" applyFill="1" applyBorder="1" applyAlignment="1">
      <alignment horizontal="center" vertical="center" wrapText="1"/>
    </xf>
    <xf numFmtId="0" fontId="62" fillId="38" borderId="44" xfId="52" applyFont="1" applyFill="1" applyBorder="1" applyAlignment="1">
      <alignment horizontal="center" vertical="center" wrapText="1"/>
    </xf>
    <xf numFmtId="0" fontId="62" fillId="38" borderId="42" xfId="52" applyFont="1" applyFill="1" applyBorder="1" applyAlignment="1">
      <alignment horizontal="center" vertical="center" wrapText="1"/>
    </xf>
    <xf numFmtId="0" fontId="62" fillId="38" borderId="37" xfId="52" applyFont="1" applyFill="1" applyBorder="1" applyAlignment="1">
      <alignment horizontal="center" vertical="center" wrapText="1"/>
    </xf>
    <xf numFmtId="0" fontId="68" fillId="38" borderId="126" xfId="52" applyFont="1" applyFill="1" applyBorder="1" applyAlignment="1">
      <alignment horizontal="center" vertical="center"/>
    </xf>
    <xf numFmtId="0" fontId="68" fillId="38" borderId="127" xfId="52" applyFont="1" applyFill="1" applyBorder="1" applyAlignment="1">
      <alignment horizontal="center" vertical="center"/>
    </xf>
    <xf numFmtId="0" fontId="68" fillId="38" borderId="128" xfId="52" applyFont="1" applyFill="1" applyBorder="1" applyAlignment="1">
      <alignment horizontal="center" vertical="center"/>
    </xf>
    <xf numFmtId="0" fontId="62" fillId="38" borderId="11" xfId="52" applyFont="1" applyFill="1" applyBorder="1" applyAlignment="1">
      <alignment horizontal="center" vertical="center"/>
    </xf>
    <xf numFmtId="0" fontId="62" fillId="38" borderId="14" xfId="52" applyFont="1" applyFill="1" applyBorder="1" applyAlignment="1">
      <alignment horizontal="center" vertical="center"/>
    </xf>
    <xf numFmtId="0" fontId="62" fillId="38" borderId="0" xfId="52" applyFont="1" applyFill="1" applyAlignment="1">
      <alignment horizontal="center" vertical="center" wrapText="1"/>
    </xf>
    <xf numFmtId="0" fontId="62" fillId="38" borderId="15" xfId="52" applyFont="1" applyFill="1" applyBorder="1" applyAlignment="1">
      <alignment horizontal="center" vertical="center" wrapText="1"/>
    </xf>
    <xf numFmtId="0" fontId="66" fillId="38" borderId="52" xfId="52" applyFont="1" applyFill="1" applyBorder="1" applyAlignment="1">
      <alignment horizontal="center" vertical="center"/>
    </xf>
    <xf numFmtId="0" fontId="68" fillId="38" borderId="126" xfId="52" applyFont="1" applyFill="1" applyBorder="1" applyAlignment="1">
      <alignment horizontal="center"/>
    </xf>
    <xf numFmtId="0" fontId="68" fillId="38" borderId="127" xfId="52" applyFont="1" applyFill="1" applyBorder="1" applyAlignment="1">
      <alignment horizontal="center"/>
    </xf>
    <xf numFmtId="0" fontId="68" fillId="38" borderId="128" xfId="52" applyFont="1" applyFill="1" applyBorder="1" applyAlignment="1">
      <alignment horizontal="center"/>
    </xf>
    <xf numFmtId="0" fontId="66" fillId="38" borderId="52" xfId="52" applyFont="1" applyFill="1" applyBorder="1"/>
    <xf numFmtId="0" fontId="71" fillId="0" borderId="0" xfId="0" applyFont="1"/>
    <xf numFmtId="0" fontId="71" fillId="0" borderId="0" xfId="0" applyFont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0" fontId="71" fillId="0" borderId="0" xfId="0" applyFont="1" applyAlignment="1">
      <alignment horizontal="right"/>
    </xf>
    <xf numFmtId="0" fontId="71" fillId="0" borderId="0" xfId="0" applyFont="1" applyAlignment="1">
      <alignment vertical="center"/>
    </xf>
    <xf numFmtId="4" fontId="71" fillId="0" borderId="0" xfId="0" applyNumberFormat="1" applyFont="1" applyAlignment="1">
      <alignment vertical="center"/>
    </xf>
    <xf numFmtId="1" fontId="71" fillId="0" borderId="0" xfId="0" applyNumberFormat="1" applyFont="1"/>
    <xf numFmtId="0" fontId="71" fillId="0" borderId="0" xfId="0" applyFont="1" applyAlignment="1">
      <alignment horizontal="center" vertical="center"/>
    </xf>
    <xf numFmtId="172" fontId="71" fillId="0" borderId="0" xfId="0" applyNumberFormat="1" applyFont="1"/>
    <xf numFmtId="179" fontId="71" fillId="0" borderId="0" xfId="0" applyNumberFormat="1" applyFont="1"/>
    <xf numFmtId="1" fontId="72" fillId="0" borderId="0" xfId="0" applyNumberFormat="1" applyFont="1"/>
    <xf numFmtId="0" fontId="72" fillId="0" borderId="0" xfId="0" applyFont="1"/>
    <xf numFmtId="0" fontId="72" fillId="0" borderId="0" xfId="0" applyFont="1" applyAlignment="1">
      <alignment horizontal="right"/>
    </xf>
    <xf numFmtId="179" fontId="72" fillId="0" borderId="0" xfId="0" applyNumberFormat="1" applyFont="1"/>
    <xf numFmtId="0" fontId="72" fillId="27" borderId="0" xfId="0" applyFont="1" applyFill="1" applyAlignment="1">
      <alignment horizontal="center" vertical="top"/>
    </xf>
    <xf numFmtId="0" fontId="71" fillId="27" borderId="0" xfId="0" applyFont="1" applyFill="1" applyAlignment="1">
      <alignment horizontal="center" vertical="top"/>
    </xf>
    <xf numFmtId="0" fontId="71" fillId="27" borderId="0" xfId="0" applyFont="1" applyFill="1"/>
    <xf numFmtId="172" fontId="72" fillId="0" borderId="0" xfId="0" applyNumberFormat="1" applyFont="1"/>
    <xf numFmtId="179" fontId="71" fillId="0" borderId="0" xfId="0" applyNumberFormat="1" applyFont="1" applyAlignment="1">
      <alignment vertical="center"/>
    </xf>
    <xf numFmtId="9" fontId="73" fillId="0" borderId="0" xfId="108" applyFont="1" applyBorder="1" applyAlignment="1">
      <alignment vertical="center"/>
    </xf>
    <xf numFmtId="174" fontId="71" fillId="0" borderId="0" xfId="0" applyNumberFormat="1" applyFont="1"/>
    <xf numFmtId="169" fontId="71" fillId="0" borderId="0" xfId="0" applyNumberFormat="1" applyFont="1"/>
    <xf numFmtId="180" fontId="71" fillId="0" borderId="0" xfId="37" applyNumberFormat="1" applyFont="1" applyFill="1" applyBorder="1" applyAlignment="1">
      <alignment vertical="center"/>
    </xf>
    <xf numFmtId="172" fontId="71" fillId="0" borderId="0" xfId="0" applyNumberFormat="1" applyFont="1" applyAlignment="1">
      <alignment vertical="center"/>
    </xf>
    <xf numFmtId="2" fontId="71" fillId="0" borderId="0" xfId="0" applyNumberFormat="1" applyFont="1"/>
    <xf numFmtId="9" fontId="71" fillId="0" borderId="0" xfId="109" applyFont="1" applyFill="1"/>
    <xf numFmtId="9" fontId="71" fillId="0" borderId="0" xfId="109" applyFont="1"/>
    <xf numFmtId="0" fontId="71" fillId="0" borderId="0" xfId="52" applyFont="1"/>
    <xf numFmtId="0" fontId="71" fillId="40" borderId="0" xfId="52" applyFont="1" applyFill="1"/>
    <xf numFmtId="0" fontId="71" fillId="40" borderId="0" xfId="52" applyFont="1" applyFill="1" applyBorder="1"/>
    <xf numFmtId="0" fontId="72" fillId="40" borderId="0" xfId="52" applyFont="1" applyFill="1" applyBorder="1" applyAlignment="1">
      <alignment vertical="center"/>
    </xf>
    <xf numFmtId="0" fontId="72" fillId="40" borderId="0" xfId="52" applyFont="1" applyFill="1" applyBorder="1" applyAlignment="1">
      <alignment horizontal="center" vertical="center"/>
    </xf>
    <xf numFmtId="176" fontId="71" fillId="40" borderId="0" xfId="52" applyNumberFormat="1" applyFont="1" applyFill="1" applyBorder="1" applyAlignment="1">
      <alignment horizontal="center"/>
    </xf>
    <xf numFmtId="3" fontId="71" fillId="40" borderId="0" xfId="38" applyNumberFormat="1" applyFont="1" applyFill="1" applyBorder="1" applyAlignment="1">
      <alignment horizontal="center" vertical="center"/>
    </xf>
    <xf numFmtId="0" fontId="29" fillId="34" borderId="0" xfId="52" applyFont="1" applyFill="1" applyAlignment="1">
      <alignment horizontal="left"/>
    </xf>
    <xf numFmtId="0" fontId="8" fillId="34" borderId="0" xfId="52" applyFont="1" applyFill="1" applyAlignment="1">
      <alignment horizontal="left"/>
    </xf>
    <xf numFmtId="0" fontId="71" fillId="34" borderId="0" xfId="52" applyFont="1" applyFill="1"/>
    <xf numFmtId="9" fontId="74" fillId="34" borderId="0" xfId="109" applyFont="1" applyFill="1" applyAlignment="1">
      <alignment horizontal="center"/>
    </xf>
    <xf numFmtId="9" fontId="74" fillId="34" borderId="0" xfId="109" applyFont="1" applyFill="1" applyAlignment="1">
      <alignment horizontal="center" vertical="center"/>
    </xf>
    <xf numFmtId="0" fontId="71" fillId="34" borderId="0" xfId="52" applyFont="1" applyFill="1" applyAlignment="1">
      <alignment horizontal="center" vertical="center"/>
    </xf>
    <xf numFmtId="4" fontId="71" fillId="34" borderId="0" xfId="52" applyNumberFormat="1" applyFont="1" applyFill="1"/>
    <xf numFmtId="4" fontId="71" fillId="0" borderId="0" xfId="52" applyNumberFormat="1" applyFont="1"/>
    <xf numFmtId="0" fontId="71" fillId="0" borderId="0" xfId="52" applyFont="1" applyAlignment="1">
      <alignment vertical="center"/>
    </xf>
    <xf numFmtId="172" fontId="71" fillId="34" borderId="0" xfId="52" applyNumberFormat="1" applyFont="1" applyFill="1"/>
    <xf numFmtId="0" fontId="72" fillId="40" borderId="0" xfId="52" applyFont="1" applyFill="1" applyBorder="1" applyAlignment="1">
      <alignment vertical="center" wrapText="1"/>
    </xf>
    <xf numFmtId="0" fontId="72" fillId="40" borderId="0" xfId="52" applyFont="1" applyFill="1" applyBorder="1" applyAlignment="1">
      <alignment horizontal="center" vertical="center"/>
    </xf>
    <xf numFmtId="0" fontId="75" fillId="40" borderId="0" xfId="52" applyFont="1" applyFill="1" applyBorder="1" applyAlignment="1">
      <alignment horizontal="center" vertical="center"/>
    </xf>
    <xf numFmtId="0" fontId="71" fillId="40" borderId="0" xfId="52" applyFont="1" applyFill="1" applyBorder="1" applyAlignment="1">
      <alignment horizontal="center"/>
    </xf>
    <xf numFmtId="3" fontId="71" fillId="40" borderId="0" xfId="52" applyNumberFormat="1" applyFont="1" applyFill="1" applyBorder="1" applyAlignment="1">
      <alignment horizontal="right" indent="1"/>
    </xf>
    <xf numFmtId="179" fontId="71" fillId="0" borderId="0" xfId="52" applyNumberFormat="1" applyFont="1"/>
    <xf numFmtId="0" fontId="71" fillId="0" borderId="0" xfId="52" applyFont="1" applyAlignment="1">
      <alignment horizontal="right"/>
    </xf>
    <xf numFmtId="169" fontId="71" fillId="0" borderId="0" xfId="52" applyNumberFormat="1" applyFont="1"/>
    <xf numFmtId="172" fontId="71" fillId="0" borderId="0" xfId="52" applyNumberFormat="1" applyFont="1"/>
    <xf numFmtId="164" fontId="71" fillId="0" borderId="0" xfId="35" applyFont="1"/>
    <xf numFmtId="179" fontId="76" fillId="0" borderId="0" xfId="52" applyNumberFormat="1" applyFont="1"/>
    <xf numFmtId="9" fontId="66" fillId="34" borderId="0" xfId="107" applyFont="1" applyFill="1"/>
    <xf numFmtId="0" fontId="71" fillId="34" borderId="0" xfId="52" applyFont="1" applyFill="1" applyAlignment="1">
      <alignment vertical="center"/>
    </xf>
    <xf numFmtId="3" fontId="71" fillId="0" borderId="0" xfId="52" applyNumberFormat="1" applyFont="1"/>
    <xf numFmtId="3" fontId="71" fillId="34" borderId="0" xfId="52" applyNumberFormat="1" applyFont="1" applyFill="1"/>
    <xf numFmtId="0" fontId="71" fillId="0" borderId="0" xfId="52" applyFont="1" applyBorder="1"/>
    <xf numFmtId="0" fontId="71" fillId="28" borderId="0" xfId="52" applyFont="1" applyFill="1" applyBorder="1" applyAlignment="1">
      <alignment horizontal="center"/>
    </xf>
    <xf numFmtId="0" fontId="71" fillId="0" borderId="0" xfId="52" applyFont="1" applyBorder="1" applyAlignment="1">
      <alignment horizontal="center"/>
    </xf>
    <xf numFmtId="169" fontId="71" fillId="28" borderId="0" xfId="52" applyNumberFormat="1" applyFont="1" applyFill="1" applyBorder="1" applyAlignment="1">
      <alignment horizontal="center"/>
    </xf>
    <xf numFmtId="169" fontId="71" fillId="0" borderId="0" xfId="52" applyNumberFormat="1" applyFont="1" applyBorder="1" applyAlignment="1">
      <alignment horizontal="center"/>
    </xf>
    <xf numFmtId="0" fontId="72" fillId="0" borderId="0" xfId="52" applyFont="1" applyBorder="1" applyAlignment="1">
      <alignment horizontal="center"/>
    </xf>
    <xf numFmtId="180" fontId="71" fillId="0" borderId="0" xfId="35" applyNumberFormat="1" applyFont="1" applyFill="1"/>
    <xf numFmtId="164" fontId="71" fillId="0" borderId="0" xfId="35" applyFont="1" applyFill="1"/>
    <xf numFmtId="169" fontId="71" fillId="0" borderId="0" xfId="109" applyNumberFormat="1" applyFont="1"/>
    <xf numFmtId="172" fontId="71" fillId="0" borderId="0" xfId="35" applyNumberFormat="1" applyFont="1" applyFill="1"/>
    <xf numFmtId="172" fontId="71" fillId="0" borderId="0" xfId="35" applyNumberFormat="1" applyFont="1"/>
    <xf numFmtId="180" fontId="71" fillId="0" borderId="0" xfId="35" applyNumberFormat="1" applyFont="1"/>
    <xf numFmtId="164" fontId="71" fillId="0" borderId="0" xfId="35" applyFont="1" applyAlignment="1">
      <alignment horizontal="center"/>
    </xf>
    <xf numFmtId="3" fontId="71" fillId="0" borderId="0" xfId="0" applyNumberFormat="1" applyFont="1" applyAlignment="1">
      <alignment vertical="center"/>
    </xf>
  </cellXfs>
  <cellStyles count="127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Diseño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Euro 2" xfId="33"/>
    <cellStyle name="Incorrecto 2" xfId="34"/>
    <cellStyle name="Millares" xfId="35" builtinId="3"/>
    <cellStyle name="Millares 10" xfId="36"/>
    <cellStyle name="Millares 2" xfId="37"/>
    <cellStyle name="Millares 2 2" xfId="38"/>
    <cellStyle name="Millares 2 3" xfId="39"/>
    <cellStyle name="Millares 2 4" xfId="40"/>
    <cellStyle name="Millares 2 5" xfId="41"/>
    <cellStyle name="Millares 2 6" xfId="42"/>
    <cellStyle name="Millares 3" xfId="43"/>
    <cellStyle name="Millares 3 2" xfId="44"/>
    <cellStyle name="Millares 3 2 2" xfId="45"/>
    <cellStyle name="Millares 4" xfId="46"/>
    <cellStyle name="Millares 5" xfId="47"/>
    <cellStyle name="Millares 6" xfId="48"/>
    <cellStyle name="Millares 7" xfId="49"/>
    <cellStyle name="Millares 8" xfId="124"/>
    <cellStyle name="Millares 9" xfId="126"/>
    <cellStyle name="Neutral 2" xfId="50"/>
    <cellStyle name="Normal" xfId="0" builtinId="0"/>
    <cellStyle name="Normal 2" xfId="51"/>
    <cellStyle name="Normal 2 2" xfId="52"/>
    <cellStyle name="Normal 2 3" xfId="53"/>
    <cellStyle name="Normal 2 3 2" xfId="54"/>
    <cellStyle name="Normal 2 4" xfId="55"/>
    <cellStyle name="Normal 2 4 2" xfId="56"/>
    <cellStyle name="Normal 2 4 3" xfId="57"/>
    <cellStyle name="Normal 2 5" xfId="58"/>
    <cellStyle name="Normal 22" xfId="59"/>
    <cellStyle name="Normal 23" xfId="60"/>
    <cellStyle name="Normal 3" xfId="61"/>
    <cellStyle name="Normal 3 2" xfId="62"/>
    <cellStyle name="Normal 3 3" xfId="63"/>
    <cellStyle name="Normal 4" xfId="64"/>
    <cellStyle name="Normal 4 10" xfId="65"/>
    <cellStyle name="Normal 4 10 2" xfId="66"/>
    <cellStyle name="Normal 4 11" xfId="67"/>
    <cellStyle name="Normal 4 11 2" xfId="68"/>
    <cellStyle name="Normal 4 12" xfId="69"/>
    <cellStyle name="Normal 4 12 2" xfId="70"/>
    <cellStyle name="Normal 4 13" xfId="71"/>
    <cellStyle name="Normal 4 13 2" xfId="72"/>
    <cellStyle name="Normal 4 14" xfId="73"/>
    <cellStyle name="Normal 4 14 2" xfId="74"/>
    <cellStyle name="Normal 4 15" xfId="75"/>
    <cellStyle name="Normal 4 15 2" xfId="76"/>
    <cellStyle name="Normal 4 16" xfId="77"/>
    <cellStyle name="Normal 4 16 2" xfId="78"/>
    <cellStyle name="Normal 4 17" xfId="79"/>
    <cellStyle name="Normal 4 17 2" xfId="80"/>
    <cellStyle name="Normal 4 18" xfId="81"/>
    <cellStyle name="Normal 4 18 2" xfId="82"/>
    <cellStyle name="Normal 4 19" xfId="83"/>
    <cellStyle name="Normal 4 19 2" xfId="84"/>
    <cellStyle name="Normal 4 2" xfId="85"/>
    <cellStyle name="Normal 4 2 2" xfId="86"/>
    <cellStyle name="Normal 4 20" xfId="87"/>
    <cellStyle name="Normal 4 3" xfId="88"/>
    <cellStyle name="Normal 4 3 2" xfId="89"/>
    <cellStyle name="Normal 4 4" xfId="90"/>
    <cellStyle name="Normal 4 4 2" xfId="91"/>
    <cellStyle name="Normal 4 5" xfId="92"/>
    <cellStyle name="Normal 4 5 2" xfId="93"/>
    <cellStyle name="Normal 4 6" xfId="94"/>
    <cellStyle name="Normal 4 6 2" xfId="95"/>
    <cellStyle name="Normal 4 7" xfId="96"/>
    <cellStyle name="Normal 4 7 2" xfId="97"/>
    <cellStyle name="Normal 4 8" xfId="98"/>
    <cellStyle name="Normal 4 8 2" xfId="99"/>
    <cellStyle name="Normal 4 9" xfId="100"/>
    <cellStyle name="Normal 4 9 2" xfId="101"/>
    <cellStyle name="Normal 5" xfId="102"/>
    <cellStyle name="Normal 5 2" xfId="103"/>
    <cellStyle name="Normal 5 3" xfId="104"/>
    <cellStyle name="Normal 6" xfId="123"/>
    <cellStyle name="Normal 7" xfId="125"/>
    <cellStyle name="Normal_desagregados" xfId="105"/>
    <cellStyle name="Notas 2" xfId="106"/>
    <cellStyle name="Porcentaje" xfId="107" builtinId="5"/>
    <cellStyle name="Porcentaje 2" xfId="108"/>
    <cellStyle name="Porcentaje 2 2" xfId="109"/>
    <cellStyle name="Porcentaje 3" xfId="110"/>
    <cellStyle name="Porcentaje 4" xfId="111"/>
    <cellStyle name="Porcentaje 5" xfId="112"/>
    <cellStyle name="Porcentaje 5 2" xfId="113"/>
    <cellStyle name="Porcentual 2" xfId="114"/>
    <cellStyle name="Salida 2" xfId="115"/>
    <cellStyle name="Texto de advertencia 2" xfId="116"/>
    <cellStyle name="Texto explicativo 2" xfId="117"/>
    <cellStyle name="Título 1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0B7D8F"/>
      <color rgb="FF00CC66"/>
      <color rgb="FF86E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99155775631121E-2"/>
          <c:y val="4.4947071690227054E-2"/>
          <c:w val="0.88584268203587957"/>
          <c:h val="0.83294948487137965"/>
        </c:manualLayout>
      </c:layout>
      <c:lineChart>
        <c:grouping val="standard"/>
        <c:varyColors val="0"/>
        <c:ser>
          <c:idx val="0"/>
          <c:order val="0"/>
          <c:tx>
            <c:strRef>
              <c:f>'1.2 y 1.3'!$M$38</c:f>
              <c:strCache>
                <c:ptCount val="1"/>
                <c:pt idx="0">
                  <c:v>kWh/ habit</c:v>
                </c:pt>
              </c:strCache>
            </c:strRef>
          </c:tx>
          <c:spPr>
            <a:ln w="6350"/>
          </c:spPr>
          <c:marker>
            <c:symbol val="diamond"/>
            <c:size val="3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'1.2 y 1.3'!$J$40:$J$55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'1.2 y 1.3'!$M$40:$M$55</c:f>
              <c:numCache>
                <c:formatCode>#,##0</c:formatCode>
                <c:ptCount val="16"/>
                <c:pt idx="0">
                  <c:v>583.54420160499478</c:v>
                </c:pt>
                <c:pt idx="1">
                  <c:v>679.95822165587731</c:v>
                </c:pt>
                <c:pt idx="2">
                  <c:v>822.95556376651109</c:v>
                </c:pt>
                <c:pt idx="3">
                  <c:v>1079.3034950558065</c:v>
                </c:pt>
                <c:pt idx="4">
                  <c:v>1153.7228269752948</c:v>
                </c:pt>
                <c:pt idx="5">
                  <c:v>1205.312262126384</c:v>
                </c:pt>
                <c:pt idx="6">
                  <c:v>1256.0486081244571</c:v>
                </c:pt>
                <c:pt idx="7">
                  <c:v>1299.0571028213799</c:v>
                </c:pt>
                <c:pt idx="8">
                  <c:v>1358.9579728147939</c:v>
                </c:pt>
                <c:pt idx="9">
                  <c:v>1446.0108096533445</c:v>
                </c:pt>
                <c:pt idx="10">
                  <c:v>1463.5335137674547</c:v>
                </c:pt>
                <c:pt idx="11">
                  <c:v>1504.8278566815334</c:v>
                </c:pt>
                <c:pt idx="12">
                  <c:v>1554.2631219182176</c:v>
                </c:pt>
                <c:pt idx="13">
                  <c:v>1404.9479480016912</c:v>
                </c:pt>
                <c:pt idx="14">
                  <c:v>1510.8988831699924</c:v>
                </c:pt>
                <c:pt idx="15">
                  <c:v>1566.957184726085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A3-4F7F-8002-4497FB14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4752"/>
        <c:axId val="125224064"/>
      </c:lineChart>
      <c:catAx>
        <c:axId val="1180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125224064"/>
        <c:crosses val="autoZero"/>
        <c:auto val="1"/>
        <c:lblAlgn val="ctr"/>
        <c:lblOffset val="100"/>
        <c:noMultiLvlLbl val="0"/>
      </c:catAx>
      <c:valAx>
        <c:axId val="125224064"/>
        <c:scaling>
          <c:orientation val="minMax"/>
          <c:max val="1800"/>
          <c:min val="400"/>
        </c:scaling>
        <c:delete val="0"/>
        <c:axPos val="l"/>
        <c:majorGridlines>
          <c:spPr>
            <a:ln w="3175"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s-PE" sz="1000"/>
                  <a:t>kWh / habitante</a:t>
                </a:r>
              </a:p>
            </c:rich>
          </c:tx>
          <c:layout>
            <c:manualLayout>
              <c:xMode val="edge"/>
              <c:yMode val="edge"/>
              <c:x val="7.1885304276268682E-3"/>
              <c:y val="0.351542492056192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118074752"/>
        <c:crosses val="autoZero"/>
        <c:crossBetween val="between"/>
        <c:majorUnit val="200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58990670059372E-2"/>
          <c:y val="6.2303030303030311E-2"/>
          <c:w val="0.90381446140797284"/>
          <c:h val="0.78102398989899002"/>
        </c:manualLayout>
      </c:layout>
      <c:lineChart>
        <c:grouping val="standard"/>
        <c:varyColors val="0"/>
        <c:ser>
          <c:idx val="0"/>
          <c:order val="0"/>
          <c:tx>
            <c:strRef>
              <c:f>'3.2'!$W$4</c:f>
              <c:strCache>
                <c:ptCount val="1"/>
                <c:pt idx="0">
                  <c:v>SEIN</c:v>
                </c:pt>
              </c:strCache>
            </c:strRef>
          </c:tx>
          <c:spPr>
            <a:ln w="6350">
              <a:solidFill>
                <a:srgbClr val="0000CC"/>
              </a:solidFill>
            </a:ln>
          </c:spPr>
          <c:marker>
            <c:symbol val="diamond"/>
            <c:size val="3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1-48F0-8EB9-1FF4F4EA3D3A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'3.2'!$U$5:$U$20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'3.2'!$W$5:$W$20</c:f>
              <c:numCache>
                <c:formatCode>#\ ##0.0</c:formatCode>
                <c:ptCount val="16"/>
                <c:pt idx="0">
                  <c:v>3471.2060000000001</c:v>
                </c:pt>
                <c:pt idx="1">
                  <c:v>4591.2660000000005</c:v>
                </c:pt>
                <c:pt idx="2">
                  <c:v>4746.7159999999994</c:v>
                </c:pt>
                <c:pt idx="3">
                  <c:v>6887.6360000000013</c:v>
                </c:pt>
                <c:pt idx="4">
                  <c:v>6888.4620000000004</c:v>
                </c:pt>
                <c:pt idx="5">
                  <c:v>7777.549</c:v>
                </c:pt>
                <c:pt idx="6">
                  <c:v>8677.6899999999987</c:v>
                </c:pt>
                <c:pt idx="7">
                  <c:v>9049.6930000000011</c:v>
                </c:pt>
                <c:pt idx="8">
                  <c:v>10113.788999999999</c:v>
                </c:pt>
                <c:pt idx="9">
                  <c:v>12518.377000000002</c:v>
                </c:pt>
                <c:pt idx="10">
                  <c:v>12637.361096666666</c:v>
                </c:pt>
                <c:pt idx="11">
                  <c:v>13156.41</c:v>
                </c:pt>
                <c:pt idx="12">
                  <c:v>13176.357000000002</c:v>
                </c:pt>
                <c:pt idx="13">
                  <c:v>13233.145000000002</c:v>
                </c:pt>
                <c:pt idx="14">
                  <c:v>13369.490000000005</c:v>
                </c:pt>
                <c:pt idx="15">
                  <c:v>13729.009999999997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75-46B4-9D03-AFB218E0D5B1}"/>
            </c:ext>
          </c:extLst>
        </c:ser>
        <c:ser>
          <c:idx val="1"/>
          <c:order val="1"/>
          <c:tx>
            <c:strRef>
              <c:f>'3.2'!$X$4</c:f>
              <c:strCache>
                <c:ptCount val="1"/>
                <c:pt idx="0">
                  <c:v>SA</c:v>
                </c:pt>
              </c:strCache>
            </c:strRef>
          </c:tx>
          <c:spPr>
            <a:ln w="6350">
              <a:solidFill>
                <a:srgbClr val="FFC000"/>
              </a:solidFill>
            </a:ln>
          </c:spPr>
          <c:marker>
            <c:symbol val="triangle"/>
            <c:size val="3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51-48F0-8EB9-1FF4F4EA3D3A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'3.2'!$U$5:$U$20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'3.2'!$X$5:$X$20</c:f>
              <c:numCache>
                <c:formatCode>#\ ##0.0</c:formatCode>
                <c:ptCount val="16"/>
                <c:pt idx="0">
                  <c:v>604.202</c:v>
                </c:pt>
                <c:pt idx="1">
                  <c:v>963.58000000000015</c:v>
                </c:pt>
                <c:pt idx="2">
                  <c:v>864.20900000000029</c:v>
                </c:pt>
                <c:pt idx="3">
                  <c:v>1112.7510000000002</c:v>
                </c:pt>
                <c:pt idx="4">
                  <c:v>1157.0709999999999</c:v>
                </c:pt>
                <c:pt idx="5">
                  <c:v>1161.7080000000001</c:v>
                </c:pt>
                <c:pt idx="6">
                  <c:v>1207.5820000000001</c:v>
                </c:pt>
                <c:pt idx="7">
                  <c:v>1219.6489999999999</c:v>
                </c:pt>
                <c:pt idx="8">
                  <c:v>1116.6509999999998</c:v>
                </c:pt>
                <c:pt idx="9">
                  <c:v>1124.1290999999999</c:v>
                </c:pt>
                <c:pt idx="10">
                  <c:v>1214.7391833333331</c:v>
                </c:pt>
                <c:pt idx="11">
                  <c:v>1209.8461</c:v>
                </c:pt>
                <c:pt idx="12">
                  <c:v>1202.5361</c:v>
                </c:pt>
                <c:pt idx="13">
                  <c:v>1198.8240999999998</c:v>
                </c:pt>
                <c:pt idx="14">
                  <c:v>1209.9020999999996</c:v>
                </c:pt>
                <c:pt idx="15">
                  <c:v>1247.9811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75-46B4-9D03-AFB218E0D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2400"/>
        <c:axId val="47703936"/>
      </c:lineChart>
      <c:catAx>
        <c:axId val="477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7703936"/>
        <c:crosses val="autoZero"/>
        <c:auto val="1"/>
        <c:lblAlgn val="ctr"/>
        <c:lblOffset val="100"/>
        <c:noMultiLvlLbl val="0"/>
      </c:catAx>
      <c:valAx>
        <c:axId val="47703936"/>
        <c:scaling>
          <c:orientation val="minMax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4.2434266327396096E-3"/>
              <c:y val="0.42015656565656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7702400"/>
        <c:crosses val="autoZero"/>
        <c:crossBetween val="between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3324342663273959"/>
          <c:y val="0.93659595959595965"/>
          <c:w val="0.31768702290076334"/>
          <c:h val="6.3404040404040407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5042220424434E-2"/>
          <c:y val="4.3881313131313132E-2"/>
          <c:w val="0.84495016963528413"/>
          <c:h val="0.8030138888888889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solid"/>
            </a:ln>
          </c:spPr>
          <c:cat>
            <c:numRef>
              <c:f>'3.3 y 3.4'!$W$42:$W$57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'3.3 y 3.4'!$U$69:$U$83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E1-4161-BA0F-C160A51BB49B}"/>
            </c:ext>
          </c:extLst>
        </c:ser>
        <c:ser>
          <c:idx val="1"/>
          <c:order val="1"/>
          <c:spPr>
            <a:ln>
              <a:solidFill>
                <a:srgbClr val="0000CC"/>
              </a:solidFill>
            </a:ln>
          </c:spPr>
          <c:cat>
            <c:numRef>
              <c:f>'3.3 y 3.4'!$W$42:$W$57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'3.3 y 3.4'!$V$69:$V$83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E1-4161-BA0F-C160A51BB49B}"/>
            </c:ext>
          </c:extLst>
        </c:ser>
        <c:ser>
          <c:idx val="2"/>
          <c:order val="2"/>
          <c:tx>
            <c:v>SEIN</c:v>
          </c:tx>
          <c:spPr>
            <a:ln w="6350">
              <a:solidFill>
                <a:srgbClr val="0070C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5"/>
              <c:layout>
                <c:manualLayout>
                  <c:x val="-4.4069550466497132E-2"/>
                  <c:y val="-5.4932133838383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6.0739609838846478E-2"/>
                      <c:h val="9.08005050505050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C9B-44C1-81AE-0565F1B10525}"/>
                </c:ext>
              </c:extLst>
            </c:dLbl>
            <c:dLbl>
              <c:idx val="23"/>
              <c:layout>
                <c:manualLayout>
                  <c:x val="-3.0796787093785888E-2"/>
                  <c:y val="-3.7742718847259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91-4B55-BEEC-611137E62EE4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'3.3 y 3.4'!$W$42:$W$57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'3.3 y 3.4'!$X$42:$X$57</c:f>
              <c:numCache>
                <c:formatCode>#\ ##0.0</c:formatCode>
                <c:ptCount val="16"/>
                <c:pt idx="0">
                  <c:v>2861.116</c:v>
                </c:pt>
                <c:pt idx="1">
                  <c:v>4501.3870000000006</c:v>
                </c:pt>
                <c:pt idx="2">
                  <c:v>4619.7579999999998</c:v>
                </c:pt>
                <c:pt idx="3">
                  <c:v>6727.0620000000017</c:v>
                </c:pt>
                <c:pt idx="4">
                  <c:v>6729.8410000000003</c:v>
                </c:pt>
                <c:pt idx="5">
                  <c:v>7617.5529999999999</c:v>
                </c:pt>
                <c:pt idx="6">
                  <c:v>8521.0119999999988</c:v>
                </c:pt>
                <c:pt idx="7">
                  <c:v>8908.4320000000007</c:v>
                </c:pt>
                <c:pt idx="8">
                  <c:v>9845.1579999999994</c:v>
                </c:pt>
                <c:pt idx="9">
                  <c:v>12265.121000000003</c:v>
                </c:pt>
                <c:pt idx="10">
                  <c:v>12430.616096666665</c:v>
                </c:pt>
                <c:pt idx="11">
                  <c:v>12951.207</c:v>
                </c:pt>
                <c:pt idx="12">
                  <c:v>12968.243000000002</c:v>
                </c:pt>
                <c:pt idx="13">
                  <c:v>13021.619000000002</c:v>
                </c:pt>
                <c:pt idx="14">
                  <c:v>13154.703000000005</c:v>
                </c:pt>
                <c:pt idx="15">
                  <c:v>13507.625999999997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E1-4161-BA0F-C160A51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28384"/>
        <c:axId val="48538368"/>
      </c:lineChart>
      <c:lineChart>
        <c:grouping val="standard"/>
        <c:varyColors val="0"/>
        <c:ser>
          <c:idx val="3"/>
          <c:order val="3"/>
          <c:tx>
            <c:v>SA</c:v>
          </c:tx>
          <c:spPr>
            <a:ln w="6350">
              <a:solidFill>
                <a:srgbClr val="FFC000"/>
              </a:solidFill>
            </a:ln>
          </c:spPr>
          <c:marker>
            <c:symbol val="diamond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5"/>
              <c:layout>
                <c:manualLayout>
                  <c:x val="-3.5648006785411364E-2"/>
                  <c:y val="-7.3462121212121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4C1-81AE-0565F1B10525}"/>
                </c:ext>
              </c:extLst>
            </c:dLbl>
            <c:dLbl>
              <c:idx val="23"/>
              <c:layout>
                <c:manualLayout>
                  <c:x val="-2.5743663750514584E-2"/>
                  <c:y val="-3.7742718847259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91-4B55-BEEC-611137E62EE4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'3.3 y 3.4'!$W$42:$W$56</c:f>
              <c:numCache>
                <c:formatCode>General</c:formatCode>
                <c:ptCount val="1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'3.3 y 3.4'!$Y$42:$Y$57</c:f>
              <c:numCache>
                <c:formatCode>#\ ##0.0</c:formatCode>
                <c:ptCount val="16"/>
                <c:pt idx="0">
                  <c:v>334.27599999999995</c:v>
                </c:pt>
                <c:pt idx="1">
                  <c:v>274.54799999999994</c:v>
                </c:pt>
                <c:pt idx="2">
                  <c:v>178.90499999999992</c:v>
                </c:pt>
                <c:pt idx="3">
                  <c:v>147.976</c:v>
                </c:pt>
                <c:pt idx="4">
                  <c:v>137.97999999999999</c:v>
                </c:pt>
                <c:pt idx="5">
                  <c:v>137.352</c:v>
                </c:pt>
                <c:pt idx="6">
                  <c:v>159.40900000000005</c:v>
                </c:pt>
                <c:pt idx="7">
                  <c:v>174.36800000000002</c:v>
                </c:pt>
                <c:pt idx="8">
                  <c:v>183.12599999999998</c:v>
                </c:pt>
                <c:pt idx="9">
                  <c:v>185.58700000000005</c:v>
                </c:pt>
                <c:pt idx="10">
                  <c:v>200.64008333333337</c:v>
                </c:pt>
                <c:pt idx="11">
                  <c:v>194.38900000000004</c:v>
                </c:pt>
                <c:pt idx="12">
                  <c:v>191.00400000000008</c:v>
                </c:pt>
                <c:pt idx="13">
                  <c:v>188.28499999999997</c:v>
                </c:pt>
                <c:pt idx="14">
                  <c:v>184.39699999999991</c:v>
                </c:pt>
                <c:pt idx="15">
                  <c:v>190.673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91-4B55-BEEC-611137E62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42464"/>
        <c:axId val="48540288"/>
      </c:lineChart>
      <c:catAx>
        <c:axId val="4852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8538368"/>
        <c:crosses val="autoZero"/>
        <c:auto val="1"/>
        <c:lblAlgn val="ctr"/>
        <c:lblOffset val="100"/>
        <c:noMultiLvlLbl val="0"/>
      </c:catAx>
      <c:valAx>
        <c:axId val="48538368"/>
        <c:scaling>
          <c:orientation val="minMax"/>
        </c:scaling>
        <c:delete val="0"/>
        <c:axPos val="l"/>
        <c:majorGridlines>
          <c:spPr>
            <a:ln w="6350">
              <a:solidFill>
                <a:srgbClr val="80808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 (Sistema SEIN)</a:t>
                </a:r>
              </a:p>
            </c:rich>
          </c:tx>
          <c:layout>
            <c:manualLayout>
              <c:xMode val="edge"/>
              <c:yMode val="edge"/>
              <c:x val="5.3963104325699734E-3"/>
              <c:y val="0.3454558080808080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8528384"/>
        <c:crosses val="autoZero"/>
        <c:crossBetween val="between"/>
      </c:valAx>
      <c:valAx>
        <c:axId val="48540288"/>
        <c:scaling>
          <c:orientation val="minMax"/>
          <c:max val="15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MW (Sistema aislado)</a:t>
                </a:r>
              </a:p>
            </c:rich>
          </c:tx>
          <c:layout>
            <c:manualLayout>
              <c:xMode val="edge"/>
              <c:yMode val="edge"/>
              <c:x val="0.96934796437659032"/>
              <c:y val="0.29571654040404038"/>
            </c:manualLayout>
          </c:layout>
          <c:overlay val="0"/>
        </c:title>
        <c:numFmt formatCode="#\ ##0" sourceLinked="0"/>
        <c:majorTickMark val="out"/>
        <c:minorTickMark val="none"/>
        <c:tickLblPos val="nextTo"/>
        <c:spPr>
          <a:ln w="6350"/>
        </c:spPr>
        <c:crossAx val="48542464"/>
        <c:crosses val="max"/>
        <c:crossBetween val="between"/>
      </c:valAx>
      <c:catAx>
        <c:axId val="4854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40288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chemeClr val="tx1">
              <a:tint val="75000"/>
              <a:shade val="95000"/>
              <a:satMod val="10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266963528413907"/>
          <c:y val="0.93081502525252524"/>
          <c:w val="0.32386089906700594"/>
          <c:h val="6.618497474747475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87828668363013E-2"/>
          <c:y val="5.2092803030303024E-2"/>
          <c:w val="0.92366178965224766"/>
          <c:h val="0.79130618686868692"/>
        </c:manualLayout>
      </c:layout>
      <c:lineChart>
        <c:grouping val="standard"/>
        <c:varyColors val="0"/>
        <c:ser>
          <c:idx val="0"/>
          <c:order val="0"/>
          <c:tx>
            <c:v>SEIN</c:v>
          </c:tx>
          <c:spPr>
            <a:ln w="6350">
              <a:solidFill>
                <a:srgbClr val="0070C0"/>
              </a:solidFill>
              <a:prstDash val="solid"/>
            </a:ln>
          </c:spPr>
          <c:marker>
            <c:symbol val="diamond"/>
            <c:size val="3"/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A2-4C52-A157-5EDADE089EC6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9A-4655-8643-9EBAE595E512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'3.3 y 3.4'!$M$110:$M$125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'3.3 y 3.4'!$N$110:$N$125</c:f>
              <c:numCache>
                <c:formatCode>#\ ##0.0</c:formatCode>
                <c:ptCount val="16"/>
                <c:pt idx="0">
                  <c:v>610.09</c:v>
                </c:pt>
                <c:pt idx="1">
                  <c:v>89.878999999999991</c:v>
                </c:pt>
                <c:pt idx="2">
                  <c:v>126.95800000000001</c:v>
                </c:pt>
                <c:pt idx="3">
                  <c:v>160.57400000000001</c:v>
                </c:pt>
                <c:pt idx="4">
                  <c:v>158.62100000000001</c:v>
                </c:pt>
                <c:pt idx="5">
                  <c:v>159.99600000000001</c:v>
                </c:pt>
                <c:pt idx="6">
                  <c:v>156.67800000000003</c:v>
                </c:pt>
                <c:pt idx="7">
                  <c:v>141.261</c:v>
                </c:pt>
                <c:pt idx="8">
                  <c:v>268.63100000000003</c:v>
                </c:pt>
                <c:pt idx="9">
                  <c:v>253.25599999999997</c:v>
                </c:pt>
                <c:pt idx="10">
                  <c:v>206.74499999999995</c:v>
                </c:pt>
                <c:pt idx="11">
                  <c:v>205.20299999999997</c:v>
                </c:pt>
                <c:pt idx="12">
                  <c:v>208.11399999999998</c:v>
                </c:pt>
                <c:pt idx="13">
                  <c:v>211.52599999999995</c:v>
                </c:pt>
                <c:pt idx="14">
                  <c:v>214.78699999999995</c:v>
                </c:pt>
                <c:pt idx="15">
                  <c:v>221.38400000000001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3DC-4271-9445-62220C2ED7D7}"/>
            </c:ext>
          </c:extLst>
        </c:ser>
        <c:ser>
          <c:idx val="1"/>
          <c:order val="1"/>
          <c:tx>
            <c:v>SA</c:v>
          </c:tx>
          <c:spPr>
            <a:ln w="6350">
              <a:solidFill>
                <a:srgbClr val="FFC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A2-4C52-A157-5EDADE089EC6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9A-4655-8643-9EBAE595E512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'3.3 y 3.4'!$M$110:$M$125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'3.3 y 3.4'!$O$110:$O$125</c:f>
              <c:numCache>
                <c:formatCode>#\ ##0.0</c:formatCode>
                <c:ptCount val="16"/>
                <c:pt idx="0">
                  <c:v>269.92599999999999</c:v>
                </c:pt>
                <c:pt idx="1">
                  <c:v>689.03200000000015</c:v>
                </c:pt>
                <c:pt idx="2">
                  <c:v>685.30400000000031</c:v>
                </c:pt>
                <c:pt idx="3">
                  <c:v>964.77500000000032</c:v>
                </c:pt>
                <c:pt idx="4">
                  <c:v>1019.0909999999999</c:v>
                </c:pt>
                <c:pt idx="5">
                  <c:v>1024.356</c:v>
                </c:pt>
                <c:pt idx="6">
                  <c:v>1048.173</c:v>
                </c:pt>
                <c:pt idx="7">
                  <c:v>1045.2809999999999</c:v>
                </c:pt>
                <c:pt idx="8">
                  <c:v>933.52499999999986</c:v>
                </c:pt>
                <c:pt idx="9">
                  <c:v>938.54209999999978</c:v>
                </c:pt>
                <c:pt idx="10">
                  <c:v>1014.0990999999998</c:v>
                </c:pt>
                <c:pt idx="11">
                  <c:v>1015.4570999999999</c:v>
                </c:pt>
                <c:pt idx="12">
                  <c:v>1011.5320999999999</c:v>
                </c:pt>
                <c:pt idx="13">
                  <c:v>1010.5390999999998</c:v>
                </c:pt>
                <c:pt idx="14">
                  <c:v>1025.5050999999996</c:v>
                </c:pt>
                <c:pt idx="15">
                  <c:v>1057.3081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DC-4271-9445-62220C2E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8304"/>
        <c:axId val="49219840"/>
      </c:lineChart>
      <c:catAx>
        <c:axId val="4921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219840"/>
        <c:crosses val="autoZero"/>
        <c:auto val="1"/>
        <c:lblAlgn val="ctr"/>
        <c:lblOffset val="100"/>
        <c:noMultiLvlLbl val="0"/>
      </c:catAx>
      <c:valAx>
        <c:axId val="492198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2.4291772688719254E-3"/>
              <c:y val="0.42414835858585859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218304"/>
        <c:crosses val="autoZero"/>
        <c:crossBetween val="between"/>
      </c:valAx>
      <c:spPr>
        <a:solidFill>
          <a:srgbClr val="FFFFFF"/>
        </a:solidFill>
        <a:ln w="3175">
          <a:solidFill>
            <a:schemeClr val="tx1">
              <a:tint val="75000"/>
              <a:shade val="95000"/>
              <a:satMod val="10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966136556403728"/>
          <c:y val="0.93697727272727271"/>
          <c:w val="0.36832251908396946"/>
          <c:h val="6.302272727272727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54452926208637E-2"/>
          <c:y val="6.0643308080808089E-2"/>
          <c:w val="0.90884499575911792"/>
          <c:h val="0.82843244949494954"/>
        </c:manualLayout>
      </c:layout>
      <c:lineChart>
        <c:grouping val="standard"/>
        <c:varyColors val="0"/>
        <c:ser>
          <c:idx val="0"/>
          <c:order val="0"/>
          <c:tx>
            <c:strRef>
              <c:f>'4.1'!$Q$7</c:f>
              <c:strCache>
                <c:ptCount val="1"/>
                <c:pt idx="0">
                  <c:v>Máxima Demanda </c:v>
                </c:pt>
              </c:strCache>
            </c:strRef>
          </c:tx>
          <c:spPr>
            <a:ln w="6350"/>
          </c:spPr>
          <c:marker>
            <c:symbol val="diamond"/>
            <c:size val="3"/>
          </c:marker>
          <c:dLbls>
            <c:dLbl>
              <c:idx val="15"/>
              <c:layout>
                <c:manualLayout>
                  <c:x val="-3.2596041909196856E-2"/>
                  <c:y val="-3.539823008849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A-43BD-9656-1BC366A0FF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'4.1'!$P$8:$P$23</c:f>
              <c:numCache>
                <c:formatCode>#\ ##0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'4.1'!$Q$8:$Q$23</c:f>
              <c:numCache>
                <c:formatCode>#,##0</c:formatCode>
                <c:ptCount val="16"/>
                <c:pt idx="0">
                  <c:v>2052.1</c:v>
                </c:pt>
                <c:pt idx="1">
                  <c:v>2620.6999999999998</c:v>
                </c:pt>
                <c:pt idx="2">
                  <c:v>3305.0140500000002</c:v>
                </c:pt>
                <c:pt idx="3">
                  <c:v>4578.9431199999999</c:v>
                </c:pt>
                <c:pt idx="4">
                  <c:v>4961.1929899999996</c:v>
                </c:pt>
                <c:pt idx="5">
                  <c:v>5291</c:v>
                </c:pt>
                <c:pt idx="6">
                  <c:v>5575.2435699999996</c:v>
                </c:pt>
                <c:pt idx="7">
                  <c:v>5737.27</c:v>
                </c:pt>
                <c:pt idx="8">
                  <c:v>6275</c:v>
                </c:pt>
                <c:pt idx="9">
                  <c:v>6492.4099800000004</c:v>
                </c:pt>
                <c:pt idx="10">
                  <c:v>6559.0633399999997</c:v>
                </c:pt>
                <c:pt idx="11">
                  <c:v>6884.5910000000003</c:v>
                </c:pt>
                <c:pt idx="12">
                  <c:v>7017.5709999999999</c:v>
                </c:pt>
                <c:pt idx="13">
                  <c:v>7125.2993800000004</c:v>
                </c:pt>
                <c:pt idx="14">
                  <c:v>7173.03</c:v>
                </c:pt>
                <c:pt idx="15">
                  <c:v>7467.4497399999982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8A-43BD-9656-1BC366A0F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6592"/>
        <c:axId val="49248128"/>
      </c:lineChart>
      <c:catAx>
        <c:axId val="49246592"/>
        <c:scaling>
          <c:orientation val="minMax"/>
        </c:scaling>
        <c:delete val="0"/>
        <c:axPos val="b"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9248128"/>
        <c:crosses val="autoZero"/>
        <c:auto val="1"/>
        <c:lblAlgn val="ctr"/>
        <c:lblOffset val="100"/>
        <c:noMultiLvlLbl val="0"/>
      </c:catAx>
      <c:valAx>
        <c:axId val="49248128"/>
        <c:scaling>
          <c:orientation val="minMax"/>
          <c:max val="8000"/>
          <c:min val="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3.1210771840542834E-3"/>
              <c:y val="0.462577651515151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9246592"/>
        <c:crosses val="autoZero"/>
        <c:crossBetween val="between"/>
        <c:majorUnit val="10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27796591237949E-2"/>
          <c:y val="6.1390840236399902E-2"/>
          <c:w val="0.8925309999001505"/>
          <c:h val="0.79686923660567255"/>
        </c:manualLayout>
      </c:layout>
      <c:areaChart>
        <c:grouping val="stacked"/>
        <c:varyColors val="0"/>
        <c:ser>
          <c:idx val="0"/>
          <c:order val="0"/>
          <c:tx>
            <c:strRef>
              <c:f>'5.1'!$Y$24</c:f>
              <c:strCache>
                <c:ptCount val="1"/>
                <c:pt idx="0">
                  <c:v>Hidráulica</c:v>
                </c:pt>
              </c:strCache>
            </c:strRef>
          </c:tx>
          <c:cat>
            <c:numRef>
              <c:f>'5.1'!$X$25:$X$40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'5.1'!$Y$25:$Y$40</c:f>
              <c:numCache>
                <c:formatCode>#\ ##0.0</c:formatCode>
                <c:ptCount val="16"/>
                <c:pt idx="0">
                  <c:v>12937.553461</c:v>
                </c:pt>
                <c:pt idx="1">
                  <c:v>16176.051366</c:v>
                </c:pt>
                <c:pt idx="2">
                  <c:v>17976.993336</c:v>
                </c:pt>
                <c:pt idx="3">
                  <c:v>20052.129280199999</c:v>
                </c:pt>
                <c:pt idx="4">
                  <c:v>21557.326716785243</c:v>
                </c:pt>
                <c:pt idx="5">
                  <c:v>22031.93804599997</c:v>
                </c:pt>
                <c:pt idx="6">
                  <c:v>22319.562549983006</c:v>
                </c:pt>
                <c:pt idx="7">
                  <c:v>22210.659487894649</c:v>
                </c:pt>
                <c:pt idx="8">
                  <c:v>23722.747563457575</c:v>
                </c:pt>
                <c:pt idx="9">
                  <c:v>24171.687750762609</c:v>
                </c:pt>
                <c:pt idx="10">
                  <c:v>29074.513497615771</c:v>
                </c:pt>
                <c:pt idx="11">
                  <c:v>30737.457609388184</c:v>
                </c:pt>
                <c:pt idx="12">
                  <c:v>31462.088372515354</c:v>
                </c:pt>
                <c:pt idx="13">
                  <c:v>30510.304202127467</c:v>
                </c:pt>
                <c:pt idx="14">
                  <c:v>31925.680936000001</c:v>
                </c:pt>
                <c:pt idx="15">
                  <c:v>29743.804973672315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4F-4253-840C-6F5FD10A2724}"/>
            </c:ext>
          </c:extLst>
        </c:ser>
        <c:ser>
          <c:idx val="1"/>
          <c:order val="1"/>
          <c:tx>
            <c:strRef>
              <c:f>'5.1'!$Z$24</c:f>
              <c:strCache>
                <c:ptCount val="1"/>
                <c:pt idx="0">
                  <c:v>Térmica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'5.1'!$X$25:$X$40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'5.1'!$Z$25:$Z$40</c:f>
              <c:numCache>
                <c:formatCode>#\ ##0.0</c:formatCode>
                <c:ptCount val="16"/>
                <c:pt idx="0">
                  <c:v>3942.5611400000003</c:v>
                </c:pt>
                <c:pt idx="1">
                  <c:v>3745.8002719999995</c:v>
                </c:pt>
                <c:pt idx="2">
                  <c:v>7531.5170790000029</c:v>
                </c:pt>
                <c:pt idx="3">
                  <c:v>15854.652260999999</c:v>
                </c:pt>
                <c:pt idx="4">
                  <c:v>17247.908127223669</c:v>
                </c:pt>
                <c:pt idx="5">
                  <c:v>18943.135640407931</c:v>
                </c:pt>
                <c:pt idx="6">
                  <c:v>20812.461130502368</c:v>
                </c:pt>
                <c:pt idx="7">
                  <c:v>22882.315829837717</c:v>
                </c:pt>
                <c:pt idx="8">
                  <c:v>23721.80807776959</c:v>
                </c:pt>
                <c:pt idx="9">
                  <c:v>26223.448536038159</c:v>
                </c:pt>
                <c:pt idx="10">
                  <c:v>22264.907211657053</c:v>
                </c:pt>
                <c:pt idx="11">
                  <c:v>21907.860842221638</c:v>
                </c:pt>
                <c:pt idx="12">
                  <c:v>23088.318116721464</c:v>
                </c:pt>
                <c:pt idx="13">
                  <c:v>19641.098247472131</c:v>
                </c:pt>
                <c:pt idx="14">
                  <c:v>22847.062425761673</c:v>
                </c:pt>
                <c:pt idx="15">
                  <c:v>27215.911490314935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4F-4253-840C-6F5FD10A2724}"/>
            </c:ext>
          </c:extLst>
        </c:ser>
        <c:ser>
          <c:idx val="2"/>
          <c:order val="2"/>
          <c:tx>
            <c:strRef>
              <c:f>'5.1'!$AA$24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numRef>
              <c:f>'5.1'!$X$25:$X$40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'5.1'!$AA$25:$AA$40</c:f>
              <c:numCache>
                <c:formatCode>#\ 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59.682986800000002</c:v>
                </c:pt>
                <c:pt idx="6">
                  <c:v>196.92788000000002</c:v>
                </c:pt>
                <c:pt idx="7">
                  <c:v>199.30359694553749</c:v>
                </c:pt>
                <c:pt idx="8">
                  <c:v>230.25534300000001</c:v>
                </c:pt>
                <c:pt idx="9">
                  <c:v>241.00855899999999</c:v>
                </c:pt>
                <c:pt idx="10">
                  <c:v>287.20034300000003</c:v>
                </c:pt>
                <c:pt idx="11">
                  <c:v>745.40054000000009</c:v>
                </c:pt>
                <c:pt idx="12">
                  <c:v>763.05863999999997</c:v>
                </c:pt>
                <c:pt idx="13">
                  <c:v>778.20613200000014</c:v>
                </c:pt>
                <c:pt idx="14">
                  <c:v>801.69745300000022</c:v>
                </c:pt>
                <c:pt idx="15">
                  <c:v>820.98820499999999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4F-4253-840C-6F5FD10A2724}"/>
            </c:ext>
          </c:extLst>
        </c:ser>
        <c:ser>
          <c:idx val="3"/>
          <c:order val="3"/>
          <c:tx>
            <c:strRef>
              <c:f>'5.1'!$AB$24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numRef>
              <c:f>'5.1'!$X$25:$X$40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'5.1'!$AB$25:$AB$40</c:f>
              <c:numCache>
                <c:formatCode>#\ 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257.5406575769008</c:v>
                </c:pt>
                <c:pt idx="8">
                  <c:v>595.60053148867019</c:v>
                </c:pt>
                <c:pt idx="9">
                  <c:v>1063.8290854064544</c:v>
                </c:pt>
                <c:pt idx="10">
                  <c:v>1073.432268</c:v>
                </c:pt>
                <c:pt idx="11">
                  <c:v>1502.4381678166665</c:v>
                </c:pt>
                <c:pt idx="12">
                  <c:v>1655.0389929999997</c:v>
                </c:pt>
                <c:pt idx="13">
                  <c:v>1814.1021040000003</c:v>
                </c:pt>
                <c:pt idx="14">
                  <c:v>1822.574989</c:v>
                </c:pt>
                <c:pt idx="15">
                  <c:v>1931.8692930000004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4F-4253-840C-6F5FD10A2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05472"/>
        <c:axId val="49307008"/>
      </c:areaChart>
      <c:catAx>
        <c:axId val="493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3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07008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3.5334470602769717E-3"/>
              <c:y val="0.4219554784855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305472"/>
        <c:crosses val="autoZero"/>
        <c:crossBetween val="midCat"/>
        <c:majorUnit val="10000"/>
        <c:minorUnit val="10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0.24610438677991975"/>
          <c:y val="0.92682866230960692"/>
          <c:w val="0.48898481779149722"/>
          <c:h val="6.5080686724261053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45118803084326E-2"/>
          <c:y val="6.0383992912139223E-2"/>
          <c:w val="0.88764692198701545"/>
          <c:h val="0.79958922625025486"/>
        </c:manualLayout>
      </c:layout>
      <c:areaChart>
        <c:grouping val="stacked"/>
        <c:varyColors val="0"/>
        <c:ser>
          <c:idx val="0"/>
          <c:order val="0"/>
          <c:tx>
            <c:strRef>
              <c:f>'5.2'!$V$18</c:f>
              <c:strCache>
                <c:ptCount val="1"/>
                <c:pt idx="0">
                  <c:v>SEIN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'5.2'!$U$19:$U$34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'5.2'!$V$19:$V$34</c:f>
              <c:numCache>
                <c:formatCode>#\ ##0.0</c:formatCode>
                <c:ptCount val="16"/>
                <c:pt idx="0">
                  <c:v>14574.550697999999</c:v>
                </c:pt>
                <c:pt idx="1">
                  <c:v>17870.937993</c:v>
                </c:pt>
                <c:pt idx="2">
                  <c:v>23433.609762</c:v>
                </c:pt>
                <c:pt idx="3">
                  <c:v>33326.486475999998</c:v>
                </c:pt>
                <c:pt idx="4">
                  <c:v>36076.210898600002</c:v>
                </c:pt>
                <c:pt idx="5">
                  <c:v>38199.929373799954</c:v>
                </c:pt>
                <c:pt idx="6">
                  <c:v>40481.748241767418</c:v>
                </c:pt>
                <c:pt idx="7">
                  <c:v>42624.418012779774</c:v>
                </c:pt>
                <c:pt idx="8">
                  <c:v>45488.564160288843</c:v>
                </c:pt>
                <c:pt idx="9">
                  <c:v>49254.489689866197</c:v>
                </c:pt>
                <c:pt idx="10">
                  <c:v>50285.041576258191</c:v>
                </c:pt>
                <c:pt idx="11">
                  <c:v>52387.495028213569</c:v>
                </c:pt>
                <c:pt idx="12">
                  <c:v>54494.117354885595</c:v>
                </c:pt>
                <c:pt idx="13">
                  <c:v>50681.430098538403</c:v>
                </c:pt>
                <c:pt idx="14">
                  <c:v>55538.784548000003</c:v>
                </c:pt>
                <c:pt idx="15">
                  <c:v>57807.823658759975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B7-4C36-9845-D36EB7D70F9F}"/>
            </c:ext>
          </c:extLst>
        </c:ser>
        <c:ser>
          <c:idx val="1"/>
          <c:order val="1"/>
          <c:tx>
            <c:strRef>
              <c:f>'5.2'!$W$18</c:f>
              <c:strCache>
                <c:ptCount val="1"/>
                <c:pt idx="0">
                  <c:v>SA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'5.2'!$U$19:$U$34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'5.2'!$W$19:$W$34</c:f>
              <c:numCache>
                <c:formatCode>#\ ##0.0</c:formatCode>
                <c:ptCount val="16"/>
                <c:pt idx="0">
                  <c:v>2305.5639030000002</c:v>
                </c:pt>
                <c:pt idx="1">
                  <c:v>2051.7593449999995</c:v>
                </c:pt>
                <c:pt idx="2">
                  <c:v>2076.1270530000033</c:v>
                </c:pt>
                <c:pt idx="3">
                  <c:v>2581.5214652</c:v>
                </c:pt>
                <c:pt idx="4">
                  <c:v>2730.2503454089119</c:v>
                </c:pt>
                <c:pt idx="5">
                  <c:v>2836.0536994079462</c:v>
                </c:pt>
                <c:pt idx="6">
                  <c:v>2848.4297187179518</c:v>
                </c:pt>
                <c:pt idx="7">
                  <c:v>2925.4015594750294</c:v>
                </c:pt>
                <c:pt idx="8">
                  <c:v>2781.8473554269958</c:v>
                </c:pt>
                <c:pt idx="9">
                  <c:v>2445.4842413410315</c:v>
                </c:pt>
                <c:pt idx="10">
                  <c:v>2415.0117440146319</c:v>
                </c:pt>
                <c:pt idx="11">
                  <c:v>2505.6621312129259</c:v>
                </c:pt>
                <c:pt idx="12">
                  <c:v>2474.3867673512254</c:v>
                </c:pt>
                <c:pt idx="13">
                  <c:v>2062.280587061191</c:v>
                </c:pt>
                <c:pt idx="14">
                  <c:v>1858.231255761671</c:v>
                </c:pt>
                <c:pt idx="15">
                  <c:v>1904.7503032272759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B7-4C36-9845-D36EB7D70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38240"/>
        <c:axId val="49339776"/>
      </c:areaChart>
      <c:catAx>
        <c:axId val="4933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33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39776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5537039778374606E-3"/>
              <c:y val="0.43189134631599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338240"/>
        <c:crosses val="autoZero"/>
        <c:crossBetween val="midCat"/>
        <c:majorUnit val="10000"/>
        <c:minorUnit val="10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0866221160149726"/>
          <c:y val="0.94370864260921872"/>
          <c:w val="0.37461839406179287"/>
          <c:h val="5.6291357390781248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1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PRODUCCIÓN DE ENERGÍA ELÉCTRICA PARA USO PROPIO 2001 - 2022</a:t>
            </a:r>
          </a:p>
        </c:rich>
      </c:tx>
      <c:layout>
        <c:manualLayout>
          <c:xMode val="edge"/>
          <c:yMode val="edge"/>
          <c:x val="0.24447237832845448"/>
          <c:y val="3.5261529808773902E-2"/>
        </c:manualLayout>
      </c:layout>
      <c:overlay val="0"/>
      <c:spPr>
        <a:solidFill>
          <a:srgbClr val="0B7D8F"/>
        </a:solidFill>
      </c:spPr>
    </c:title>
    <c:autoTitleDeleted val="0"/>
    <c:plotArea>
      <c:layout>
        <c:manualLayout>
          <c:layoutTarget val="inner"/>
          <c:xMode val="edge"/>
          <c:yMode val="edge"/>
          <c:x val="8.3726825399310173E-2"/>
          <c:y val="0.2117795786890275"/>
          <c:w val="0.88825837625167625"/>
          <c:h val="0.65798150254081611"/>
        </c:manualLayout>
      </c:layout>
      <c:areaChart>
        <c:grouping val="stacked"/>
        <c:varyColors val="0"/>
        <c:ser>
          <c:idx val="0"/>
          <c:order val="0"/>
          <c:tx>
            <c:strRef>
              <c:f>'5.2'!$W$85</c:f>
              <c:strCache>
                <c:ptCount val="1"/>
                <c:pt idx="0">
                  <c:v>SEIN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'5.2'!$V$86:$V$101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'5.2'!$W$86:$W$101</c:f>
              <c:numCache>
                <c:formatCode>#\ ##0.0</c:formatCode>
                <c:ptCount val="16"/>
                <c:pt idx="0">
                  <c:v>2147.6814949999998</c:v>
                </c:pt>
                <c:pt idx="1">
                  <c:v>143.126858</c:v>
                </c:pt>
                <c:pt idx="2">
                  <c:v>200.13015520724974</c:v>
                </c:pt>
                <c:pt idx="3">
                  <c:v>252.57225099999999</c:v>
                </c:pt>
                <c:pt idx="4">
                  <c:v>306.75118860000003</c:v>
                </c:pt>
                <c:pt idx="5">
                  <c:v>313.57676499999991</c:v>
                </c:pt>
                <c:pt idx="6">
                  <c:v>322.96894949401008</c:v>
                </c:pt>
                <c:pt idx="7">
                  <c:v>310.66975623576116</c:v>
                </c:pt>
                <c:pt idx="8">
                  <c:v>357.85741596666662</c:v>
                </c:pt>
                <c:pt idx="9">
                  <c:v>342.35192607949659</c:v>
                </c:pt>
                <c:pt idx="10">
                  <c:v>462.56433448167047</c:v>
                </c:pt>
                <c:pt idx="11">
                  <c:v>545.15754158589084</c:v>
                </c:pt>
                <c:pt idx="12">
                  <c:v>530.87799013735162</c:v>
                </c:pt>
                <c:pt idx="13">
                  <c:v>477.51652999999999</c:v>
                </c:pt>
                <c:pt idx="14">
                  <c:v>486.99589900000001</c:v>
                </c:pt>
                <c:pt idx="15">
                  <c:v>493.26452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14-4B85-836F-21ED0DF3E155}"/>
            </c:ext>
          </c:extLst>
        </c:ser>
        <c:ser>
          <c:idx val="1"/>
          <c:order val="1"/>
          <c:tx>
            <c:strRef>
              <c:f>'5.2'!$X$85</c:f>
              <c:strCache>
                <c:ptCount val="1"/>
                <c:pt idx="0">
                  <c:v>SA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'5.2'!$V$86:$V$101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'5.2'!$X$86:$X$101</c:f>
              <c:numCache>
                <c:formatCode>#\ ##0.0</c:formatCode>
                <c:ptCount val="16"/>
                <c:pt idx="0">
                  <c:v>1626.1200090000002</c:v>
                </c:pt>
                <c:pt idx="1">
                  <c:v>1451.6727609999994</c:v>
                </c:pt>
                <c:pt idx="2">
                  <c:v>1498.7317150000033</c:v>
                </c:pt>
                <c:pt idx="3">
                  <c:v>2109.6198829999998</c:v>
                </c:pt>
                <c:pt idx="4">
                  <c:v>2251.177765173672</c:v>
                </c:pt>
                <c:pt idx="5">
                  <c:v>2361.3769674079463</c:v>
                </c:pt>
                <c:pt idx="6">
                  <c:v>2342.5425918123965</c:v>
                </c:pt>
                <c:pt idx="7">
                  <c:v>2392.902086898036</c:v>
                </c:pt>
                <c:pt idx="8">
                  <c:v>2201.1662223635039</c:v>
                </c:pt>
                <c:pt idx="9">
                  <c:v>1823.5410943410318</c:v>
                </c:pt>
                <c:pt idx="10">
                  <c:v>1892.6268010146318</c:v>
                </c:pt>
                <c:pt idx="11">
                  <c:v>1985.6050311411545</c:v>
                </c:pt>
                <c:pt idx="12">
                  <c:v>1989.0341734656629</c:v>
                </c:pt>
                <c:pt idx="13">
                  <c:v>1609.1727960598291</c:v>
                </c:pt>
                <c:pt idx="14">
                  <c:v>1372.2640267616712</c:v>
                </c:pt>
                <c:pt idx="15">
                  <c:v>1404.8513572272759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14-4B85-836F-21ED0DF3E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1312"/>
        <c:axId val="49502848"/>
      </c:areaChart>
      <c:catAx>
        <c:axId val="495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950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02848"/>
        <c:scaling>
          <c:orientation val="minMax"/>
          <c:max val="400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4177611496376077E-2"/>
              <c:y val="0.445615349217711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49501312"/>
        <c:crosses val="autoZero"/>
        <c:crossBetween val="midCat"/>
        <c:majorUnit val="500"/>
        <c:minorUnit val="50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45959904614308889"/>
          <c:y val="0.93479573576030273"/>
          <c:w val="8.0801803353109686E-2"/>
          <c:h val="5.871075774619082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24827935275486E-2"/>
          <c:y val="4.897502907043879E-2"/>
          <c:w val="0.88694398037515598"/>
          <c:h val="0.80420786409203171"/>
        </c:manualLayout>
      </c:layout>
      <c:areaChart>
        <c:grouping val="stacked"/>
        <c:varyColors val="0"/>
        <c:ser>
          <c:idx val="0"/>
          <c:order val="0"/>
          <c:tx>
            <c:v>SEIN</c:v>
          </c:tx>
          <c:spPr>
            <a:solidFill>
              <a:srgbClr val="00B050"/>
            </a:solidFill>
          </c:spPr>
          <c:cat>
            <c:numRef>
              <c:f>'5.3 y 5.4'!$S$40:$S$63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'5.3 y 5.4'!$T$40:$T$63</c:f>
              <c:numCache>
                <c:formatCode>#\ ##0.0</c:formatCode>
                <c:ptCount val="24"/>
                <c:pt idx="0">
                  <c:v>12426.869202999998</c:v>
                </c:pt>
                <c:pt idx="1">
                  <c:v>17727.811135</c:v>
                </c:pt>
                <c:pt idx="2" formatCode="General">
                  <c:v>18630.491470999998</c:v>
                </c:pt>
                <c:pt idx="3" formatCode="General">
                  <c:v>19906.120506000003</c:v>
                </c:pt>
                <c:pt idx="4" formatCode="General">
                  <c:v>20890.822373999996</c:v>
                </c:pt>
                <c:pt idx="5" formatCode="General">
                  <c:v>22091.989912000005</c:v>
                </c:pt>
                <c:pt idx="6" formatCode="General">
                  <c:v>23233.479606792749</c:v>
                </c:pt>
                <c:pt idx="7" formatCode="General">
                  <c:v>25037.083984958583</c:v>
                </c:pt>
                <c:pt idx="8" formatCode="General">
                  <c:v>27593.789342340002</c:v>
                </c:pt>
                <c:pt idx="9" formatCode="General">
                  <c:v>29905.853190999998</c:v>
                </c:pt>
                <c:pt idx="10" formatCode="General">
                  <c:v>30289.076649000002</c:v>
                </c:pt>
                <c:pt idx="11" formatCode="General">
                  <c:v>33073.914225</c:v>
                </c:pt>
                <c:pt idx="12" formatCode="General">
                  <c:v>35769.459710000003</c:v>
                </c:pt>
                <c:pt idx="13" formatCode="General">
                  <c:v>37886.352608799956</c:v>
                </c:pt>
                <c:pt idx="14" formatCode="General">
                  <c:v>40158.779292273408</c:v>
                </c:pt>
                <c:pt idx="15" formatCode="General">
                  <c:v>42313.748256544015</c:v>
                </c:pt>
                <c:pt idx="16" formatCode="General">
                  <c:v>45130.706744322175</c:v>
                </c:pt>
                <c:pt idx="17" formatCode="General">
                  <c:v>48912.137763786697</c:v>
                </c:pt>
                <c:pt idx="18" formatCode="General">
                  <c:v>49822.47724177652</c:v>
                </c:pt>
                <c:pt idx="19" formatCode="General">
                  <c:v>51842.337486627679</c:v>
                </c:pt>
                <c:pt idx="20" formatCode="General">
                  <c:v>53963.239364748246</c:v>
                </c:pt>
                <c:pt idx="21" formatCode="General">
                  <c:v>50203.913568538403</c:v>
                </c:pt>
                <c:pt idx="22" formatCode="General">
                  <c:v>55051.788649000002</c:v>
                </c:pt>
                <c:pt idx="23" formatCode="General">
                  <c:v>57314.559138759978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2B-427C-A38E-80EA2DC2F5BD}"/>
            </c:ext>
          </c:extLst>
        </c:ser>
        <c:ser>
          <c:idx val="1"/>
          <c:order val="1"/>
          <c:tx>
            <c:v>SA</c:v>
          </c:tx>
          <c:spPr>
            <a:solidFill>
              <a:srgbClr val="FFC000"/>
            </a:solidFill>
          </c:spPr>
          <c:cat>
            <c:numRef>
              <c:f>'5.3 y 5.4'!$S$40:$S$63</c:f>
              <c:numCache>
                <c:formatCode>General</c:formatCode>
                <c:ptCount val="24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'5.3 y 5.4'!$U$40:$U$63</c:f>
              <c:numCache>
                <c:formatCode>#\ ##0.0</c:formatCode>
                <c:ptCount val="24"/>
                <c:pt idx="0">
                  <c:v>679.443894</c:v>
                </c:pt>
                <c:pt idx="1">
                  <c:v>600.0865839999999</c:v>
                </c:pt>
                <c:pt idx="2" formatCode="General">
                  <c:v>584.01517100000001</c:v>
                </c:pt>
                <c:pt idx="3" formatCode="General">
                  <c:v>513.38816700000007</c:v>
                </c:pt>
                <c:pt idx="4" formatCode="General">
                  <c:v>470.64055600000029</c:v>
                </c:pt>
                <c:pt idx="5" formatCode="General">
                  <c:v>527.94887900000003</c:v>
                </c:pt>
                <c:pt idx="6" formatCode="General">
                  <c:v>577.39533800000004</c:v>
                </c:pt>
                <c:pt idx="7" formatCode="General">
                  <c:v>576.67980499999999</c:v>
                </c:pt>
                <c:pt idx="8" formatCode="General">
                  <c:v>606.70174800000007</c:v>
                </c:pt>
                <c:pt idx="9" formatCode="General">
                  <c:v>668.8580649999999</c:v>
                </c:pt>
                <c:pt idx="10" formatCode="General">
                  <c:v>632.82613400000002</c:v>
                </c:pt>
                <c:pt idx="11" formatCode="General">
                  <c:v>471.90158220000001</c:v>
                </c:pt>
                <c:pt idx="12" formatCode="General">
                  <c:v>479.07258023523991</c:v>
                </c:pt>
                <c:pt idx="13" formatCode="General">
                  <c:v>474.67673200000002</c:v>
                </c:pt>
                <c:pt idx="14" formatCode="General">
                  <c:v>505.88712690555536</c:v>
                </c:pt>
                <c:pt idx="15" formatCode="General">
                  <c:v>532.49947257699353</c:v>
                </c:pt>
                <c:pt idx="16" formatCode="General">
                  <c:v>580.6811330634921</c:v>
                </c:pt>
                <c:pt idx="17" formatCode="General">
                  <c:v>621.94314699999995</c:v>
                </c:pt>
                <c:pt idx="18" formatCode="General">
                  <c:v>522.38494300000002</c:v>
                </c:pt>
                <c:pt idx="19" formatCode="General">
                  <c:v>520.05710007177129</c:v>
                </c:pt>
                <c:pt idx="20" formatCode="General">
                  <c:v>485.35259388556244</c:v>
                </c:pt>
                <c:pt idx="21" formatCode="General">
                  <c:v>453.10779100136199</c:v>
                </c:pt>
                <c:pt idx="22" formatCode="General">
                  <c:v>485.96722899999975</c:v>
                </c:pt>
                <c:pt idx="23" formatCode="General">
                  <c:v>499.89894599999997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2B-427C-A38E-80EA2DC2F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75264"/>
        <c:axId val="49677056"/>
      </c:areaChart>
      <c:catAx>
        <c:axId val="496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67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77056"/>
        <c:scaling>
          <c:orientation val="minMax"/>
          <c:max val="60000"/>
        </c:scaling>
        <c:delete val="0"/>
        <c:axPos val="l"/>
        <c:majorGridlines>
          <c:spPr>
            <a:ln w="3175"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2.3050732759532204E-4"/>
              <c:y val="0.43234592667446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675264"/>
        <c:crosses val="autoZero"/>
        <c:crossBetween val="midCat"/>
        <c:majorUnit val="10000"/>
      </c:valAx>
      <c:spPr>
        <a:ln w="3175">
          <a:solidFill>
            <a:schemeClr val="dk1"/>
          </a:solidFill>
        </a:ln>
      </c:spPr>
    </c:plotArea>
    <c:legend>
      <c:legendPos val="b"/>
      <c:layout>
        <c:manualLayout>
          <c:xMode val="edge"/>
          <c:yMode val="edge"/>
          <c:x val="0.31812971852729077"/>
          <c:y val="0.93304342995600265"/>
          <c:w val="0.35815932497303699"/>
          <c:h val="5.8663141559859765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65436810856664E-2"/>
          <c:y val="5.1426136363636361E-2"/>
          <c:w val="0.90172328244274813"/>
          <c:h val="0.81833522727272723"/>
        </c:manualLayout>
      </c:layout>
      <c:areaChart>
        <c:grouping val="stacked"/>
        <c:varyColors val="0"/>
        <c:ser>
          <c:idx val="0"/>
          <c:order val="0"/>
          <c:tx>
            <c:v>SEIN</c:v>
          </c:tx>
          <c:spPr>
            <a:solidFill>
              <a:srgbClr val="00B050"/>
            </a:solidFill>
          </c:spPr>
          <c:cat>
            <c:numRef>
              <c:f>'5.3 y 5.4'!$N$124:$N$139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'5.3 y 5.4'!$O$124:$O$139</c:f>
              <c:numCache>
                <c:formatCode>#,##0.00</c:formatCode>
                <c:ptCount val="16"/>
                <c:pt idx="0">
                  <c:v>2147.6814949999998</c:v>
                </c:pt>
                <c:pt idx="1">
                  <c:v>143.126858</c:v>
                </c:pt>
                <c:pt idx="2">
                  <c:v>200.13015520724974</c:v>
                </c:pt>
                <c:pt idx="3">
                  <c:v>252.57225099999999</c:v>
                </c:pt>
                <c:pt idx="4">
                  <c:v>306.75118860000003</c:v>
                </c:pt>
                <c:pt idx="5">
                  <c:v>313.57676499999991</c:v>
                </c:pt>
                <c:pt idx="6">
                  <c:v>322.96894949401008</c:v>
                </c:pt>
                <c:pt idx="7">
                  <c:v>310.66975623576116</c:v>
                </c:pt>
                <c:pt idx="8">
                  <c:v>357.85741596666662</c:v>
                </c:pt>
                <c:pt idx="9">
                  <c:v>342.35192607949659</c:v>
                </c:pt>
                <c:pt idx="10">
                  <c:v>462.56433448167047</c:v>
                </c:pt>
                <c:pt idx="11">
                  <c:v>545.15754158589084</c:v>
                </c:pt>
                <c:pt idx="12">
                  <c:v>530.87799013735162</c:v>
                </c:pt>
                <c:pt idx="13">
                  <c:v>477.51652999999999</c:v>
                </c:pt>
                <c:pt idx="14">
                  <c:v>486.99589900000001</c:v>
                </c:pt>
                <c:pt idx="15">
                  <c:v>493.26452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14-4B85-836F-21ED0DF3E155}"/>
            </c:ext>
          </c:extLst>
        </c:ser>
        <c:ser>
          <c:idx val="1"/>
          <c:order val="1"/>
          <c:tx>
            <c:v>SA</c:v>
          </c:tx>
          <c:spPr>
            <a:solidFill>
              <a:srgbClr val="FFC000"/>
            </a:solidFill>
          </c:spPr>
          <c:cat>
            <c:numRef>
              <c:f>'5.3 y 5.4'!$N$124:$N$139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'5.3 y 5.4'!$P$124:$P$139</c:f>
              <c:numCache>
                <c:formatCode>#,##0.00</c:formatCode>
                <c:ptCount val="16"/>
                <c:pt idx="0">
                  <c:v>1626.1200090000002</c:v>
                </c:pt>
                <c:pt idx="1">
                  <c:v>1451.6727609999994</c:v>
                </c:pt>
                <c:pt idx="2">
                  <c:v>1498.7317150000033</c:v>
                </c:pt>
                <c:pt idx="3">
                  <c:v>2109.6198829999998</c:v>
                </c:pt>
                <c:pt idx="4">
                  <c:v>2251.177765173672</c:v>
                </c:pt>
                <c:pt idx="5">
                  <c:v>2361.3769674079463</c:v>
                </c:pt>
                <c:pt idx="6">
                  <c:v>2342.5425918123965</c:v>
                </c:pt>
                <c:pt idx="7">
                  <c:v>2392.902086898036</c:v>
                </c:pt>
                <c:pt idx="8">
                  <c:v>2201.1662223635039</c:v>
                </c:pt>
                <c:pt idx="9">
                  <c:v>1823.5410943410318</c:v>
                </c:pt>
                <c:pt idx="10">
                  <c:v>1892.6268010146318</c:v>
                </c:pt>
                <c:pt idx="11">
                  <c:v>1985.6050311411545</c:v>
                </c:pt>
                <c:pt idx="12">
                  <c:v>1989.0341734656629</c:v>
                </c:pt>
                <c:pt idx="13">
                  <c:v>1609.1727960598291</c:v>
                </c:pt>
                <c:pt idx="14">
                  <c:v>1372.2640267616712</c:v>
                </c:pt>
                <c:pt idx="15">
                  <c:v>1404.8513572272759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14-4B85-836F-21ED0DF3E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5248"/>
        <c:axId val="49686784"/>
      </c:areaChart>
      <c:catAx>
        <c:axId val="496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6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86784"/>
        <c:scaling>
          <c:orientation val="minMax"/>
          <c:max val="400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7.1289228159457201E-4"/>
              <c:y val="0.429580176767676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9685248"/>
        <c:crosses val="autoZero"/>
        <c:crossBetween val="midCat"/>
        <c:majorUnit val="500"/>
        <c:minorUnit val="5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1956509754028839"/>
          <c:y val="0.93479545454545454"/>
          <c:w val="0.35548367260390157"/>
          <c:h val="5.871075774619082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12103464325675E-2"/>
          <c:y val="5.8749368686868704E-2"/>
          <c:w val="0.89566556254494989"/>
          <c:h val="0.77888888888888885"/>
        </c:manualLayout>
      </c:layout>
      <c:lineChart>
        <c:grouping val="standard"/>
        <c:varyColors val="0"/>
        <c:ser>
          <c:idx val="0"/>
          <c:order val="0"/>
          <c:tx>
            <c:strRef>
              <c:f>'5.5'!$J$23</c:f>
              <c:strCache>
                <c:ptCount val="1"/>
                <c:pt idx="0">
                  <c:v>RER-Hidro</c:v>
                </c:pt>
              </c:strCache>
            </c:strRef>
          </c:tx>
          <c:spPr>
            <a:ln w="6350"/>
          </c:spPr>
          <c:marker>
            <c:symbol val="diamond"/>
            <c:size val="3"/>
          </c:marker>
          <c:dPt>
            <c:idx val="0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91-4880-B6D8-E6E8164310A6}"/>
              </c:ext>
            </c:extLst>
          </c:dPt>
          <c:dPt>
            <c:idx val="1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E91-4880-B6D8-E6E8164310A6}"/>
              </c:ext>
            </c:extLst>
          </c:dPt>
          <c:dPt>
            <c:idx val="2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91-4880-B6D8-E6E8164310A6}"/>
              </c:ext>
            </c:extLst>
          </c:dPt>
          <c:dPt>
            <c:idx val="3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E91-4880-B6D8-E6E8164310A6}"/>
              </c:ext>
            </c:extLst>
          </c:dPt>
          <c:dLbls>
            <c:dLbl>
              <c:idx val="15"/>
              <c:layout>
                <c:manualLayout>
                  <c:x val="-8.0788804071246813E-3"/>
                  <c:y val="-5.6123737373737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8C-431D-9D97-8601430FE35A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'5.5'!$I$40:$I$55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'5.5'!$K$40:$K$55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244.459239</c:v>
                </c:pt>
                <c:pt idx="4">
                  <c:v>299.42873499999996</c:v>
                </c:pt>
                <c:pt idx="5">
                  <c:v>568.8899381748613</c:v>
                </c:pt>
                <c:pt idx="6">
                  <c:v>800.54631359599205</c:v>
                </c:pt>
                <c:pt idx="7">
                  <c:v>906.78473836316186</c:v>
                </c:pt>
                <c:pt idx="8">
                  <c:v>1138.3190625329999</c:v>
                </c:pt>
                <c:pt idx="9">
                  <c:v>1077.1610379011979</c:v>
                </c:pt>
                <c:pt idx="10">
                  <c:v>1232.521982</c:v>
                </c:pt>
                <c:pt idx="11">
                  <c:v>1497.9787865649998</c:v>
                </c:pt>
                <c:pt idx="12">
                  <c:v>2088.9627216524996</c:v>
                </c:pt>
                <c:pt idx="13">
                  <c:v>2258.8403474974998</c:v>
                </c:pt>
                <c:pt idx="14">
                  <c:v>2576.0184579999996</c:v>
                </c:pt>
                <c:pt idx="15">
                  <c:v>2341.4597309400006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91-4880-B6D8-E6E8164310A6}"/>
            </c:ext>
          </c:extLst>
        </c:ser>
        <c:ser>
          <c:idx val="1"/>
          <c:order val="1"/>
          <c:tx>
            <c:strRef>
              <c:f>'5.5'!$K$23</c:f>
              <c:strCache>
                <c:ptCount val="1"/>
                <c:pt idx="0">
                  <c:v>Biomasa</c:v>
                </c:pt>
              </c:strCache>
            </c:strRef>
          </c:tx>
          <c:spPr>
            <a:ln w="6350"/>
          </c:spPr>
          <c:marker>
            <c:symbol val="circle"/>
            <c:size val="3"/>
          </c:marker>
          <c:dLbls>
            <c:dLbl>
              <c:idx val="15"/>
              <c:layout>
                <c:manualLayout>
                  <c:x val="-1.8850720949957787E-2"/>
                  <c:y val="-4.008838383838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8C-431D-9D97-8601430FE35A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'5.5'!$I$40:$I$55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'5.5'!$L$40:$L$55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77.475644000000003</c:v>
                </c:pt>
                <c:pt idx="4">
                  <c:v>87.373451000000003</c:v>
                </c:pt>
                <c:pt idx="5">
                  <c:v>157.89084649846814</c:v>
                </c:pt>
                <c:pt idx="6">
                  <c:v>274.10191097608498</c:v>
                </c:pt>
                <c:pt idx="7">
                  <c:v>229.16741540250001</c:v>
                </c:pt>
                <c:pt idx="8">
                  <c:v>199.39126557243699</c:v>
                </c:pt>
                <c:pt idx="9">
                  <c:v>203.56655000000001</c:v>
                </c:pt>
                <c:pt idx="10">
                  <c:v>185.924148</c:v>
                </c:pt>
                <c:pt idx="11">
                  <c:v>211.01671494999999</c:v>
                </c:pt>
                <c:pt idx="12">
                  <c:v>311.43499800000001</c:v>
                </c:pt>
                <c:pt idx="13">
                  <c:v>304.602957</c:v>
                </c:pt>
                <c:pt idx="14">
                  <c:v>356.38293099999999</c:v>
                </c:pt>
                <c:pt idx="15">
                  <c:v>355.06573400000002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3C2-4F83-B14B-C103E70CE520}"/>
            </c:ext>
          </c:extLst>
        </c:ser>
        <c:ser>
          <c:idx val="3"/>
          <c:order val="2"/>
          <c:tx>
            <c:strRef>
              <c:f>'5.5'!$M$37</c:f>
              <c:strCache>
                <c:ptCount val="1"/>
                <c:pt idx="0">
                  <c:v>Solar</c:v>
                </c:pt>
              </c:strCache>
            </c:strRef>
          </c:tx>
          <c:spPr>
            <a:ln w="6350"/>
          </c:spPr>
          <c:marker>
            <c:symbol val="x"/>
            <c:size val="3"/>
          </c:marker>
          <c:dLbls>
            <c:dLbl>
              <c:idx val="15"/>
              <c:layout>
                <c:manualLayout>
                  <c:x val="-2.154368108566582E-2"/>
                  <c:y val="-7.2159090909090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8C-431D-9D97-8601430FE35A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'5.5'!$I$40:$I$55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'5.5'!$M$40:$M$55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55.583366799563997</c:v>
                </c:pt>
                <c:pt idx="6">
                  <c:v>196.92787801204742</c:v>
                </c:pt>
                <c:pt idx="7">
                  <c:v>199.30359694553749</c:v>
                </c:pt>
                <c:pt idx="8">
                  <c:v>230.25534299999998</c:v>
                </c:pt>
                <c:pt idx="9">
                  <c:v>241.00855899999996</c:v>
                </c:pt>
                <c:pt idx="10">
                  <c:v>287.20034300000003</c:v>
                </c:pt>
                <c:pt idx="11">
                  <c:v>745.40054000000009</c:v>
                </c:pt>
                <c:pt idx="12">
                  <c:v>763.00995299999988</c:v>
                </c:pt>
                <c:pt idx="13">
                  <c:v>778.12811499999998</c:v>
                </c:pt>
                <c:pt idx="14">
                  <c:v>801.43892800000015</c:v>
                </c:pt>
                <c:pt idx="15">
                  <c:v>820.71795299999997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3C2-4F83-B14B-C103E70CE520}"/>
            </c:ext>
          </c:extLst>
        </c:ser>
        <c:ser>
          <c:idx val="2"/>
          <c:order val="3"/>
          <c:tx>
            <c:strRef>
              <c:f>'5.5'!$N$37</c:f>
              <c:strCache>
                <c:ptCount val="1"/>
                <c:pt idx="0">
                  <c:v>Eólico</c:v>
                </c:pt>
              </c:strCache>
            </c:strRef>
          </c:tx>
          <c:spPr>
            <a:ln w="6350"/>
          </c:spPr>
          <c:marker>
            <c:symbol val="triangle"/>
            <c:size val="3"/>
          </c:marker>
          <c:dLbls>
            <c:dLbl>
              <c:idx val="15"/>
              <c:layout>
                <c:manualLayout>
                  <c:x val="-1.3464800678541137E-2"/>
                  <c:y val="-6.4141414141414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8C-431D-9D97-8601430FE35A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'5.5'!$I$40:$I$55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'5.5'!$N$40:$N$55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256.31425757690079</c:v>
                </c:pt>
                <c:pt idx="8">
                  <c:v>594.37413148867006</c:v>
                </c:pt>
                <c:pt idx="9">
                  <c:v>1062.6026854064544</c:v>
                </c:pt>
                <c:pt idx="10">
                  <c:v>1072.205868</c:v>
                </c:pt>
                <c:pt idx="11">
                  <c:v>1501.2117678166667</c:v>
                </c:pt>
                <c:pt idx="12">
                  <c:v>1653.8125929999997</c:v>
                </c:pt>
                <c:pt idx="13">
                  <c:v>1812.875704</c:v>
                </c:pt>
                <c:pt idx="14">
                  <c:v>1821.3485889999999</c:v>
                </c:pt>
                <c:pt idx="15">
                  <c:v>1930.6428930000002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3C2-4F83-B14B-C103E70CE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41184"/>
        <c:axId val="49763456"/>
      </c:lineChart>
      <c:catAx>
        <c:axId val="4974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crossAx val="49763456"/>
        <c:crosses val="autoZero"/>
        <c:auto val="1"/>
        <c:lblAlgn val="ctr"/>
        <c:lblOffset val="100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139949109414758E-3"/>
              <c:y val="0.425643308080808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6350"/>
        </c:spPr>
        <c:crossAx val="49741184"/>
        <c:crosses val="autoZero"/>
        <c:crossBetween val="between"/>
      </c:valAx>
      <c:spPr>
        <a:noFill/>
        <a:ln w="3175">
          <a:solidFill>
            <a:schemeClr val="tx1">
              <a:tint val="75000"/>
              <a:shade val="95000"/>
              <a:satMod val="105000"/>
            </a:schemeClr>
          </a:solidFill>
        </a:ln>
        <a:effectLst/>
        <a:sp3d/>
      </c:spPr>
    </c:plotArea>
    <c:legend>
      <c:legendPos val="b"/>
      <c:layout>
        <c:manualLayout>
          <c:xMode val="edge"/>
          <c:yMode val="edge"/>
          <c:x val="0.2475576759966073"/>
          <c:y val="0.91145328282828286"/>
          <c:w val="0.50488443596268029"/>
          <c:h val="8.0529040404040408E-2"/>
        </c:manualLayout>
      </c:layout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6350" cap="flat" cmpd="sng" algn="ctr">
      <a:solidFill>
        <a:schemeClr val="dk1"/>
      </a:solidFill>
      <a:round/>
    </a:ln>
    <a:effectLst/>
  </c:spPr>
  <c:txPr>
    <a:bodyPr/>
    <a:lstStyle/>
    <a:p>
      <a:pPr>
        <a:defRPr sz="900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99155775631121E-2"/>
          <c:y val="5.2905461277927203E-2"/>
          <c:w val="0.88584268203587957"/>
          <c:h val="0.82499140991868058"/>
        </c:manualLayout>
      </c:layout>
      <c:lineChart>
        <c:grouping val="standard"/>
        <c:varyColors val="0"/>
        <c:ser>
          <c:idx val="0"/>
          <c:order val="0"/>
          <c:tx>
            <c:strRef>
              <c:f>'1.2 y 1.3'!$M$99</c:f>
              <c:strCache>
                <c:ptCount val="1"/>
                <c:pt idx="0">
                  <c:v>kWh/ habit</c:v>
                </c:pt>
              </c:strCache>
            </c:strRef>
          </c:tx>
          <c:spPr>
            <a:ln w="6350">
              <a:solidFill>
                <a:schemeClr val="accent2"/>
              </a:solidFill>
            </a:ln>
          </c:spPr>
          <c:marker>
            <c:symbol val="diamond"/>
            <c:size val="3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'1.2 y 1.3'!$J$101:$J$116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'1.2 y 1.3'!$M$101:$M$116</c:f>
              <c:numCache>
                <c:formatCode>#,##0</c:formatCode>
                <c:ptCount val="16"/>
                <c:pt idx="0">
                  <c:v>723.06036309377623</c:v>
                </c:pt>
                <c:pt idx="1">
                  <c:v>790.33195231738227</c:v>
                </c:pt>
                <c:pt idx="2">
                  <c:v>937.19421711770121</c:v>
                </c:pt>
                <c:pt idx="3">
                  <c:v>1218.7933473747291</c:v>
                </c:pt>
                <c:pt idx="4">
                  <c:v>1302.3310207833167</c:v>
                </c:pt>
                <c:pt idx="5">
                  <c:v>1361.6987418884603</c:v>
                </c:pt>
                <c:pt idx="6">
                  <c:v>1421.8202860824999</c:v>
                </c:pt>
                <c:pt idx="7">
                  <c:v>1478.2099333262956</c:v>
                </c:pt>
                <c:pt idx="8">
                  <c:v>1549.5301970337755</c:v>
                </c:pt>
                <c:pt idx="9">
                  <c:v>1641.8619082671037</c:v>
                </c:pt>
                <c:pt idx="10">
                  <c:v>1655.8795800427442</c:v>
                </c:pt>
                <c:pt idx="11">
                  <c:v>1706.7608704504178</c:v>
                </c:pt>
                <c:pt idx="12">
                  <c:v>1772.9854323881568</c:v>
                </c:pt>
                <c:pt idx="13">
                  <c:v>1616.6184867823486</c:v>
                </c:pt>
                <c:pt idx="14">
                  <c:v>1737.4447592115901</c:v>
                </c:pt>
                <c:pt idx="15">
                  <c:v>1787.9783792393864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B2-4E81-9AF4-C21AD0FC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26016"/>
        <c:axId val="156727552"/>
      </c:lineChart>
      <c:catAx>
        <c:axId val="1567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156727552"/>
        <c:crosses val="autoZero"/>
        <c:auto val="1"/>
        <c:lblAlgn val="ctr"/>
        <c:lblOffset val="100"/>
        <c:noMultiLvlLbl val="0"/>
      </c:catAx>
      <c:valAx>
        <c:axId val="156727552"/>
        <c:scaling>
          <c:orientation val="minMax"/>
          <c:max val="2000"/>
          <c:min val="40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s-PE" sz="1000"/>
                  <a:t>kWh / habitante</a:t>
                </a:r>
              </a:p>
            </c:rich>
          </c:tx>
          <c:layout>
            <c:manualLayout>
              <c:xMode val="edge"/>
              <c:yMode val="edge"/>
              <c:x val="7.1885304276268682E-3"/>
              <c:y val="0.335524171167281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156726016"/>
        <c:crosses val="autoZero"/>
        <c:crossBetween val="between"/>
        <c:majorUnit val="200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97400762793341E-2"/>
          <c:y val="4.7278421158705813E-2"/>
          <c:w val="0.89640006917579762"/>
          <c:h val="0.802401128629676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'6.1'!$W$8</c:f>
              <c:strCache>
                <c:ptCount val="1"/>
                <c:pt idx="0">
                  <c:v>500 kV</c:v>
                </c:pt>
              </c:strCache>
            </c:strRef>
          </c:tx>
          <c:invertIfNegative val="0"/>
          <c:cat>
            <c:strRef>
              <c:f>'6.1'!$V$9:$V$24</c:f>
              <c:strCach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2011*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'6.1'!$W$9:$W$24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89.9</c:v>
                </c:pt>
                <c:pt idx="5">
                  <c:v>611.9</c:v>
                </c:pt>
                <c:pt idx="6">
                  <c:v>621.86</c:v>
                </c:pt>
                <c:pt idx="7">
                  <c:v>1838.46</c:v>
                </c:pt>
                <c:pt idx="8">
                  <c:v>1838.46</c:v>
                </c:pt>
                <c:pt idx="9">
                  <c:v>1969.8000000000002</c:v>
                </c:pt>
                <c:pt idx="10">
                  <c:v>2882</c:v>
                </c:pt>
                <c:pt idx="11">
                  <c:v>2883.3999999999996</c:v>
                </c:pt>
                <c:pt idx="12">
                  <c:v>2883.3999999999996</c:v>
                </c:pt>
                <c:pt idx="13">
                  <c:v>2883.3999999999996</c:v>
                </c:pt>
                <c:pt idx="14">
                  <c:v>2882.96</c:v>
                </c:pt>
                <c:pt idx="15">
                  <c:v>2882.96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5A-4F3B-8604-0A8C624E253F}"/>
            </c:ext>
          </c:extLst>
        </c:ser>
        <c:ser>
          <c:idx val="2"/>
          <c:order val="1"/>
          <c:tx>
            <c:strRef>
              <c:f>'6.1'!$X$8</c:f>
              <c:strCache>
                <c:ptCount val="1"/>
                <c:pt idx="0">
                  <c:v>220 kV</c:v>
                </c:pt>
              </c:strCache>
            </c:strRef>
          </c:tx>
          <c:invertIfNegative val="0"/>
          <c:cat>
            <c:strRef>
              <c:f>'6.1'!$V$9:$V$24</c:f>
              <c:strCach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2011*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'6.1'!$X$9:$X$24</c:f>
              <c:numCache>
                <c:formatCode>#,##0</c:formatCode>
                <c:ptCount val="16"/>
                <c:pt idx="0">
                  <c:v>3129.692</c:v>
                </c:pt>
                <c:pt idx="1">
                  <c:v>4860.0660900000003</c:v>
                </c:pt>
                <c:pt idx="2">
                  <c:v>5613.9770900000003</c:v>
                </c:pt>
                <c:pt idx="3">
                  <c:v>5862.5670899999986</c:v>
                </c:pt>
                <c:pt idx="4">
                  <c:v>7105.9870899999996</c:v>
                </c:pt>
                <c:pt idx="5">
                  <c:v>7459.7680899999996</c:v>
                </c:pt>
                <c:pt idx="6">
                  <c:v>7841.6769999999997</c:v>
                </c:pt>
                <c:pt idx="7">
                  <c:v>8240.8355100000008</c:v>
                </c:pt>
                <c:pt idx="8">
                  <c:v>8665.1200000000008</c:v>
                </c:pt>
                <c:pt idx="9">
                  <c:v>9567.8435099999933</c:v>
                </c:pt>
                <c:pt idx="10">
                  <c:v>10162.963509999998</c:v>
                </c:pt>
                <c:pt idx="11">
                  <c:v>10966.555509999998</c:v>
                </c:pt>
                <c:pt idx="12">
                  <c:v>11107.535509999998</c:v>
                </c:pt>
                <c:pt idx="13">
                  <c:v>11433.765509999997</c:v>
                </c:pt>
                <c:pt idx="14">
                  <c:v>11402.887659999999</c:v>
                </c:pt>
                <c:pt idx="15">
                  <c:v>11523.63666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5A-4F3B-8604-0A8C624E253F}"/>
            </c:ext>
          </c:extLst>
        </c:ser>
        <c:ser>
          <c:idx val="3"/>
          <c:order val="2"/>
          <c:tx>
            <c:strRef>
              <c:f>'6.1'!$Y$8</c:f>
              <c:strCache>
                <c:ptCount val="1"/>
                <c:pt idx="0">
                  <c:v>138 kV</c:v>
                </c:pt>
              </c:strCache>
            </c:strRef>
          </c:tx>
          <c:invertIfNegative val="0"/>
          <c:cat>
            <c:strRef>
              <c:f>'6.1'!$V$9:$V$24</c:f>
              <c:strCach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2011*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'6.1'!$Y$9:$Y$24</c:f>
              <c:numCache>
                <c:formatCode>#,##0</c:formatCode>
                <c:ptCount val="16"/>
                <c:pt idx="0">
                  <c:v>1872.9719999999998</c:v>
                </c:pt>
                <c:pt idx="1">
                  <c:v>3135.1529999999998</c:v>
                </c:pt>
                <c:pt idx="2">
                  <c:v>3435</c:v>
                </c:pt>
                <c:pt idx="3">
                  <c:v>4252.0780000000004</c:v>
                </c:pt>
                <c:pt idx="4">
                  <c:v>4277.8440000000001</c:v>
                </c:pt>
                <c:pt idx="5">
                  <c:v>4285.6540000000005</c:v>
                </c:pt>
                <c:pt idx="6">
                  <c:v>4416.9339999999993</c:v>
                </c:pt>
                <c:pt idx="7">
                  <c:v>4368.3289000000004</c:v>
                </c:pt>
                <c:pt idx="8">
                  <c:v>4368.78</c:v>
                </c:pt>
                <c:pt idx="9">
                  <c:v>4432.2038999999995</c:v>
                </c:pt>
                <c:pt idx="10">
                  <c:v>4386.0339000000004</c:v>
                </c:pt>
                <c:pt idx="11">
                  <c:v>4738.1038999999982</c:v>
                </c:pt>
                <c:pt idx="12">
                  <c:v>4796.7738999999983</c:v>
                </c:pt>
                <c:pt idx="13">
                  <c:v>4835.8038999999999</c:v>
                </c:pt>
                <c:pt idx="14">
                  <c:v>5000.3805600000005</c:v>
                </c:pt>
                <c:pt idx="15">
                  <c:v>5002.5305600000011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5A-4F3B-8604-0A8C624E253F}"/>
            </c:ext>
          </c:extLst>
        </c:ser>
        <c:ser>
          <c:idx val="4"/>
          <c:order val="3"/>
          <c:tx>
            <c:strRef>
              <c:f>'6.1'!$Z$8</c:f>
              <c:strCache>
                <c:ptCount val="1"/>
                <c:pt idx="0">
                  <c:v>60 - 69 kV</c:v>
                </c:pt>
              </c:strCache>
            </c:strRef>
          </c:tx>
          <c:invertIfNegative val="0"/>
          <c:cat>
            <c:strRef>
              <c:f>'6.1'!$V$9:$V$24</c:f>
              <c:strCach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2011*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'6.1'!$Z$9:$Z$24</c:f>
              <c:numCache>
                <c:formatCode>#,##0</c:formatCode>
                <c:ptCount val="16"/>
                <c:pt idx="0">
                  <c:v>3030.6320000000001</c:v>
                </c:pt>
                <c:pt idx="1">
                  <c:v>4213.37</c:v>
                </c:pt>
                <c:pt idx="2">
                  <c:v>4678</c:v>
                </c:pt>
                <c:pt idx="3">
                  <c:v>5204.0582000000004</c:v>
                </c:pt>
                <c:pt idx="4">
                  <c:v>5607.8222000000023</c:v>
                </c:pt>
                <c:pt idx="5">
                  <c:v>5782.9882000000034</c:v>
                </c:pt>
                <c:pt idx="6">
                  <c:v>5907.1522000000004</c:v>
                </c:pt>
                <c:pt idx="7">
                  <c:v>4888.8531000000021</c:v>
                </c:pt>
                <c:pt idx="8">
                  <c:v>5022.3391000000011</c:v>
                </c:pt>
                <c:pt idx="9">
                  <c:v>5230.0291000000043</c:v>
                </c:pt>
                <c:pt idx="10">
                  <c:v>5403.9190999999992</c:v>
                </c:pt>
                <c:pt idx="11">
                  <c:v>7008.2821000000004</c:v>
                </c:pt>
                <c:pt idx="12">
                  <c:v>7165.3420999999998</c:v>
                </c:pt>
                <c:pt idx="13">
                  <c:v>7228.1820999999991</c:v>
                </c:pt>
                <c:pt idx="14">
                  <c:v>7598.822030999997</c:v>
                </c:pt>
                <c:pt idx="15">
                  <c:v>7499.7850309999976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5A-4F3B-8604-0A8C624E253F}"/>
            </c:ext>
          </c:extLst>
        </c:ser>
        <c:ser>
          <c:idx val="0"/>
          <c:order val="4"/>
          <c:tx>
            <c:strRef>
              <c:f>'6.1'!$AA$8</c:f>
              <c:strCache>
                <c:ptCount val="1"/>
                <c:pt idx="0">
                  <c:v>30 - 50 kV</c:v>
                </c:pt>
              </c:strCache>
            </c:strRef>
          </c:tx>
          <c:invertIfNegative val="0"/>
          <c:cat>
            <c:strRef>
              <c:f>'6.1'!$V$9:$V$24</c:f>
              <c:strCach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2011*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strCache>
            </c:strRef>
          </c:cat>
          <c:val>
            <c:numRef>
              <c:f>'6.1'!$AA$9:$AA$24</c:f>
              <c:numCache>
                <c:formatCode>#,##0</c:formatCode>
                <c:ptCount val="16"/>
                <c:pt idx="0">
                  <c:v>1098.24</c:v>
                </c:pt>
                <c:pt idx="1">
                  <c:v>1447.4109999999998</c:v>
                </c:pt>
                <c:pt idx="2">
                  <c:v>1545</c:v>
                </c:pt>
                <c:pt idx="3">
                  <c:v>1746.1599999999999</c:v>
                </c:pt>
                <c:pt idx="4">
                  <c:v>1751.7279999999994</c:v>
                </c:pt>
                <c:pt idx="5">
                  <c:v>1795.4479999999992</c:v>
                </c:pt>
                <c:pt idx="6">
                  <c:v>1797.4960000000001</c:v>
                </c:pt>
                <c:pt idx="7">
                  <c:v>2252.5648200000005</c:v>
                </c:pt>
                <c:pt idx="8">
                  <c:v>2278.5619999999999</c:v>
                </c:pt>
                <c:pt idx="9">
                  <c:v>2288.2648200000003</c:v>
                </c:pt>
                <c:pt idx="10">
                  <c:v>2010.2848200000008</c:v>
                </c:pt>
                <c:pt idx="11">
                  <c:v>2666.0648200000001</c:v>
                </c:pt>
                <c:pt idx="12">
                  <c:v>2666.0648200000005</c:v>
                </c:pt>
                <c:pt idx="13">
                  <c:v>2666.0648199999991</c:v>
                </c:pt>
                <c:pt idx="14">
                  <c:v>2752.8848199999993</c:v>
                </c:pt>
                <c:pt idx="15">
                  <c:v>2752.8848199999993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5A-4F3B-8604-0A8C624E2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99872"/>
        <c:axId val="50401664"/>
      </c:barChart>
      <c:catAx>
        <c:axId val="503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50401664"/>
        <c:crosses val="autoZero"/>
        <c:auto val="1"/>
        <c:lblAlgn val="ctr"/>
        <c:lblOffset val="100"/>
        <c:noMultiLvlLbl val="0"/>
      </c:catAx>
      <c:valAx>
        <c:axId val="50401664"/>
        <c:scaling>
          <c:orientation val="minMax"/>
          <c:max val="3000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(km)</a:t>
                </a:r>
              </a:p>
            </c:rich>
          </c:tx>
          <c:layout>
            <c:manualLayout>
              <c:xMode val="edge"/>
              <c:yMode val="edge"/>
              <c:x val="1.7005517905417915E-3"/>
              <c:y val="0.445119141745345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50399872"/>
        <c:crosses val="autoZero"/>
        <c:crossBetween val="between"/>
        <c:majorUnit val="25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2275789462546489"/>
          <c:y val="0.91940033796877663"/>
          <c:w val="0.54482496653810952"/>
          <c:h val="6.3867211802094162E-2"/>
        </c:manualLayout>
      </c:layout>
      <c:overlay val="0"/>
    </c:legend>
    <c:plotVisOnly val="1"/>
    <c:dispBlanksAs val="gap"/>
    <c:showDLblsOverMax val="0"/>
  </c:chart>
  <c:spPr>
    <a:ln w="6350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PORCENTAJE DE PÉRDIDAS DE ENERGÍA ELÉCTRICA EN  EL SISTEMA PRINCIPAL Y GARANTIZADO DE TRANSMISIÓN 1995 - 2014</a:t>
            </a:r>
          </a:p>
        </c:rich>
      </c:tx>
      <c:layout>
        <c:manualLayout>
          <c:xMode val="edge"/>
          <c:yMode val="edge"/>
          <c:x val="0.13594282119693718"/>
          <c:y val="1.7975440961320338E-2"/>
        </c:manualLayout>
      </c:layout>
      <c:overlay val="1"/>
      <c:spPr>
        <a:solidFill>
          <a:schemeClr val="bg1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7.0691731159942026E-2"/>
          <c:y val="0.21287128712871287"/>
          <c:w val="0.88898214860343727"/>
          <c:h val="0.55198019801980203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'6.2'!$B$8:$B$34</c:f>
              <c:strCache>
                <c:ptCount val="27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2006*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</c:strCache>
            </c:strRef>
          </c:cat>
          <c:val>
            <c:numRef>
              <c:f>'6.2'!$C$8:$C$34</c:f>
              <c:numCache>
                <c:formatCode>0.00</c:formatCode>
                <c:ptCount val="27"/>
                <c:pt idx="0">
                  <c:v>3.66</c:v>
                </c:pt>
                <c:pt idx="1">
                  <c:v>3.57</c:v>
                </c:pt>
                <c:pt idx="2">
                  <c:v>3.38</c:v>
                </c:pt>
                <c:pt idx="3">
                  <c:v>2.9</c:v>
                </c:pt>
                <c:pt idx="4">
                  <c:v>2.77</c:v>
                </c:pt>
                <c:pt idx="5">
                  <c:v>2.52</c:v>
                </c:pt>
                <c:pt idx="6">
                  <c:v>2.31</c:v>
                </c:pt>
                <c:pt idx="7">
                  <c:v>2.2999999999999998</c:v>
                </c:pt>
                <c:pt idx="8">
                  <c:v>2.08</c:v>
                </c:pt>
                <c:pt idx="9">
                  <c:v>1.81</c:v>
                </c:pt>
                <c:pt idx="10">
                  <c:v>1.88</c:v>
                </c:pt>
                <c:pt idx="11">
                  <c:v>1.86</c:v>
                </c:pt>
                <c:pt idx="12">
                  <c:v>2.15</c:v>
                </c:pt>
                <c:pt idx="13">
                  <c:v>2.11</c:v>
                </c:pt>
                <c:pt idx="14">
                  <c:v>2.2400000000000002</c:v>
                </c:pt>
                <c:pt idx="15">
                  <c:v>2.68</c:v>
                </c:pt>
                <c:pt idx="16">
                  <c:v>2.93</c:v>
                </c:pt>
                <c:pt idx="17">
                  <c:v>4.32</c:v>
                </c:pt>
                <c:pt idx="18">
                  <c:v>4.3499999999999996</c:v>
                </c:pt>
                <c:pt idx="19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AF7-4F66-A0F0-DFEBA8309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91008"/>
        <c:axId val="50892800"/>
      </c:lineChart>
      <c:catAx>
        <c:axId val="5089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892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89280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%</a:t>
                </a:r>
              </a:p>
            </c:rich>
          </c:tx>
          <c:layout>
            <c:manualLayout>
              <c:xMode val="edge"/>
              <c:yMode val="edge"/>
              <c:x val="7.1469436671655721E-3"/>
              <c:y val="0.449585203206592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891008"/>
        <c:crosses val="autoZero"/>
        <c:crossBetween val="between"/>
        <c:majorUnit val="1"/>
        <c:minorUnit val="0.5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93081721078611E-2"/>
          <c:y val="5.2656042085718696E-2"/>
          <c:w val="0.83251702191819954"/>
          <c:h val="0.79400402289958227"/>
        </c:manualLayout>
      </c:layout>
      <c:lineChart>
        <c:grouping val="standard"/>
        <c:varyColors val="0"/>
        <c:ser>
          <c:idx val="0"/>
          <c:order val="0"/>
          <c:tx>
            <c:strRef>
              <c:f>'7.1'!$O$6</c:f>
              <c:strCache>
                <c:ptCount val="1"/>
                <c:pt idx="0">
                  <c:v>Regulado</c:v>
                </c:pt>
              </c:strCache>
            </c:strRef>
          </c:tx>
          <c:spPr>
            <a:ln w="6350">
              <a:solidFill>
                <a:srgbClr val="00B050"/>
              </a:solidFill>
            </a:ln>
          </c:spPr>
          <c:marker>
            <c:symbol val="diamond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5"/>
              <c:layout>
                <c:manualLayout>
                  <c:x val="-5.9511482851111783E-2"/>
                  <c:y val="-3.7070710196503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D1-4347-9635-6838567B0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'7.1'!$N$7:$N$22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'7.1'!$O$7:$O$22</c:f>
              <c:numCache>
                <c:formatCode>#,##0</c:formatCode>
                <c:ptCount val="16"/>
                <c:pt idx="0">
                  <c:v>2491629</c:v>
                </c:pt>
                <c:pt idx="1">
                  <c:v>3351980</c:v>
                </c:pt>
                <c:pt idx="2">
                  <c:v>3976856</c:v>
                </c:pt>
                <c:pt idx="3">
                  <c:v>5170638</c:v>
                </c:pt>
                <c:pt idx="4">
                  <c:v>5494961</c:v>
                </c:pt>
                <c:pt idx="5">
                  <c:v>5834625</c:v>
                </c:pt>
                <c:pt idx="6">
                  <c:v>6156035</c:v>
                </c:pt>
                <c:pt idx="7">
                  <c:v>6432444</c:v>
                </c:pt>
                <c:pt idx="8">
                  <c:v>6681681.9999999972</c:v>
                </c:pt>
                <c:pt idx="9">
                  <c:v>6935575</c:v>
                </c:pt>
                <c:pt idx="10">
                  <c:v>7166319.0000000075</c:v>
                </c:pt>
                <c:pt idx="11">
                  <c:v>7375103.9999999925</c:v>
                </c:pt>
                <c:pt idx="12">
                  <c:v>7563790.0000000102</c:v>
                </c:pt>
                <c:pt idx="13">
                  <c:v>7776466.9999999981</c:v>
                </c:pt>
                <c:pt idx="14">
                  <c:v>8141157.9999999981</c:v>
                </c:pt>
                <c:pt idx="15">
                  <c:v>8346460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73-41FF-8092-BBF0534AB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3216"/>
        <c:axId val="51034752"/>
      </c:lineChart>
      <c:lineChart>
        <c:grouping val="standard"/>
        <c:varyColors val="0"/>
        <c:ser>
          <c:idx val="1"/>
          <c:order val="1"/>
          <c:tx>
            <c:strRef>
              <c:f>'7.1'!$P$6</c:f>
              <c:strCache>
                <c:ptCount val="1"/>
                <c:pt idx="0">
                  <c:v>Libre</c:v>
                </c:pt>
              </c:strCache>
            </c:strRef>
          </c:tx>
          <c:spPr>
            <a:ln w="6350">
              <a:solidFill>
                <a:srgbClr val="FFC000"/>
              </a:solidFill>
            </a:ln>
          </c:spPr>
          <c:marker>
            <c:symbol val="triangle"/>
            <c:size val="3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5"/>
              <c:layout>
                <c:manualLayout>
                  <c:x val="-3.6037900550732457E-2"/>
                  <c:y val="-4.8989633297230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1-4347-9635-6838567B0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'7.1'!$N$7:$N$22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'7.1'!$P$7:$P$22</c:f>
              <c:numCache>
                <c:formatCode>#,##0</c:formatCode>
                <c:ptCount val="16"/>
                <c:pt idx="0">
                  <c:v>206</c:v>
                </c:pt>
                <c:pt idx="1">
                  <c:v>229</c:v>
                </c:pt>
                <c:pt idx="2">
                  <c:v>244</c:v>
                </c:pt>
                <c:pt idx="3">
                  <c:v>258</c:v>
                </c:pt>
                <c:pt idx="4">
                  <c:v>261</c:v>
                </c:pt>
                <c:pt idx="5">
                  <c:v>262</c:v>
                </c:pt>
                <c:pt idx="6">
                  <c:v>280</c:v>
                </c:pt>
                <c:pt idx="7">
                  <c:v>299</c:v>
                </c:pt>
                <c:pt idx="8">
                  <c:v>346</c:v>
                </c:pt>
                <c:pt idx="9">
                  <c:v>933</c:v>
                </c:pt>
                <c:pt idx="10">
                  <c:v>1415</c:v>
                </c:pt>
                <c:pt idx="11">
                  <c:v>1834</c:v>
                </c:pt>
                <c:pt idx="12">
                  <c:v>2246.0000000000005</c:v>
                </c:pt>
                <c:pt idx="13">
                  <c:v>2561</c:v>
                </c:pt>
                <c:pt idx="14">
                  <c:v>2934</c:v>
                </c:pt>
                <c:pt idx="15">
                  <c:v>3203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D1-4347-9635-6838567B0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47040"/>
        <c:axId val="51045120"/>
      </c:lineChart>
      <c:catAx>
        <c:axId val="5103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51034752"/>
        <c:crosses val="autoZero"/>
        <c:auto val="1"/>
        <c:lblAlgn val="ctr"/>
        <c:lblOffset val="100"/>
        <c:noMultiLvlLbl val="0"/>
      </c:catAx>
      <c:valAx>
        <c:axId val="510347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N° de Clientes Regulados</a:t>
                </a:r>
              </a:p>
            </c:rich>
          </c:tx>
          <c:layout>
            <c:manualLayout>
              <c:xMode val="edge"/>
              <c:yMode val="edge"/>
              <c:x val="8.2847937530750547E-4"/>
              <c:y val="0.277331270307906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51033216"/>
        <c:crosses val="autoZero"/>
        <c:crossBetween val="between"/>
        <c:minorUnit val="300000"/>
      </c:valAx>
      <c:valAx>
        <c:axId val="51045120"/>
        <c:scaling>
          <c:orientation val="minMax"/>
          <c:max val="1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N° de Clientes Libres</a:t>
                </a:r>
              </a:p>
            </c:rich>
          </c:tx>
          <c:layout>
            <c:manualLayout>
              <c:xMode val="edge"/>
              <c:yMode val="edge"/>
              <c:x val="0.97443606795012194"/>
              <c:y val="0.322088194336995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6350"/>
        </c:spPr>
        <c:crossAx val="51047040"/>
        <c:crosses val="max"/>
        <c:crossBetween val="between"/>
      </c:valAx>
      <c:catAx>
        <c:axId val="5104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45120"/>
        <c:crosses val="autoZero"/>
        <c:auto val="1"/>
        <c:lblAlgn val="ctr"/>
        <c:lblOffset val="100"/>
        <c:noMultiLvlLbl val="0"/>
      </c:catAx>
      <c:spPr>
        <a:ln w="3175">
          <a:solidFill>
            <a:schemeClr val="tx1">
              <a:tint val="75000"/>
              <a:shade val="95000"/>
              <a:satMod val="105000"/>
            </a:schemeClr>
          </a:solidFill>
          <a:prstDash val="dash"/>
        </a:ln>
      </c:spPr>
    </c:plotArea>
    <c:legend>
      <c:legendPos val="b"/>
      <c:layout>
        <c:manualLayout>
          <c:xMode val="edge"/>
          <c:yMode val="edge"/>
          <c:x val="0.31387708244057533"/>
          <c:y val="0.92891350765898195"/>
          <c:w val="0.36687077097253745"/>
          <c:h val="6.3226365464954359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70895446838938"/>
          <c:y val="5.705050505050506E-2"/>
          <c:w val="0.82407686249937395"/>
          <c:h val="0.79287066964730679"/>
        </c:manualLayout>
      </c:layout>
      <c:lineChart>
        <c:grouping val="standard"/>
        <c:varyColors val="0"/>
        <c:ser>
          <c:idx val="0"/>
          <c:order val="0"/>
          <c:tx>
            <c:strRef>
              <c:f>'7.2 y 7.3'!$P$41</c:f>
              <c:strCache>
                <c:ptCount val="1"/>
                <c:pt idx="0">
                  <c:v>REGULADO</c:v>
                </c:pt>
              </c:strCache>
            </c:strRef>
          </c:tx>
          <c:spPr>
            <a:ln w="6350">
              <a:solidFill>
                <a:srgbClr val="00B050"/>
              </a:solidFill>
            </a:ln>
          </c:spPr>
          <c:marker>
            <c:symbol val="diamond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5"/>
              <c:layout>
                <c:manualLayout>
                  <c:x val="-5.2286914020733752E-2"/>
                  <c:y val="-5.0775180272637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F5-4A54-8E7D-A39FE894676F}"/>
                </c:ext>
              </c:extLst>
            </c:dLbl>
            <c:dLbl>
              <c:idx val="27"/>
              <c:layout>
                <c:manualLayout>
                  <c:x val="-5.6574281691609642E-2"/>
                  <c:y val="-3.7698823642880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5-4A54-8E7D-A39FE89467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'7.2 y 7.3'!$A$7:$A$34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'7.2 y 7.3'!$P$42:$P$57</c:f>
              <c:numCache>
                <c:formatCode>#,##0</c:formatCode>
                <c:ptCount val="16"/>
                <c:pt idx="0">
                  <c:v>2491629</c:v>
                </c:pt>
                <c:pt idx="1">
                  <c:v>3351980</c:v>
                </c:pt>
                <c:pt idx="2">
                  <c:v>3976856</c:v>
                </c:pt>
                <c:pt idx="3">
                  <c:v>5170638</c:v>
                </c:pt>
                <c:pt idx="4">
                  <c:v>5494961</c:v>
                </c:pt>
                <c:pt idx="5">
                  <c:v>5834625</c:v>
                </c:pt>
                <c:pt idx="6">
                  <c:v>6156035</c:v>
                </c:pt>
                <c:pt idx="7">
                  <c:v>6432444</c:v>
                </c:pt>
                <c:pt idx="8">
                  <c:v>6681681.9999999972</c:v>
                </c:pt>
                <c:pt idx="9">
                  <c:v>6935575</c:v>
                </c:pt>
                <c:pt idx="10">
                  <c:v>7166319.0000000075</c:v>
                </c:pt>
                <c:pt idx="11">
                  <c:v>7375103.9999999925</c:v>
                </c:pt>
                <c:pt idx="12">
                  <c:v>7563790.0000000102</c:v>
                </c:pt>
                <c:pt idx="13">
                  <c:v>7776466.9999999981</c:v>
                </c:pt>
                <c:pt idx="14">
                  <c:v>8141157.9999999981</c:v>
                </c:pt>
                <c:pt idx="15">
                  <c:v>8346460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73-41FF-8092-BBF0534AB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4016"/>
        <c:axId val="51255552"/>
      </c:lineChart>
      <c:lineChart>
        <c:grouping val="standard"/>
        <c:varyColors val="0"/>
        <c:ser>
          <c:idx val="1"/>
          <c:order val="1"/>
          <c:tx>
            <c:strRef>
              <c:f>'7.2 y 7.3'!$O$41</c:f>
              <c:strCache>
                <c:ptCount val="1"/>
                <c:pt idx="0">
                  <c:v>LIBRE</c:v>
                </c:pt>
              </c:strCache>
            </c:strRef>
          </c:tx>
          <c:spPr>
            <a:ln w="6350">
              <a:solidFill>
                <a:srgbClr val="FFC000"/>
              </a:solidFill>
            </a:ln>
          </c:spPr>
          <c:marker>
            <c:symbol val="triangle"/>
            <c:size val="3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F5-4A54-8E7D-A39FE894676F}"/>
                </c:ext>
              </c:extLst>
            </c:dLbl>
            <c:dLbl>
              <c:idx val="27"/>
              <c:layout>
                <c:manualLayout>
                  <c:x val="-3.3485099337748445E-2"/>
                  <c:y val="-3.7698823642880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F5-4A54-8E7D-A39FE89467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'7.2 y 7.3'!$N$42:$N$57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'7.2 y 7.3'!$O$42:$O$57</c:f>
              <c:numCache>
                <c:formatCode>#,##0</c:formatCode>
                <c:ptCount val="16"/>
                <c:pt idx="0">
                  <c:v>175</c:v>
                </c:pt>
                <c:pt idx="1">
                  <c:v>179</c:v>
                </c:pt>
                <c:pt idx="2">
                  <c:v>164</c:v>
                </c:pt>
                <c:pt idx="3">
                  <c:v>140</c:v>
                </c:pt>
                <c:pt idx="4">
                  <c:v>130</c:v>
                </c:pt>
                <c:pt idx="5">
                  <c:v>130</c:v>
                </c:pt>
                <c:pt idx="6">
                  <c:v>141</c:v>
                </c:pt>
                <c:pt idx="7">
                  <c:v>143.00000000000003</c:v>
                </c:pt>
                <c:pt idx="8">
                  <c:v>175</c:v>
                </c:pt>
                <c:pt idx="9">
                  <c:v>465</c:v>
                </c:pt>
                <c:pt idx="10">
                  <c:v>699</c:v>
                </c:pt>
                <c:pt idx="11">
                  <c:v>760</c:v>
                </c:pt>
                <c:pt idx="12">
                  <c:v>957</c:v>
                </c:pt>
                <c:pt idx="13">
                  <c:v>1032</c:v>
                </c:pt>
                <c:pt idx="14">
                  <c:v>1204</c:v>
                </c:pt>
                <c:pt idx="15">
                  <c:v>1426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5F5-4A54-8E7D-A39FE894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9648"/>
        <c:axId val="51257728"/>
      </c:lineChart>
      <c:catAx>
        <c:axId val="5125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51255552"/>
        <c:crosses val="autoZero"/>
        <c:auto val="1"/>
        <c:lblAlgn val="ctr"/>
        <c:lblOffset val="100"/>
        <c:noMultiLvlLbl val="0"/>
      </c:catAx>
      <c:valAx>
        <c:axId val="512555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N° de Clientes  Regulados</a:t>
                </a:r>
              </a:p>
            </c:rich>
          </c:tx>
          <c:layout>
            <c:manualLayout>
              <c:xMode val="edge"/>
              <c:yMode val="edge"/>
              <c:x val="3.4997879558948263E-3"/>
              <c:y val="0.268998737373737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51254016"/>
        <c:crosses val="autoZero"/>
        <c:crossBetween val="between"/>
        <c:minorUnit val="300000"/>
      </c:valAx>
      <c:valAx>
        <c:axId val="51257728"/>
        <c:scaling>
          <c:orientation val="minMax"/>
          <c:max val="3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N° de Clientes  Libres</a:t>
                </a:r>
              </a:p>
            </c:rich>
          </c:tx>
          <c:layout>
            <c:manualLayout>
              <c:xMode val="edge"/>
              <c:yMode val="edge"/>
              <c:x val="0.97450445292620869"/>
              <c:y val="0.337500000000000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6350"/>
        </c:spPr>
        <c:crossAx val="51259648"/>
        <c:crosses val="max"/>
        <c:crossBetween val="between"/>
      </c:valAx>
      <c:catAx>
        <c:axId val="5125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57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7572731128074635"/>
          <c:y val="0.93550631313131316"/>
          <c:w val="0.45123833757421555"/>
          <c:h val="6.4493686868686867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3175" cap="flat" cmpd="sng" algn="ctr">
      <a:solidFill>
        <a:schemeClr val="dk1"/>
      </a:solidFill>
      <a:prstDash val="solid"/>
    </a:ln>
    <a:effectLst/>
  </c:spPr>
  <c:txPr>
    <a:bodyPr/>
    <a:lstStyle/>
    <a:p>
      <a:pPr>
        <a:defRPr sz="105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37574215436821E-2"/>
          <c:y val="5.705050505050506E-2"/>
          <c:w val="0.9153155216284985"/>
          <c:h val="0.81069570707070704"/>
        </c:manualLayout>
      </c:layout>
      <c:lineChart>
        <c:grouping val="standard"/>
        <c:varyColors val="0"/>
        <c:ser>
          <c:idx val="0"/>
          <c:order val="0"/>
          <c:tx>
            <c:v>LIBRES</c:v>
          </c:tx>
          <c:spPr>
            <a:ln w="6350">
              <a:solidFill>
                <a:srgbClr val="00B050"/>
              </a:solidFill>
            </a:ln>
          </c:spPr>
          <c:marker>
            <c:symbol val="triang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5"/>
              <c:layout>
                <c:manualLayout>
                  <c:x val="-1.6305555555555556E-2"/>
                  <c:y val="-6.143560606060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AC-46B1-A674-ECF6D7868D76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AC-46B1-A674-ECF6D7868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'7.2 y 7.3'!$N$104:$N$119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'7.2 y 7.3'!$O$104:$O$119</c:f>
              <c:numCache>
                <c:formatCode>#,##0</c:formatCode>
                <c:ptCount val="16"/>
                <c:pt idx="0">
                  <c:v>31</c:v>
                </c:pt>
                <c:pt idx="1">
                  <c:v>50</c:v>
                </c:pt>
                <c:pt idx="2">
                  <c:v>80</c:v>
                </c:pt>
                <c:pt idx="3" formatCode="General">
                  <c:v>118</c:v>
                </c:pt>
                <c:pt idx="4" formatCode="General">
                  <c:v>131</c:v>
                </c:pt>
                <c:pt idx="5" formatCode="General">
                  <c:v>132</c:v>
                </c:pt>
                <c:pt idx="6" formatCode="General">
                  <c:v>139</c:v>
                </c:pt>
                <c:pt idx="7" formatCode="General">
                  <c:v>156</c:v>
                </c:pt>
                <c:pt idx="8" formatCode="General">
                  <c:v>171</c:v>
                </c:pt>
                <c:pt idx="9" formatCode="General">
                  <c:v>468</c:v>
                </c:pt>
                <c:pt idx="10" formatCode="General">
                  <c:v>716</c:v>
                </c:pt>
                <c:pt idx="11" formatCode="General">
                  <c:v>1074</c:v>
                </c:pt>
                <c:pt idx="12" formatCode="General">
                  <c:v>1289.0000000000005</c:v>
                </c:pt>
                <c:pt idx="13" formatCode="General">
                  <c:v>1529</c:v>
                </c:pt>
                <c:pt idx="14" formatCode="General">
                  <c:v>1729.9999999999998</c:v>
                </c:pt>
                <c:pt idx="15" formatCode="General">
                  <c:v>1777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73-41FF-8092-BBF0534AB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86016"/>
        <c:axId val="51287552"/>
      </c:lineChart>
      <c:catAx>
        <c:axId val="512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500"/>
            </a:pPr>
            <a:endParaRPr lang="es-PE"/>
          </a:p>
        </c:txPr>
        <c:crossAx val="51287552"/>
        <c:crosses val="autoZero"/>
        <c:auto val="1"/>
        <c:lblAlgn val="ctr"/>
        <c:lblOffset val="100"/>
        <c:noMultiLvlLbl val="0"/>
      </c:catAx>
      <c:valAx>
        <c:axId val="512875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500"/>
                </a:pPr>
                <a:r>
                  <a:rPr lang="es-PE" sz="500"/>
                  <a:t>N°</a:t>
                </a:r>
                <a:r>
                  <a:rPr lang="es-PE" sz="500" baseline="0"/>
                  <a:t> de</a:t>
                </a:r>
                <a:r>
                  <a:rPr lang="es-PE" sz="500"/>
                  <a:t> Clientes </a:t>
                </a:r>
              </a:p>
            </c:rich>
          </c:tx>
          <c:layout>
            <c:manualLayout>
              <c:xMode val="edge"/>
              <c:yMode val="edge"/>
              <c:x val="8.0682782018659906E-4"/>
              <c:y val="0.349446338383838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500"/>
            </a:pPr>
            <a:endParaRPr lang="es-PE"/>
          </a:p>
        </c:txPr>
        <c:crossAx val="51286016"/>
        <c:crosses val="autoZero"/>
        <c:crossBetween val="between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99155775631121E-2"/>
          <c:y val="5.1693404634581108E-2"/>
          <c:w val="0.90463019416193391"/>
          <c:h val="0.80837789661319071"/>
        </c:manualLayout>
      </c:layout>
      <c:lineChart>
        <c:grouping val="standard"/>
        <c:varyColors val="0"/>
        <c:ser>
          <c:idx val="0"/>
          <c:order val="0"/>
          <c:tx>
            <c:strRef>
              <c:f>'8.1'!$S$7</c:f>
              <c:strCache>
                <c:ptCount val="1"/>
                <c:pt idx="0">
                  <c:v>Regulados</c:v>
                </c:pt>
              </c:strCache>
            </c:strRef>
          </c:tx>
          <c:spPr>
            <a:ln w="6350"/>
          </c:spPr>
          <c:marker>
            <c:symbol val="diamond"/>
            <c:size val="3"/>
            <c:spPr>
              <a:solidFill>
                <a:srgbClr val="0070C0"/>
              </a:solidFill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DC-4CAA-BEC4-FC61E9A23A2B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'8.1'!$R$8:$R$23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'8.1'!$S$8:$S$23</c:f>
              <c:numCache>
                <c:formatCode>#\ ##0.0</c:formatCode>
                <c:ptCount val="16"/>
                <c:pt idx="0">
                  <c:v>6430.3848620000044</c:v>
                </c:pt>
                <c:pt idx="1">
                  <c:v>8406.7782800000132</c:v>
                </c:pt>
                <c:pt idx="2">
                  <c:v>11150.106846222223</c:v>
                </c:pt>
                <c:pt idx="3">
                  <c:v>16430.850569000002</c:v>
                </c:pt>
                <c:pt idx="4">
                  <c:v>17891.5565232511</c:v>
                </c:pt>
                <c:pt idx="5">
                  <c:v>18962.169935999998</c:v>
                </c:pt>
                <c:pt idx="6">
                  <c:v>19883.276369286003</c:v>
                </c:pt>
                <c:pt idx="7">
                  <c:v>20761.995461292776</c:v>
                </c:pt>
                <c:pt idx="8">
                  <c:v>21493.062700000002</c:v>
                </c:pt>
                <c:pt idx="9">
                  <c:v>20865.202580999983</c:v>
                </c:pt>
                <c:pt idx="10">
                  <c:v>19466.014226120118</c:v>
                </c:pt>
                <c:pt idx="11">
                  <c:v>19149.967832780072</c:v>
                </c:pt>
                <c:pt idx="12">
                  <c:v>19137.95069308002</c:v>
                </c:pt>
                <c:pt idx="13">
                  <c:v>17893.830867650024</c:v>
                </c:pt>
                <c:pt idx="14">
                  <c:v>18372.038264519975</c:v>
                </c:pt>
                <c:pt idx="15">
                  <c:v>18638.21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0D-4434-9194-E731CF44226B}"/>
            </c:ext>
          </c:extLst>
        </c:ser>
        <c:ser>
          <c:idx val="1"/>
          <c:order val="1"/>
          <c:tx>
            <c:strRef>
              <c:f>'8.1'!$T$7</c:f>
              <c:strCache>
                <c:ptCount val="1"/>
                <c:pt idx="0">
                  <c:v>Libres</c:v>
                </c:pt>
              </c:strCache>
            </c:strRef>
          </c:tx>
          <c:spPr>
            <a:ln w="6350" cmpd="sng"/>
          </c:spPr>
          <c:marker>
            <c:symbol val="triangle"/>
            <c:size val="3"/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DC-4CAA-BEC4-FC61E9A23A2B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'8.1'!$R$8:$R$23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'8.1'!$T$8:$T$23</c:f>
              <c:numCache>
                <c:formatCode>#\ ##0.0</c:formatCode>
                <c:ptCount val="16"/>
                <c:pt idx="0">
                  <c:v>3418.8712659999997</c:v>
                </c:pt>
                <c:pt idx="1">
                  <c:v>7138.8171120000006</c:v>
                </c:pt>
                <c:pt idx="2">
                  <c:v>9551.2760340000004</c:v>
                </c:pt>
                <c:pt idx="3">
                  <c:v>13005.324554999999</c:v>
                </c:pt>
                <c:pt idx="4">
                  <c:v>13928.794281999999</c:v>
                </c:pt>
                <c:pt idx="5">
                  <c:v>14686.015995</c:v>
                </c:pt>
                <c:pt idx="6">
                  <c:v>15729.474292999999</c:v>
                </c:pt>
                <c:pt idx="7">
                  <c:v>16563.805596905622</c:v>
                </c:pt>
                <c:pt idx="8">
                  <c:v>18281.687282799998</c:v>
                </c:pt>
                <c:pt idx="9">
                  <c:v>22501.796529700005</c:v>
                </c:pt>
                <c:pt idx="10">
                  <c:v>24757.238591149999</c:v>
                </c:pt>
                <c:pt idx="11">
                  <c:v>26717.820009410003</c:v>
                </c:pt>
                <c:pt idx="12">
                  <c:v>28282.7872259</c:v>
                </c:pt>
                <c:pt idx="13">
                  <c:v>25857.238500499996</c:v>
                </c:pt>
                <c:pt idx="14">
                  <c:v>29681.705728500001</c:v>
                </c:pt>
                <c:pt idx="15">
                  <c:v>31794.869999999995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0D-4434-9194-E731CF442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18464"/>
        <c:axId val="95120000"/>
      </c:lineChart>
      <c:catAx>
        <c:axId val="9511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95120000"/>
        <c:crosses val="autoZero"/>
        <c:auto val="1"/>
        <c:lblAlgn val="ctr"/>
        <c:lblOffset val="100"/>
        <c:noMultiLvlLbl val="0"/>
      </c:catAx>
      <c:valAx>
        <c:axId val="95120000"/>
        <c:scaling>
          <c:orientation val="minMax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5.8139436750470497E-3"/>
              <c:y val="0.452195722435522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95118464"/>
        <c:crosses val="autoZero"/>
        <c:crossBetween val="between"/>
        <c:majorUnit val="4000"/>
        <c:minorUnit val="1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974332584863294"/>
          <c:y val="0.93352870184125014"/>
          <c:w val="0.40644290054154009"/>
          <c:h val="6.446671438797423E-2"/>
        </c:manualLayout>
      </c:layout>
      <c:overlay val="0"/>
      <c:spPr>
        <a:ln w="6350">
          <a:noFill/>
        </a:ln>
      </c:spPr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10445331910516E-2"/>
          <c:y val="5.136083664827408E-2"/>
          <c:w val="0.89463639940284667"/>
          <c:h val="0.80371230591556531"/>
        </c:manualLayout>
      </c:layout>
      <c:lineChart>
        <c:grouping val="standard"/>
        <c:varyColors val="0"/>
        <c:ser>
          <c:idx val="0"/>
          <c:order val="0"/>
          <c:tx>
            <c:v>REGULADO</c:v>
          </c:tx>
          <c:spPr>
            <a:ln w="6350"/>
          </c:spPr>
          <c:marker>
            <c:symbol val="diamond"/>
            <c:size val="3"/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5-428C-8B4B-6C19E3D42DAB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'8.2 y 8.3'!$N$41:$N$56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'8.2 y 8.3'!$P$41:$P$56</c:f>
              <c:numCache>
                <c:formatCode>#,##0</c:formatCode>
                <c:ptCount val="16"/>
                <c:pt idx="0">
                  <c:v>6430.3848620000044</c:v>
                </c:pt>
                <c:pt idx="1">
                  <c:v>8406.7782800000132</c:v>
                </c:pt>
                <c:pt idx="2">
                  <c:v>11150.106846222223</c:v>
                </c:pt>
                <c:pt idx="3">
                  <c:v>16430.850569000002</c:v>
                </c:pt>
                <c:pt idx="4">
                  <c:v>17891.5565232511</c:v>
                </c:pt>
                <c:pt idx="5">
                  <c:v>18962.169935999998</c:v>
                </c:pt>
                <c:pt idx="6">
                  <c:v>19883.276369286003</c:v>
                </c:pt>
                <c:pt idx="7">
                  <c:v>20761.995461292776</c:v>
                </c:pt>
                <c:pt idx="8">
                  <c:v>21493.062700000002</c:v>
                </c:pt>
                <c:pt idx="9">
                  <c:v>20865.202580999983</c:v>
                </c:pt>
                <c:pt idx="10">
                  <c:v>19466.014226120118</c:v>
                </c:pt>
                <c:pt idx="11">
                  <c:v>19149.967832780072</c:v>
                </c:pt>
                <c:pt idx="12">
                  <c:v>19137.95069308002</c:v>
                </c:pt>
                <c:pt idx="13">
                  <c:v>17893.830867650024</c:v>
                </c:pt>
                <c:pt idx="14">
                  <c:v>18372.038264519975</c:v>
                </c:pt>
                <c:pt idx="15">
                  <c:v>18638.21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DF-45A3-B687-C342829CE441}"/>
            </c:ext>
          </c:extLst>
        </c:ser>
        <c:ser>
          <c:idx val="1"/>
          <c:order val="1"/>
          <c:tx>
            <c:v>LIBRE</c:v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triangl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5-428C-8B4B-6C19E3D42D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'8.2 y 8.3'!$N$41:$N$56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'8.2 y 8.3'!$O$41:$O$56</c:f>
              <c:numCache>
                <c:formatCode>#,##0</c:formatCode>
                <c:ptCount val="16"/>
                <c:pt idx="0">
                  <c:v>2243.3232249999996</c:v>
                </c:pt>
                <c:pt idx="1">
                  <c:v>2356.4909910000001</c:v>
                </c:pt>
                <c:pt idx="2">
                  <c:v>1764.1809539999999</c:v>
                </c:pt>
                <c:pt idx="3">
                  <c:v>1764.4745290000001</c:v>
                </c:pt>
                <c:pt idx="4">
                  <c:v>1861.4841750000001</c:v>
                </c:pt>
                <c:pt idx="5">
                  <c:v>1985.1254450000001</c:v>
                </c:pt>
                <c:pt idx="6">
                  <c:v>2055.3020700000002</c:v>
                </c:pt>
                <c:pt idx="7">
                  <c:v>2018.0005961056218</c:v>
                </c:pt>
                <c:pt idx="8">
                  <c:v>2000.9759999999999</c:v>
                </c:pt>
                <c:pt idx="9">
                  <c:v>2021.1297729999999</c:v>
                </c:pt>
                <c:pt idx="10">
                  <c:v>2933.5290212499995</c:v>
                </c:pt>
                <c:pt idx="11">
                  <c:v>2923.906957610001</c:v>
                </c:pt>
                <c:pt idx="12">
                  <c:v>3217.0739716999992</c:v>
                </c:pt>
                <c:pt idx="13">
                  <c:v>2999.5301768999989</c:v>
                </c:pt>
                <c:pt idx="14">
                  <c:v>3587.2656730999993</c:v>
                </c:pt>
                <c:pt idx="15">
                  <c:v>4015.3999999999996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DF-45A3-B687-C342829CE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4464"/>
        <c:axId val="110416256"/>
      </c:lineChart>
      <c:catAx>
        <c:axId val="11041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0416256"/>
        <c:crosses val="autoZero"/>
        <c:auto val="1"/>
        <c:lblAlgn val="ctr"/>
        <c:lblOffset val="100"/>
        <c:noMultiLvlLbl val="0"/>
      </c:catAx>
      <c:valAx>
        <c:axId val="110416256"/>
        <c:scaling>
          <c:orientation val="minMax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4.0097540288379981E-4"/>
              <c:y val="0.435437572180161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0414464"/>
        <c:crosses val="autoZero"/>
        <c:crossBetween val="between"/>
        <c:majorUnit val="4000"/>
        <c:minorUnit val="1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1945544794580349"/>
          <c:y val="0.92696078431372553"/>
          <c:w val="0.39120535497744513"/>
          <c:h val="5.9094488188976377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23494486853282E-2"/>
          <c:y val="7.3085858585858587E-2"/>
          <c:w val="0.91380788804071245"/>
          <c:h val="0.76634469696969698"/>
        </c:manualLayout>
      </c:layout>
      <c:lineChart>
        <c:grouping val="standard"/>
        <c:varyColors val="0"/>
        <c:ser>
          <c:idx val="0"/>
          <c:order val="0"/>
          <c:tx>
            <c:strRef>
              <c:f>'8.2 y 8.3'!$C$64</c:f>
              <c:strCache>
                <c:ptCount val="1"/>
                <c:pt idx="0">
                  <c:v>MAT</c:v>
                </c:pt>
              </c:strCache>
            </c:strRef>
          </c:tx>
          <c:spPr>
            <a:ln w="6350">
              <a:solidFill>
                <a:srgbClr val="00B050"/>
              </a:solidFill>
            </a:ln>
          </c:spPr>
          <c:marker>
            <c:symbol val="diamond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E-4D85-A63E-EBEEC94B7E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'8.2 y 8.3'!$L$97:$L$112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'8.2 y 8.3'!$M$97:$M$112</c:f>
              <c:numCache>
                <c:formatCode>#,##0</c:formatCode>
                <c:ptCount val="16"/>
                <c:pt idx="0">
                  <c:v>388.77657499999998</c:v>
                </c:pt>
                <c:pt idx="1">
                  <c:v>2327.4021159999998</c:v>
                </c:pt>
                <c:pt idx="2">
                  <c:v>4707.2427810000008</c:v>
                </c:pt>
                <c:pt idx="3">
                  <c:v>8179.7357620000002</c:v>
                </c:pt>
                <c:pt idx="4">
                  <c:v>8322.5081489999993</c:v>
                </c:pt>
                <c:pt idx="5">
                  <c:v>8790.3356710000007</c:v>
                </c:pt>
                <c:pt idx="6">
                  <c:v>9312.0481639999998</c:v>
                </c:pt>
                <c:pt idx="7">
                  <c:v>10524.2995257</c:v>
                </c:pt>
                <c:pt idx="8">
                  <c:v>11546.026379285515</c:v>
                </c:pt>
                <c:pt idx="9">
                  <c:v>15441.282012900001</c:v>
                </c:pt>
                <c:pt idx="10">
                  <c:v>15632.895779899998</c:v>
                </c:pt>
                <c:pt idx="11">
                  <c:v>16656.682654</c:v>
                </c:pt>
                <c:pt idx="12">
                  <c:v>17402.388649600001</c:v>
                </c:pt>
                <c:pt idx="13">
                  <c:v>16044.4032381</c:v>
                </c:pt>
                <c:pt idx="14">
                  <c:v>17992.527090399999</c:v>
                </c:pt>
                <c:pt idx="15">
                  <c:v>19157.439999999999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73-41FF-8092-BBF0534AB45F}"/>
            </c:ext>
          </c:extLst>
        </c:ser>
        <c:ser>
          <c:idx val="1"/>
          <c:order val="1"/>
          <c:tx>
            <c:strRef>
              <c:f>'8.2 y 8.3'!$D$64</c:f>
              <c:strCache>
                <c:ptCount val="1"/>
                <c:pt idx="0">
                  <c:v>AT</c:v>
                </c:pt>
              </c:strCache>
            </c:strRef>
          </c:tx>
          <c:spPr>
            <a:ln w="6350">
              <a:solidFill>
                <a:srgbClr val="FFC000"/>
              </a:solidFill>
            </a:ln>
          </c:spPr>
          <c:marker>
            <c:symbol val="circl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CE-4D85-A63E-EBEEC94B7E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'8.2 y 8.3'!$L$97:$L$112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'8.2 y 8.3'!$N$97:$N$112</c:f>
              <c:numCache>
                <c:formatCode>#,##0</c:formatCode>
                <c:ptCount val="16"/>
                <c:pt idx="0">
                  <c:v>157.521388</c:v>
                </c:pt>
                <c:pt idx="1">
                  <c:v>1171.5316189999999</c:v>
                </c:pt>
                <c:pt idx="2">
                  <c:v>1513.7901240000001</c:v>
                </c:pt>
                <c:pt idx="3">
                  <c:v>1169.349653</c:v>
                </c:pt>
                <c:pt idx="4">
                  <c:v>1523.860013</c:v>
                </c:pt>
                <c:pt idx="5">
                  <c:v>1659.1214150000001</c:v>
                </c:pt>
                <c:pt idx="6">
                  <c:v>2502.1743270000002</c:v>
                </c:pt>
                <c:pt idx="7">
                  <c:v>2247.4841483999999</c:v>
                </c:pt>
                <c:pt idx="8">
                  <c:v>2268.6898054583298</c:v>
                </c:pt>
                <c:pt idx="9">
                  <c:v>1886.0703753999996</c:v>
                </c:pt>
                <c:pt idx="10">
                  <c:v>2155.3877535000001</c:v>
                </c:pt>
                <c:pt idx="11">
                  <c:v>1782.3913207000001</c:v>
                </c:pt>
                <c:pt idx="12">
                  <c:v>1745.64391</c:v>
                </c:pt>
                <c:pt idx="13">
                  <c:v>1460.2973556000002</c:v>
                </c:pt>
                <c:pt idx="14">
                  <c:v>1785.9507896999999</c:v>
                </c:pt>
                <c:pt idx="15">
                  <c:v>1900.71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CE-4D85-A63E-EBEEC94B7E62}"/>
            </c:ext>
          </c:extLst>
        </c:ser>
        <c:ser>
          <c:idx val="2"/>
          <c:order val="2"/>
          <c:tx>
            <c:strRef>
              <c:f>'8.2 y 8.3'!$E$64</c:f>
              <c:strCache>
                <c:ptCount val="1"/>
                <c:pt idx="0">
                  <c:v>MT</c:v>
                </c:pt>
              </c:strCache>
            </c:strRef>
          </c:tx>
          <c:spPr>
            <a:ln w="6350">
              <a:solidFill>
                <a:srgbClr val="0070C0"/>
              </a:solidFill>
            </a:ln>
          </c:spPr>
          <c:marker>
            <c:symbol val="triang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E-4D85-A63E-EBEEC94B7E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'8.2 y 8.3'!$L$97:$L$112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'8.2 y 8.3'!$O$97:$O$112</c:f>
              <c:numCache>
                <c:formatCode>#,##0</c:formatCode>
                <c:ptCount val="16"/>
                <c:pt idx="0">
                  <c:v>625.42348399999992</c:v>
                </c:pt>
                <c:pt idx="1">
                  <c:v>1283.392386</c:v>
                </c:pt>
                <c:pt idx="2">
                  <c:v>1566.062175</c:v>
                </c:pt>
                <c:pt idx="3">
                  <c:v>1891.7646110000001</c:v>
                </c:pt>
                <c:pt idx="4">
                  <c:v>2220.941945</c:v>
                </c:pt>
                <c:pt idx="5">
                  <c:v>2251.4334639999997</c:v>
                </c:pt>
                <c:pt idx="6">
                  <c:v>1859.9497319999996</c:v>
                </c:pt>
                <c:pt idx="7">
                  <c:v>1774.0213266999999</c:v>
                </c:pt>
                <c:pt idx="8">
                  <c:v>2465.9950980561539</c:v>
                </c:pt>
                <c:pt idx="9">
                  <c:v>3153.3143684000006</c:v>
                </c:pt>
                <c:pt idx="10">
                  <c:v>4035.4260364999996</c:v>
                </c:pt>
                <c:pt idx="11">
                  <c:v>5354.8390771000004</c:v>
                </c:pt>
                <c:pt idx="12">
                  <c:v>5917.6806945999988</c:v>
                </c:pt>
                <c:pt idx="13">
                  <c:v>5353.0077298999968</c:v>
                </c:pt>
                <c:pt idx="14">
                  <c:v>6315.9621753000029</c:v>
                </c:pt>
                <c:pt idx="15">
                  <c:v>6721.32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5CE-4D85-A63E-EBEEC94B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73408"/>
        <c:axId val="113474944"/>
      </c:lineChart>
      <c:catAx>
        <c:axId val="1134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3474944"/>
        <c:crosses val="autoZero"/>
        <c:auto val="1"/>
        <c:lblAlgn val="ctr"/>
        <c:lblOffset val="100"/>
        <c:noMultiLvlLbl val="0"/>
      </c:catAx>
      <c:valAx>
        <c:axId val="113474944"/>
        <c:scaling>
          <c:orientation val="minMax"/>
          <c:max val="21000"/>
          <c:min val="0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8.6450381679389345E-4"/>
              <c:y val="0.417930555555555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3473408"/>
        <c:crosses val="autoZero"/>
        <c:crossBetween val="between"/>
        <c:majorUnit val="3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3964418999151824"/>
          <c:y val="0.92748863636363632"/>
          <c:w val="0.51263273960983879"/>
          <c:h val="5.6476010101010103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25126800983389E-2"/>
          <c:y val="5.1360242792109267E-2"/>
          <c:w val="0.86483902973408544"/>
          <c:h val="0.79803702579666158"/>
        </c:manualLayout>
      </c:layout>
      <c:areaChart>
        <c:grouping val="stacked"/>
        <c:varyColors val="0"/>
        <c:ser>
          <c:idx val="0"/>
          <c:order val="0"/>
          <c:tx>
            <c:strRef>
              <c:f>'9.1'!$S$7</c:f>
              <c:strCache>
                <c:ptCount val="1"/>
                <c:pt idx="0">
                  <c:v>Regulados</c:v>
                </c:pt>
              </c:strCache>
            </c:strRef>
          </c:tx>
          <c:cat>
            <c:numRef>
              <c:f>'9.1'!$R$8:$R$23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'9.1'!$S$8:$S$23</c:f>
              <c:numCache>
                <c:formatCode>#\ ##0.0</c:formatCode>
                <c:ptCount val="16"/>
                <c:pt idx="0">
                  <c:v>652594.70505039126</c:v>
                </c:pt>
                <c:pt idx="1">
                  <c:v>740329.43935992219</c:v>
                </c:pt>
                <c:pt idx="2">
                  <c:v>1048137.0214944701</c:v>
                </c:pt>
                <c:pt idx="3">
                  <c:v>1718589.3030064055</c:v>
                </c:pt>
                <c:pt idx="4">
                  <c:v>1984402.415805182</c:v>
                </c:pt>
                <c:pt idx="5">
                  <c:v>2313676.253838758</c:v>
                </c:pt>
                <c:pt idx="6">
                  <c:v>2432390.4404826723</c:v>
                </c:pt>
                <c:pt idx="7">
                  <c:v>2788496.0176665494</c:v>
                </c:pt>
                <c:pt idx="8">
                  <c:v>2880093.0600000047</c:v>
                </c:pt>
                <c:pt idx="9">
                  <c:v>2947578.3042463912</c:v>
                </c:pt>
                <c:pt idx="10">
                  <c:v>2915208.5748256738</c:v>
                </c:pt>
                <c:pt idx="11">
                  <c:v>3048268.389888139</c:v>
                </c:pt>
                <c:pt idx="12">
                  <c:v>3151419.0173609513</c:v>
                </c:pt>
                <c:pt idx="13">
                  <c:v>2963478.2963129096</c:v>
                </c:pt>
                <c:pt idx="14">
                  <c:v>3007639.7849904932</c:v>
                </c:pt>
                <c:pt idx="15">
                  <c:v>3398643.75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3E-48AD-BEB6-E386C1312698}"/>
            </c:ext>
          </c:extLst>
        </c:ser>
        <c:ser>
          <c:idx val="1"/>
          <c:order val="1"/>
          <c:tx>
            <c:strRef>
              <c:f>'9.1'!$T$7</c:f>
              <c:strCache>
                <c:ptCount val="1"/>
                <c:pt idx="0">
                  <c:v>Libres</c:v>
                </c:pt>
              </c:strCache>
            </c:strRef>
          </c:tx>
          <c:cat>
            <c:numRef>
              <c:f>'9.1'!$R$8:$R$23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'9.1'!$T$8:$T$23</c:f>
              <c:numCache>
                <c:formatCode>#\ ##0.0</c:formatCode>
                <c:ptCount val="16"/>
                <c:pt idx="0">
                  <c:v>174081.29663935103</c:v>
                </c:pt>
                <c:pt idx="1">
                  <c:v>372740.06090845715</c:v>
                </c:pt>
                <c:pt idx="2">
                  <c:v>531072.24960191001</c:v>
                </c:pt>
                <c:pt idx="3">
                  <c:v>729945.72519655328</c:v>
                </c:pt>
                <c:pt idx="4">
                  <c:v>875989.13955361466</c:v>
                </c:pt>
                <c:pt idx="5">
                  <c:v>985449.24548825587</c:v>
                </c:pt>
                <c:pt idx="6">
                  <c:v>1103957.4136235374</c:v>
                </c:pt>
                <c:pt idx="7">
                  <c:v>1236693.2682361826</c:v>
                </c:pt>
                <c:pt idx="8">
                  <c:v>1291318.3319920599</c:v>
                </c:pt>
                <c:pt idx="9">
                  <c:v>1501878.1512877787</c:v>
                </c:pt>
                <c:pt idx="10">
                  <c:v>1564489.591531737</c:v>
                </c:pt>
                <c:pt idx="11">
                  <c:v>1684287.6966351583</c:v>
                </c:pt>
                <c:pt idx="12">
                  <c:v>1781290.2196946391</c:v>
                </c:pt>
                <c:pt idx="13">
                  <c:v>1618568.1120464031</c:v>
                </c:pt>
                <c:pt idx="14">
                  <c:v>1775326.3285122374</c:v>
                </c:pt>
                <c:pt idx="15">
                  <c:v>2110823.7399999998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3E-48AD-BEB6-E386C131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83616"/>
        <c:axId val="113585152"/>
      </c:areaChart>
      <c:catAx>
        <c:axId val="1135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35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851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Miles de US$</a:t>
                </a:r>
              </a:p>
            </c:rich>
          </c:tx>
          <c:layout>
            <c:manualLayout>
              <c:xMode val="edge"/>
              <c:yMode val="edge"/>
              <c:x val="1.8470971808167483E-3"/>
              <c:y val="0.365785128983308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3583616"/>
        <c:crosses val="autoZero"/>
        <c:crossBetween val="midCat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5809486574019763"/>
          <c:y val="0.9208837632776935"/>
          <c:w val="0.48273769204708727"/>
          <c:h val="7.2622142111754107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40797285835454E-2"/>
          <c:y val="5.8965909090909104E-2"/>
          <c:w val="0.87204792196776937"/>
          <c:h val="0.80720643939393943"/>
        </c:manualLayout>
      </c:layout>
      <c:areaChart>
        <c:grouping val="stacked"/>
        <c:varyColors val="0"/>
        <c:ser>
          <c:idx val="0"/>
          <c:order val="0"/>
          <c:tx>
            <c:v>LIBRE</c:v>
          </c:tx>
          <c:spPr>
            <a:solidFill>
              <a:srgbClr val="92D050"/>
            </a:solidFill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FE-469A-BD69-0B09EF30936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'9.2 y 9.3'!$N$43:$N$58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 y 9.3'!$O$43:$O$58</c:f>
              <c:numCache>
                <c:formatCode>#,##0</c:formatCode>
                <c:ptCount val="16"/>
                <c:pt idx="0">
                  <c:v>124184.48634359846</c:v>
                </c:pt>
                <c:pt idx="1">
                  <c:v>125742.6973683028</c:v>
                </c:pt>
                <c:pt idx="2">
                  <c:v>99638.871343217426</c:v>
                </c:pt>
                <c:pt idx="3">
                  <c:v>122514.81330417127</c:v>
                </c:pt>
                <c:pt idx="4">
                  <c:v>146073.32673288663</c:v>
                </c:pt>
                <c:pt idx="5">
                  <c:v>160857.30697259019</c:v>
                </c:pt>
                <c:pt idx="6">
                  <c:v>185397.12191505037</c:v>
                </c:pt>
                <c:pt idx="7">
                  <c:v>185561.58643291876</c:v>
                </c:pt>
                <c:pt idx="8">
                  <c:v>174080.91000000003</c:v>
                </c:pt>
                <c:pt idx="9">
                  <c:v>160366.90832169791</c:v>
                </c:pt>
                <c:pt idx="10">
                  <c:v>220110.9670241345</c:v>
                </c:pt>
                <c:pt idx="11">
                  <c:v>213811.36275945383</c:v>
                </c:pt>
                <c:pt idx="12">
                  <c:v>238930.49401381344</c:v>
                </c:pt>
                <c:pt idx="13">
                  <c:v>214148.21157357129</c:v>
                </c:pt>
                <c:pt idx="14">
                  <c:v>240022.83043117402</c:v>
                </c:pt>
                <c:pt idx="15">
                  <c:v>304638.25000000006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04-4012-8F0D-889B6C42559D}"/>
            </c:ext>
          </c:extLst>
        </c:ser>
        <c:ser>
          <c:idx val="1"/>
          <c:order val="1"/>
          <c:tx>
            <c:v>REGULADO</c:v>
          </c:tx>
          <c:spPr>
            <a:solidFill>
              <a:srgbClr val="00B050"/>
            </a:solidFill>
          </c:spPr>
          <c:cat>
            <c:numRef>
              <c:f>'9.2 y 9.3'!$N$43:$N$58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 y 9.3'!$P$43:$P$58</c:f>
              <c:numCache>
                <c:formatCode>#,##0</c:formatCode>
                <c:ptCount val="16"/>
                <c:pt idx="0">
                  <c:v>652594.70505039126</c:v>
                </c:pt>
                <c:pt idx="1">
                  <c:v>740329.43935992219</c:v>
                </c:pt>
                <c:pt idx="2">
                  <c:v>1048137.0214944701</c:v>
                </c:pt>
                <c:pt idx="3">
                  <c:v>1718589.3030064055</c:v>
                </c:pt>
                <c:pt idx="4">
                  <c:v>1984402.415805182</c:v>
                </c:pt>
                <c:pt idx="5">
                  <c:v>2313676.253838758</c:v>
                </c:pt>
                <c:pt idx="6">
                  <c:v>2432390.4404826723</c:v>
                </c:pt>
                <c:pt idx="7">
                  <c:v>2788496.0176665494</c:v>
                </c:pt>
                <c:pt idx="8">
                  <c:v>2880093.0600000047</c:v>
                </c:pt>
                <c:pt idx="9">
                  <c:v>2947578.3042463912</c:v>
                </c:pt>
                <c:pt idx="10">
                  <c:v>2915208.5748256738</c:v>
                </c:pt>
                <c:pt idx="11">
                  <c:v>3048268.389888139</c:v>
                </c:pt>
                <c:pt idx="12">
                  <c:v>3151419.0173609513</c:v>
                </c:pt>
                <c:pt idx="13">
                  <c:v>2963478.2963129096</c:v>
                </c:pt>
                <c:pt idx="14">
                  <c:v>3007639.7849904932</c:v>
                </c:pt>
                <c:pt idx="15">
                  <c:v>3398643.75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04-4012-8F0D-889B6C425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15072"/>
        <c:axId val="113716608"/>
      </c:areaChart>
      <c:catAx>
        <c:axId val="1137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371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16608"/>
        <c:scaling>
          <c:orientation val="minMax"/>
          <c:max val="4000000"/>
          <c:min val="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Miles de US $</a:t>
                </a:r>
              </a:p>
            </c:rich>
          </c:tx>
          <c:layout>
            <c:manualLayout>
              <c:xMode val="edge"/>
              <c:yMode val="edge"/>
              <c:x val="2.3515691263782867E-3"/>
              <c:y val="0.348695707070707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3715072"/>
        <c:crosses val="autoZero"/>
        <c:crossBetween val="midCat"/>
        <c:majorUnit val="500000"/>
        <c:minorUnit val="100000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30235962680237488"/>
          <c:y val="0.93490845959595958"/>
          <c:w val="0.3908524525916911"/>
          <c:h val="5.989962121212121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1997940339944E-2"/>
          <c:y val="6.85041613814691E-2"/>
          <c:w val="0.89252138500481037"/>
          <c:h val="0.76639334425145911"/>
        </c:manualLayout>
      </c:layout>
      <c:lineChart>
        <c:grouping val="standard"/>
        <c:varyColors val="0"/>
        <c:ser>
          <c:idx val="0"/>
          <c:order val="0"/>
          <c:tx>
            <c:strRef>
              <c:f>'1.4'!$Y$6</c:f>
              <c:strCache>
                <c:ptCount val="1"/>
                <c:pt idx="0">
                  <c:v>Estatal (*)</c:v>
                </c:pt>
              </c:strCache>
            </c:strRef>
          </c:tx>
          <c:spPr>
            <a:ln w="6350" cmpd="sng"/>
          </c:spPr>
          <c:marker>
            <c:symbol val="diamond"/>
            <c:size val="3"/>
            <c:spPr>
              <a:ln cmpd="sng"/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2C-440D-8E31-BBB4B580357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'1.4'!$W$8:$W$23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'1.4'!$Y$8:$Y$23</c:f>
              <c:numCache>
                <c:formatCode>#\ ##0.00</c:formatCode>
                <c:ptCount val="16"/>
                <c:pt idx="0">
                  <c:v>154.712999</c:v>
                </c:pt>
                <c:pt idx="1">
                  <c:v>165.994</c:v>
                </c:pt>
                <c:pt idx="2">
                  <c:v>117.43026999999999</c:v>
                </c:pt>
                <c:pt idx="3">
                  <c:v>165.61058222614841</c:v>
                </c:pt>
                <c:pt idx="4">
                  <c:v>107</c:v>
                </c:pt>
                <c:pt idx="5">
                  <c:v>121.623</c:v>
                </c:pt>
                <c:pt idx="6">
                  <c:v>209.3229</c:v>
                </c:pt>
                <c:pt idx="7">
                  <c:v>178.33149350396769</c:v>
                </c:pt>
                <c:pt idx="8">
                  <c:v>122.07089438088975</c:v>
                </c:pt>
                <c:pt idx="9">
                  <c:v>127</c:v>
                </c:pt>
                <c:pt idx="10">
                  <c:v>52</c:v>
                </c:pt>
                <c:pt idx="11">
                  <c:v>78.454342463223497</c:v>
                </c:pt>
                <c:pt idx="12">
                  <c:v>170.00447599202266</c:v>
                </c:pt>
                <c:pt idx="13">
                  <c:v>174.2730185157626</c:v>
                </c:pt>
                <c:pt idx="14">
                  <c:v>135.66263258426929</c:v>
                </c:pt>
                <c:pt idx="15">
                  <c:v>161.280893828318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99-41F0-94FA-D50E54E6F0A4}"/>
            </c:ext>
          </c:extLst>
        </c:ser>
        <c:ser>
          <c:idx val="1"/>
          <c:order val="1"/>
          <c:tx>
            <c:strRef>
              <c:f>'1.4'!$Z$6</c:f>
              <c:strCache>
                <c:ptCount val="1"/>
                <c:pt idx="0">
                  <c:v>Privada</c:v>
                </c:pt>
              </c:strCache>
            </c:strRef>
          </c:tx>
          <c:spPr>
            <a:ln w="6350" cmpd="sng"/>
          </c:spPr>
          <c:marker>
            <c:symbol val="square"/>
            <c:size val="3"/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2C-440D-8E31-BBB4B580357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'1.4'!$W$8:$W$23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'1.4'!$Z$8:$Z$23</c:f>
              <c:numCache>
                <c:formatCode>#\ ##0.00</c:formatCode>
                <c:ptCount val="16"/>
                <c:pt idx="0">
                  <c:v>66.165630000000007</c:v>
                </c:pt>
                <c:pt idx="1">
                  <c:v>439.80900000000003</c:v>
                </c:pt>
                <c:pt idx="2">
                  <c:v>231.06162000000003</c:v>
                </c:pt>
                <c:pt idx="3">
                  <c:v>978.75120000000004</c:v>
                </c:pt>
                <c:pt idx="4">
                  <c:v>1641.7</c:v>
                </c:pt>
                <c:pt idx="5">
                  <c:v>2467.42086045</c:v>
                </c:pt>
                <c:pt idx="6">
                  <c:v>2230.2925</c:v>
                </c:pt>
                <c:pt idx="7">
                  <c:v>2488.2811065848164</c:v>
                </c:pt>
                <c:pt idx="8">
                  <c:v>2364.2373654698185</c:v>
                </c:pt>
                <c:pt idx="9">
                  <c:v>1601.9</c:v>
                </c:pt>
                <c:pt idx="10">
                  <c:v>1365.25</c:v>
                </c:pt>
                <c:pt idx="11">
                  <c:v>580.74200391718</c:v>
                </c:pt>
                <c:pt idx="12">
                  <c:v>448.37901411371558</c:v>
                </c:pt>
                <c:pt idx="13">
                  <c:v>243.05274221103721</c:v>
                </c:pt>
                <c:pt idx="14">
                  <c:v>976.28252589129215</c:v>
                </c:pt>
                <c:pt idx="15">
                  <c:v>975.22183798624508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99-41F0-94FA-D50E54E6F0A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338176"/>
        <c:axId val="42339712"/>
      </c:lineChart>
      <c:catAx>
        <c:axId val="423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339712"/>
        <c:crosses val="autoZero"/>
        <c:auto val="1"/>
        <c:lblAlgn val="ctr"/>
        <c:lblOffset val="100"/>
        <c:noMultiLvlLbl val="0"/>
      </c:catAx>
      <c:valAx>
        <c:axId val="423397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dash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1000"/>
                  <a:t>millones US $</a:t>
                </a:r>
              </a:p>
            </c:rich>
          </c:tx>
          <c:layout>
            <c:manualLayout>
              <c:xMode val="edge"/>
              <c:yMode val="edge"/>
              <c:x val="4.8086204247699479E-3"/>
              <c:y val="0.38616746090800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338176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9588589032296114"/>
          <c:y val="0.92521527777777779"/>
          <c:w val="0.40416886962878978"/>
          <c:h val="5.4471076508982093E-2"/>
        </c:manualLayout>
      </c:layout>
      <c:overlay val="0"/>
      <c:txPr>
        <a:bodyPr/>
        <a:lstStyle/>
        <a:p>
          <a:pPr>
            <a:defRPr sz="1000"/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74814675461991E-2"/>
          <c:y val="3.9199265132826025E-2"/>
          <c:w val="0.87204063867186232"/>
          <c:h val="0.82697288180374251"/>
        </c:manualLayout>
      </c:layout>
      <c:areaChart>
        <c:grouping val="stacked"/>
        <c:varyColors val="0"/>
        <c:ser>
          <c:idx val="0"/>
          <c:order val="0"/>
          <c:tx>
            <c:strRef>
              <c:f>'9.2 y 9.3'!$C$67</c:f>
              <c:strCache>
                <c:ptCount val="1"/>
                <c:pt idx="0">
                  <c:v>MAT</c:v>
                </c:pt>
              </c:strCache>
            </c:strRef>
          </c:tx>
          <c:spPr>
            <a:solidFill>
              <a:srgbClr val="92D050"/>
            </a:solidFill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FE-469A-BD69-0B09EF30936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'9.2 y 9.3'!$K$104:$K$119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 y 9.3'!$L$104:$L$119</c:f>
              <c:numCache>
                <c:formatCode>#,##0</c:formatCode>
                <c:ptCount val="16"/>
                <c:pt idx="0">
                  <c:v>10206.950517839286</c:v>
                </c:pt>
                <c:pt idx="1">
                  <c:v>132207.31188690881</c:v>
                </c:pt>
                <c:pt idx="2">
                  <c:v>280004.19455672603</c:v>
                </c:pt>
                <c:pt idx="3">
                  <c:v>432611.91890698479</c:v>
                </c:pt>
                <c:pt idx="4">
                  <c:v>498129.39336155937</c:v>
                </c:pt>
                <c:pt idx="5">
                  <c:v>576207.46184354858</c:v>
                </c:pt>
                <c:pt idx="6">
                  <c:v>641136.23393060267</c:v>
                </c:pt>
                <c:pt idx="7">
                  <c:v>755021.812658221</c:v>
                </c:pt>
                <c:pt idx="8">
                  <c:v>807970.14642248303</c:v>
                </c:pt>
                <c:pt idx="9">
                  <c:v>1021200.9272410147</c:v>
                </c:pt>
                <c:pt idx="10">
                  <c:v>967422.86480716243</c:v>
                </c:pt>
                <c:pt idx="11">
                  <c:v>995595.10675497772</c:v>
                </c:pt>
                <c:pt idx="12">
                  <c:v>1010626.2148831042</c:v>
                </c:pt>
                <c:pt idx="13">
                  <c:v>927447.70372889342</c:v>
                </c:pt>
                <c:pt idx="14">
                  <c:v>995182.43243251473</c:v>
                </c:pt>
                <c:pt idx="15">
                  <c:v>1176889.69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04-4012-8F0D-889B6C42559D}"/>
            </c:ext>
          </c:extLst>
        </c:ser>
        <c:ser>
          <c:idx val="1"/>
          <c:order val="1"/>
          <c:tx>
            <c:strRef>
              <c:f>'9.2 y 9.3'!$D$67</c:f>
              <c:strCache>
                <c:ptCount val="1"/>
                <c:pt idx="0">
                  <c:v>AT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'9.2 y 9.3'!$K$104:$K$119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 y 9.3'!$M$104:$M$119</c:f>
              <c:numCache>
                <c:formatCode>#,##0</c:formatCode>
                <c:ptCount val="16"/>
                <c:pt idx="0">
                  <c:v>6478.0243058822589</c:v>
                </c:pt>
                <c:pt idx="1">
                  <c:v>55496.150192042784</c:v>
                </c:pt>
                <c:pt idx="2">
                  <c:v>63093.203619105887</c:v>
                </c:pt>
                <c:pt idx="3">
                  <c:v>68142.216057264406</c:v>
                </c:pt>
                <c:pt idx="4">
                  <c:v>95249.582749750451</c:v>
                </c:pt>
                <c:pt idx="5">
                  <c:v>105280.54245758483</c:v>
                </c:pt>
                <c:pt idx="6">
                  <c:v>152045.20672318857</c:v>
                </c:pt>
                <c:pt idx="7">
                  <c:v>171604.57618886622</c:v>
                </c:pt>
                <c:pt idx="8">
                  <c:v>143442.07452695997</c:v>
                </c:pt>
                <c:pt idx="9">
                  <c:v>113676.42509861558</c:v>
                </c:pt>
                <c:pt idx="10">
                  <c:v>126205.91152786385</c:v>
                </c:pt>
                <c:pt idx="11">
                  <c:v>105793.64866467747</c:v>
                </c:pt>
                <c:pt idx="12">
                  <c:v>104416.45510818147</c:v>
                </c:pt>
                <c:pt idx="13">
                  <c:v>86109.415302025693</c:v>
                </c:pt>
                <c:pt idx="14">
                  <c:v>104745.93706547214</c:v>
                </c:pt>
                <c:pt idx="15">
                  <c:v>128666.38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04-4012-8F0D-889B6C42559D}"/>
            </c:ext>
          </c:extLst>
        </c:ser>
        <c:ser>
          <c:idx val="2"/>
          <c:order val="2"/>
          <c:tx>
            <c:strRef>
              <c:f>'9.2 y 9.3'!$E$67</c:f>
              <c:strCache>
                <c:ptCount val="1"/>
                <c:pt idx="0">
                  <c:v>MT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'9.2 y 9.3'!$K$104:$K$119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 y 9.3'!$N$104:$N$119</c:f>
              <c:numCache>
                <c:formatCode>#,##0</c:formatCode>
                <c:ptCount val="16"/>
                <c:pt idx="0">
                  <c:v>32742.70999491524</c:v>
                </c:pt>
                <c:pt idx="1">
                  <c:v>59293.901461202775</c:v>
                </c:pt>
                <c:pt idx="2">
                  <c:v>88335.980082860755</c:v>
                </c:pt>
                <c:pt idx="3">
                  <c:v>106676.77692813272</c:v>
                </c:pt>
                <c:pt idx="4">
                  <c:v>136536.83670941822</c:v>
                </c:pt>
                <c:pt idx="5">
                  <c:v>143103.9342145322</c:v>
                </c:pt>
                <c:pt idx="6">
                  <c:v>125378.85105469593</c:v>
                </c:pt>
                <c:pt idx="7">
                  <c:v>124505.29295617678</c:v>
                </c:pt>
                <c:pt idx="8">
                  <c:v>165825.20104261689</c:v>
                </c:pt>
                <c:pt idx="9">
                  <c:v>206633.89062645048</c:v>
                </c:pt>
                <c:pt idx="10">
                  <c:v>250749.84817257614</c:v>
                </c:pt>
                <c:pt idx="11">
                  <c:v>369087.5784560492</c:v>
                </c:pt>
                <c:pt idx="12">
                  <c:v>427317.05568953993</c:v>
                </c:pt>
                <c:pt idx="13">
                  <c:v>390862.7814419127</c:v>
                </c:pt>
                <c:pt idx="14">
                  <c:v>435375.12858307653</c:v>
                </c:pt>
                <c:pt idx="15">
                  <c:v>500629.42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D0-404B-A513-74DBDB89A313}"/>
            </c:ext>
          </c:extLst>
        </c:ser>
        <c:ser>
          <c:idx val="3"/>
          <c:order val="3"/>
          <c:tx>
            <c:strRef>
              <c:f>'9.2 y 9.3'!$F$67</c:f>
              <c:strCache>
                <c:ptCount val="1"/>
                <c:pt idx="0">
                  <c:v>BT</c:v>
                </c:pt>
              </c:strCache>
            </c:strRef>
          </c:tx>
          <c:spPr>
            <a:ln w="25400">
              <a:noFill/>
            </a:ln>
          </c:spPr>
          <c:cat>
            <c:numRef>
              <c:f>'9.2 y 9.3'!$K$104:$K$119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'9.2 y 9.3'!$O$104:$O$119</c:f>
              <c:numCache>
                <c:formatCode>#,##0</c:formatCode>
                <c:ptCount val="16"/>
                <c:pt idx="0">
                  <c:v>469.12547711577855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D0-404B-A513-74DBDB89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43744"/>
        <c:axId val="115345280"/>
      </c:areaChart>
      <c:catAx>
        <c:axId val="1153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34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45280"/>
        <c:scaling>
          <c:orientation val="minMax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Miles de US $</a:t>
                </a:r>
              </a:p>
            </c:rich>
          </c:tx>
          <c:layout>
            <c:manualLayout>
              <c:xMode val="edge"/>
              <c:yMode val="edge"/>
              <c:x val="2.3587818652172467E-3"/>
              <c:y val="0.389711684370257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34374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39666118067208811"/>
          <c:y val="0.93338188547976653"/>
          <c:w val="0.31428660556774668"/>
          <c:h val="6.5589094616709365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97028133667932E-2"/>
          <c:y val="6.2685440198050446E-2"/>
          <c:w val="0.92152624488178581"/>
          <c:h val="0.77670864923410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'10.1'!$S$7</c:f>
              <c:strCache>
                <c:ptCount val="1"/>
                <c:pt idx="0">
                  <c:v>Regulados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'10.1'!$R$8:$R$23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'10.1'!$S$8:$S$23</c:f>
              <c:numCache>
                <c:formatCode>#\ ##0.0</c:formatCode>
                <c:ptCount val="16"/>
                <c:pt idx="0">
                  <c:v>10.148610371781364</c:v>
                </c:pt>
                <c:pt idx="1">
                  <c:v>8.8063395358146757</c:v>
                </c:pt>
                <c:pt idx="2">
                  <c:v>9.4007778088619069</c:v>
                </c:pt>
                <c:pt idx="3">
                  <c:v>10.459527312900395</c:v>
                </c:pt>
                <c:pt idx="4">
                  <c:v>11.091278800848533</c:v>
                </c:pt>
                <c:pt idx="5">
                  <c:v>12.201537385477197</c:v>
                </c:pt>
                <c:pt idx="6">
                  <c:v>12.233886288512146</c:v>
                </c:pt>
                <c:pt idx="7">
                  <c:v>13.430770769915773</c:v>
                </c:pt>
                <c:pt idx="8">
                  <c:v>13.400105420992441</c:v>
                </c:pt>
                <c:pt idx="9">
                  <c:v>14.126765809264077</c:v>
                </c:pt>
                <c:pt idx="10">
                  <c:v>14.975888443120288</c:v>
                </c:pt>
                <c:pt idx="11">
                  <c:v>15.917877337998695</c:v>
                </c:pt>
                <c:pt idx="12">
                  <c:v>16.466857229914666</c:v>
                </c:pt>
                <c:pt idx="13">
                  <c:v>16.561452481763062</c:v>
                </c:pt>
                <c:pt idx="14">
                  <c:v>16.370746357516783</c:v>
                </c:pt>
                <c:pt idx="15">
                  <c:v>18.234818418721542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FC-49F1-8B52-1894E32C0F13}"/>
            </c:ext>
          </c:extLst>
        </c:ser>
        <c:ser>
          <c:idx val="1"/>
          <c:order val="1"/>
          <c:tx>
            <c:strRef>
              <c:f>'10.1'!$T$7</c:f>
              <c:strCache>
                <c:ptCount val="1"/>
                <c:pt idx="0">
                  <c:v>Libres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'10.1'!$R$8:$R$23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'10.1'!$T$8:$T$23</c:f>
              <c:numCache>
                <c:formatCode>#\ ##0.0</c:formatCode>
                <c:ptCount val="16"/>
                <c:pt idx="0">
                  <c:v>5.0917768788358657</c:v>
                </c:pt>
                <c:pt idx="1">
                  <c:v>5.2213140505014408</c:v>
                </c:pt>
                <c:pt idx="2">
                  <c:v>5.5617579225654694</c:v>
                </c:pt>
                <c:pt idx="3">
                  <c:v>5.6126682737488451</c:v>
                </c:pt>
                <c:pt idx="4">
                  <c:v>6.2890521736374838</c:v>
                </c:pt>
                <c:pt idx="5">
                  <c:v>6.7101196509343106</c:v>
                </c:pt>
                <c:pt idx="6">
                  <c:v>7.018399935430935</c:v>
                </c:pt>
                <c:pt idx="7">
                  <c:v>7.4662387275736695</c:v>
                </c:pt>
                <c:pt idx="8">
                  <c:v>7.0634526891124212</c:v>
                </c:pt>
                <c:pt idx="9">
                  <c:v>6.6744810766796219</c:v>
                </c:pt>
                <c:pt idx="10">
                  <c:v>6.3193218652866925</c:v>
                </c:pt>
                <c:pt idx="11">
                  <c:v>6.3039862385552148</c:v>
                </c:pt>
                <c:pt idx="12">
                  <c:v>6.2981424195116817</c:v>
                </c:pt>
                <c:pt idx="13">
                  <c:v>6.2596325281027401</c:v>
                </c:pt>
                <c:pt idx="14">
                  <c:v>5.9812139664453019</c:v>
                </c:pt>
                <c:pt idx="15">
                  <c:v>6.6388814925175037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FC-49F1-8B52-1894E32C0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25280"/>
        <c:axId val="115426816"/>
      </c:barChart>
      <c:catAx>
        <c:axId val="1154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426816"/>
        <c:crosses val="autoZero"/>
        <c:auto val="1"/>
        <c:lblAlgn val="ctr"/>
        <c:lblOffset val="100"/>
        <c:noMultiLvlLbl val="0"/>
      </c:catAx>
      <c:valAx>
        <c:axId val="11542681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cent. US $/kWh</a:t>
                </a:r>
              </a:p>
            </c:rich>
          </c:tx>
          <c:layout>
            <c:manualLayout>
              <c:xMode val="edge"/>
              <c:yMode val="edge"/>
              <c:x val="1.0384889710738348E-3"/>
              <c:y val="0.360763113105369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dk1"/>
            </a:solidFill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425280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0446683397173424"/>
          <c:y val="0.93207241219248027"/>
          <c:w val="0.3881630431911241"/>
          <c:h val="6.7927587807519729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2519083969465E-2"/>
          <c:y val="5.9974116161616173E-2"/>
          <c:w val="0.93035241730279883"/>
          <c:h val="0.78496464646464659"/>
        </c:manualLayout>
      </c:layout>
      <c:barChart>
        <c:barDir val="col"/>
        <c:grouping val="clustered"/>
        <c:varyColors val="0"/>
        <c:ser>
          <c:idx val="0"/>
          <c:order val="0"/>
          <c:tx>
            <c:v>LIBRE</c:v>
          </c:tx>
          <c:spPr>
            <a:ln w="25400">
              <a:noFill/>
            </a:ln>
          </c:spPr>
          <c:invertIfNegative val="0"/>
          <c:cat>
            <c:numRef>
              <c:f>'10.2 y 10.3'!$AN$44:$AN$59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'10.2 y 10.3'!$AO$44:$AO$59</c:f>
              <c:numCache>
                <c:formatCode>#\ ##0.0</c:formatCode>
                <c:ptCount val="16"/>
                <c:pt idx="0">
                  <c:v>5.5357375593344766</c:v>
                </c:pt>
                <c:pt idx="1">
                  <c:v>5.3360143471179855</c:v>
                </c:pt>
                <c:pt idx="2">
                  <c:v>5.650701414642656</c:v>
                </c:pt>
                <c:pt idx="3">
                  <c:v>6.9434163707427059</c:v>
                </c:pt>
                <c:pt idx="4">
                  <c:v>7.8471430858597868</c:v>
                </c:pt>
                <c:pt idx="5">
                  <c:v>8.1031305793669972</c:v>
                </c:pt>
                <c:pt idx="6">
                  <c:v>9.0204318197884348</c:v>
                </c:pt>
                <c:pt idx="7">
                  <c:v>9.1953187125424662</c:v>
                </c:pt>
                <c:pt idx="8">
                  <c:v>8.699799997601172</c:v>
                </c:pt>
                <c:pt idx="9">
                  <c:v>7.9345181325819754</c:v>
                </c:pt>
                <c:pt idx="10">
                  <c:v>7.5032824093331625</c:v>
                </c:pt>
                <c:pt idx="11">
                  <c:v>7.3125227943033808</c:v>
                </c:pt>
                <c:pt idx="12">
                  <c:v>7.426950580423096</c:v>
                </c:pt>
                <c:pt idx="13">
                  <c:v>7.1393918028486878</c:v>
                </c:pt>
                <c:pt idx="14">
                  <c:v>6.6909688967573455</c:v>
                </c:pt>
                <c:pt idx="15">
                  <c:v>7.5867472729989558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2-4D81-AA41-48F4D69DE87E}"/>
            </c:ext>
          </c:extLst>
        </c:ser>
        <c:ser>
          <c:idx val="1"/>
          <c:order val="1"/>
          <c:tx>
            <c:v>REGULADO</c:v>
          </c:tx>
          <c:spPr>
            <a:ln w="25400">
              <a:noFill/>
            </a:ln>
          </c:spPr>
          <c:invertIfNegative val="0"/>
          <c:cat>
            <c:numRef>
              <c:f>'10.2 y 10.3'!$AN$44:$AN$59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'10.2 y 10.3'!$AP$44:$AP$59</c:f>
              <c:numCache>
                <c:formatCode>#\ ##0.0</c:formatCode>
                <c:ptCount val="16"/>
                <c:pt idx="0">
                  <c:v>10.148610371781364</c:v>
                </c:pt>
                <c:pt idx="1">
                  <c:v>8.8063395358146757</c:v>
                </c:pt>
                <c:pt idx="2">
                  <c:v>9.4007778088619069</c:v>
                </c:pt>
                <c:pt idx="3">
                  <c:v>10.459527312900395</c:v>
                </c:pt>
                <c:pt idx="4">
                  <c:v>11.091278800848533</c:v>
                </c:pt>
                <c:pt idx="5">
                  <c:v>12.2015373854772</c:v>
                </c:pt>
                <c:pt idx="6">
                  <c:v>12.233348243552168</c:v>
                </c:pt>
                <c:pt idx="7">
                  <c:v>13.430770769915773</c:v>
                </c:pt>
                <c:pt idx="8">
                  <c:v>13.400105420992441</c:v>
                </c:pt>
                <c:pt idx="9">
                  <c:v>14.126765809264077</c:v>
                </c:pt>
                <c:pt idx="10">
                  <c:v>14.975888443120288</c:v>
                </c:pt>
                <c:pt idx="11">
                  <c:v>15.917877337998695</c:v>
                </c:pt>
                <c:pt idx="12">
                  <c:v>16.466857229914666</c:v>
                </c:pt>
                <c:pt idx="13">
                  <c:v>16.561452481763062</c:v>
                </c:pt>
                <c:pt idx="14">
                  <c:v>16.370746357516783</c:v>
                </c:pt>
                <c:pt idx="15">
                  <c:v>18.234818418721542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E2-4D81-AA41-48F4D69DE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87424"/>
        <c:axId val="115688960"/>
      </c:barChart>
      <c:catAx>
        <c:axId val="1156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688960"/>
        <c:crosses val="autoZero"/>
        <c:auto val="1"/>
        <c:lblAlgn val="ctr"/>
        <c:lblOffset val="100"/>
        <c:noMultiLvlLbl val="0"/>
      </c:catAx>
      <c:valAx>
        <c:axId val="11568896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Cent. US $/kWh</a:t>
                </a:r>
              </a:p>
            </c:rich>
          </c:tx>
          <c:layout>
            <c:manualLayout>
              <c:xMode val="edge"/>
              <c:yMode val="edge"/>
              <c:x val="3.6991094147582689E-3"/>
              <c:y val="0.334508207070707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687424"/>
        <c:crosses val="autoZero"/>
        <c:crossBetween val="between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458778625954196"/>
          <c:y val="0.94198547979797975"/>
          <c:w val="0.38557718405428332"/>
          <c:h val="5.8014520202020199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0166424514595E-2"/>
          <c:y val="5.0495336787564779E-2"/>
          <c:w val="0.9276234050984018"/>
          <c:h val="0.79444368274212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'10.2 y 10.3'!$C$71</c:f>
              <c:strCache>
                <c:ptCount val="1"/>
                <c:pt idx="0">
                  <c:v>MAT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'10.2 y 10.3'!$AN$109:$AN$124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'10.2 y 10.3'!$AO$109:$AO$124</c:f>
              <c:numCache>
                <c:formatCode>#\ ##0.0</c:formatCode>
                <c:ptCount val="16"/>
                <c:pt idx="0">
                  <c:v>2.6254026539122854</c:v>
                </c:pt>
                <c:pt idx="1">
                  <c:v>5.6804671173079235</c:v>
                </c:pt>
                <c:pt idx="2">
                  <c:v>5.9483283221890026</c:v>
                </c:pt>
                <c:pt idx="3">
                  <c:v>5.2888251099349493</c:v>
                </c:pt>
                <c:pt idx="4">
                  <c:v>5.9853277935379676</c:v>
                </c:pt>
                <c:pt idx="5">
                  <c:v>6.5550109052661281</c:v>
                </c:pt>
                <c:pt idx="6">
                  <c:v>6.8850184474905252</c:v>
                </c:pt>
                <c:pt idx="7">
                  <c:v>7.1740813800907315</c:v>
                </c:pt>
                <c:pt idx="8">
                  <c:v>6.9978200281271254</c:v>
                </c:pt>
                <c:pt idx="9">
                  <c:v>6.6134465155670368</c:v>
                </c:pt>
                <c:pt idx="10">
                  <c:v>6.1883791616587551</c:v>
                </c:pt>
                <c:pt idx="11">
                  <c:v>5.9771511977259868</c:v>
                </c:pt>
                <c:pt idx="12">
                  <c:v>5.8073994049450999</c:v>
                </c:pt>
                <c:pt idx="13">
                  <c:v>5.7805060740839558</c:v>
                </c:pt>
                <c:pt idx="14">
                  <c:v>5.5310875867098135</c:v>
                </c:pt>
                <c:pt idx="15">
                  <c:v>6.1432513425593402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2-4D81-AA41-48F4D69DE87E}"/>
            </c:ext>
          </c:extLst>
        </c:ser>
        <c:ser>
          <c:idx val="1"/>
          <c:order val="1"/>
          <c:tx>
            <c:strRef>
              <c:f>'10.2 y 10.3'!$D$71</c:f>
              <c:strCache>
                <c:ptCount val="1"/>
                <c:pt idx="0">
                  <c:v>AT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'10.2 y 10.3'!$AN$109:$AN$124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'10.2 y 10.3'!$AP$109:$AP$124</c:f>
              <c:numCache>
                <c:formatCode>#\ ##0.0</c:formatCode>
                <c:ptCount val="16"/>
                <c:pt idx="0">
                  <c:v>4.1124728445652465</c:v>
                </c:pt>
                <c:pt idx="1">
                  <c:v>4.7370595289108275</c:v>
                </c:pt>
                <c:pt idx="2">
                  <c:v>4.1719696704229188</c:v>
                </c:pt>
                <c:pt idx="3">
                  <c:v>5.8273601811437308</c:v>
                </c:pt>
                <c:pt idx="4">
                  <c:v>6.2505467652657982</c:v>
                </c:pt>
                <c:pt idx="5">
                  <c:v>6.3455598550986592</c:v>
                </c:pt>
                <c:pt idx="6">
                  <c:v>6.0765233294310175</c:v>
                </c:pt>
                <c:pt idx="7">
                  <c:v>7.6354076317304731</c:v>
                </c:pt>
                <c:pt idx="8">
                  <c:v>6.3226834352517942</c:v>
                </c:pt>
                <c:pt idx="9">
                  <c:v>6.027157129516282</c:v>
                </c:pt>
                <c:pt idx="10">
                  <c:v>5.8553692403107478</c:v>
                </c:pt>
                <c:pt idx="11">
                  <c:v>5.9354894425276399</c:v>
                </c:pt>
                <c:pt idx="12">
                  <c:v>5.9815438022627117</c:v>
                </c:pt>
                <c:pt idx="13">
                  <c:v>5.8967041864323217</c:v>
                </c:pt>
                <c:pt idx="14">
                  <c:v>5.8649957025449249</c:v>
                </c:pt>
                <c:pt idx="15">
                  <c:v>6.7693851245061056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E2-4D81-AA41-48F4D69DE87E}"/>
            </c:ext>
          </c:extLst>
        </c:ser>
        <c:ser>
          <c:idx val="2"/>
          <c:order val="2"/>
          <c:tx>
            <c:strRef>
              <c:f>'10.2 y 10.3'!$E$71</c:f>
              <c:strCache>
                <c:ptCount val="1"/>
                <c:pt idx="0">
                  <c:v>MT</c:v>
                </c:pt>
              </c:strCache>
            </c:strRef>
          </c:tx>
          <c:invertIfNegative val="0"/>
          <c:cat>
            <c:numRef>
              <c:f>'10.2 y 10.3'!$AN$109:$AN$124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'10.2 y 10.3'!$AQ$109:$AQ$124</c:f>
              <c:numCache>
                <c:formatCode>#\ ##0.0</c:formatCode>
                <c:ptCount val="16"/>
                <c:pt idx="0">
                  <c:v>5.2352863032107129</c:v>
                </c:pt>
                <c:pt idx="1">
                  <c:v>4.6200914161573321</c:v>
                </c:pt>
                <c:pt idx="2">
                  <c:v>5.6430156113693268</c:v>
                </c:pt>
                <c:pt idx="3">
                  <c:v>5.639009013480945</c:v>
                </c:pt>
                <c:pt idx="4">
                  <c:v>6.1476994937577381</c:v>
                </c:pt>
                <c:pt idx="5">
                  <c:v>6.3561253975628134</c:v>
                </c:pt>
                <c:pt idx="6">
                  <c:v>6.7409806242385031</c:v>
                </c:pt>
                <c:pt idx="7">
                  <c:v>7.0182523221284558</c:v>
                </c:pt>
                <c:pt idx="8">
                  <c:v>6.724474074313056</c:v>
                </c:pt>
                <c:pt idx="9">
                  <c:v>6.5529112066075736</c:v>
                </c:pt>
                <c:pt idx="10">
                  <c:v>6.2137143861532937</c:v>
                </c:pt>
                <c:pt idx="11">
                  <c:v>6.8925988837732648</c:v>
                </c:pt>
                <c:pt idx="12">
                  <c:v>7.2210225211961028</c:v>
                </c:pt>
                <c:pt idx="13">
                  <c:v>7.3017413978069241</c:v>
                </c:pt>
                <c:pt idx="14">
                  <c:v>6.8932510439297641</c:v>
                </c:pt>
                <c:pt idx="15">
                  <c:v>7.4483794849821168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AC-4412-9EE1-F0B036DF1E7A}"/>
            </c:ext>
          </c:extLst>
        </c:ser>
        <c:ser>
          <c:idx val="3"/>
          <c:order val="3"/>
          <c:tx>
            <c:strRef>
              <c:f>'10.2 y 10.3'!$F$71</c:f>
              <c:strCache>
                <c:ptCount val="1"/>
                <c:pt idx="0">
                  <c:v>BT</c:v>
                </c:pt>
              </c:strCache>
            </c:strRef>
          </c:tx>
          <c:invertIfNegative val="0"/>
          <c:cat>
            <c:numRef>
              <c:f>'10.2 y 10.3'!$AN$109:$AN$124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'10.2 y 10.3'!$AR$109:$AR$124</c:f>
              <c:numCache>
                <c:formatCode>#\ ##0.0</c:formatCode>
                <c:ptCount val="16"/>
                <c:pt idx="0">
                  <c:v>12.259609384109694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AC-4412-9EE1-F0B036DF1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13536"/>
        <c:axId val="115715072"/>
      </c:barChart>
      <c:catAx>
        <c:axId val="1157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500"/>
            </a:pPr>
            <a:endParaRPr lang="es-PE"/>
          </a:p>
        </c:txPr>
        <c:crossAx val="115715072"/>
        <c:crosses val="autoZero"/>
        <c:auto val="1"/>
        <c:lblAlgn val="ctr"/>
        <c:lblOffset val="100"/>
        <c:noMultiLvlLbl val="0"/>
      </c:catAx>
      <c:valAx>
        <c:axId val="11571507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500"/>
                </a:pPr>
                <a:r>
                  <a:rPr lang="es-PE" sz="500"/>
                  <a:t>Cent. US $/kWh</a:t>
                </a:r>
              </a:p>
            </c:rich>
          </c:tx>
          <c:layout>
            <c:manualLayout>
              <c:xMode val="edge"/>
              <c:yMode val="edge"/>
              <c:x val="1.0422929599788661E-3"/>
              <c:y val="0.32640892785970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500"/>
            </a:pPr>
            <a:endParaRPr lang="es-PE"/>
          </a:p>
        </c:txPr>
        <c:crossAx val="115713536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6330809668471805"/>
          <c:y val="0.93480111598246318"/>
          <c:w val="0.45395514463082814"/>
          <c:h val="5.7851893184535673E-2"/>
        </c:manualLayout>
      </c:layout>
      <c:overlay val="0"/>
      <c:txPr>
        <a:bodyPr/>
        <a:lstStyle/>
        <a:p>
          <a:pPr>
            <a:defRPr sz="500"/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389043590585192E-2"/>
          <c:y val="4.6312884672030756E-2"/>
          <c:w val="0.93787817506114546"/>
          <c:h val="0.84276266220175788"/>
        </c:manualLayout>
      </c:layout>
      <c:lineChart>
        <c:grouping val="standard"/>
        <c:varyColors val="0"/>
        <c:ser>
          <c:idx val="0"/>
          <c:order val="0"/>
          <c:tx>
            <c:strRef>
              <c:f>'11'!$K$4</c:f>
              <c:strCache>
                <c:ptCount val="1"/>
                <c:pt idx="0">
                  <c:v>Pérdidas</c:v>
                </c:pt>
              </c:strCache>
            </c:strRef>
          </c:tx>
          <c:spPr>
            <a:ln w="6350"/>
          </c:spPr>
          <c:marker>
            <c:symbol val="diamond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'11'!$J$5:$J$20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'11'!$K$5:$K$20</c:f>
              <c:numCache>
                <c:formatCode>General</c:formatCode>
                <c:ptCount val="16"/>
                <c:pt idx="0">
                  <c:v>19.7</c:v>
                </c:pt>
                <c:pt idx="1">
                  <c:v>10.4</c:v>
                </c:pt>
                <c:pt idx="2" formatCode="0.0">
                  <c:v>8.4</c:v>
                </c:pt>
                <c:pt idx="3" formatCode="0.0">
                  <c:v>7.81</c:v>
                </c:pt>
                <c:pt idx="4" formatCode="0.0">
                  <c:v>7.5990000000000002</c:v>
                </c:pt>
                <c:pt idx="5" formatCode="0.0">
                  <c:v>7.7190000000000003</c:v>
                </c:pt>
                <c:pt idx="6" formatCode="0.0">
                  <c:v>7.468</c:v>
                </c:pt>
                <c:pt idx="7" formatCode="0.0">
                  <c:v>7.468</c:v>
                </c:pt>
                <c:pt idx="8" formatCode="0.0">
                  <c:v>7.6669999999999998</c:v>
                </c:pt>
                <c:pt idx="9" formatCode="0.0">
                  <c:v>8.0868298841374706</c:v>
                </c:pt>
                <c:pt idx="10" formatCode="0.0">
                  <c:v>8.3132160624575295</c:v>
                </c:pt>
                <c:pt idx="11" formatCode="0.0">
                  <c:v>8.3628766338051097</c:v>
                </c:pt>
                <c:pt idx="12" formatCode="0.0">
                  <c:v>9.8285884259999996</c:v>
                </c:pt>
                <c:pt idx="13" formatCode="0.0">
                  <c:v>9.5966758321755492</c:v>
                </c:pt>
                <c:pt idx="14" formatCode="0.0">
                  <c:v>9.8759261542055405</c:v>
                </c:pt>
                <c:pt idx="15" formatCode="0.0">
                  <c:v>9.7630849467818308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21-4D98-AD29-C690E36F9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47936"/>
        <c:axId val="115849472"/>
      </c:lineChart>
      <c:catAx>
        <c:axId val="1158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849472"/>
        <c:crosses val="autoZero"/>
        <c:auto val="1"/>
        <c:lblAlgn val="ctr"/>
        <c:lblOffset val="100"/>
        <c:noMultiLvlLbl val="0"/>
      </c:catAx>
      <c:valAx>
        <c:axId val="115849472"/>
        <c:scaling>
          <c:orientation val="minMax"/>
          <c:max val="25"/>
          <c:min val="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%</a:t>
                </a:r>
              </a:p>
            </c:rich>
          </c:tx>
          <c:layout>
            <c:manualLayout>
              <c:xMode val="edge"/>
              <c:yMode val="edge"/>
              <c:x val="1.1574222605177848E-3"/>
              <c:y val="0.486631016042780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847936"/>
        <c:crosses val="autoZero"/>
        <c:crossBetween val="between"/>
        <c:majorUnit val="2.5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02202787892622E-2"/>
          <c:y val="6.2218783846510896E-2"/>
          <c:w val="0.87043969306208269"/>
          <c:h val="0.78359213987312393"/>
        </c:manualLayout>
      </c:layout>
      <c:lineChart>
        <c:grouping val="standard"/>
        <c:varyColors val="0"/>
        <c:ser>
          <c:idx val="0"/>
          <c:order val="0"/>
          <c:tx>
            <c:strRef>
              <c:f>'12'!$J$6</c:f>
              <c:strCache>
                <c:ptCount val="1"/>
                <c:pt idx="0">
                  <c:v>Venta distribuidoras</c:v>
                </c:pt>
              </c:strCache>
            </c:strRef>
          </c:tx>
          <c:spPr>
            <a:ln w="6350"/>
          </c:spPr>
          <c:marker>
            <c:symbol val="diamond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97-43F6-ABD6-0B408D28D6BE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'12'!$I$7:$I$22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'12'!$J$7:$J$22</c:f>
              <c:numCache>
                <c:formatCode>#\ ##0.0</c:formatCode>
                <c:ptCount val="16"/>
                <c:pt idx="0">
                  <c:v>8673.7080870000045</c:v>
                </c:pt>
                <c:pt idx="1">
                  <c:v>10763.269271000014</c:v>
                </c:pt>
                <c:pt idx="2">
                  <c:v>12914.287800222222</c:v>
                </c:pt>
                <c:pt idx="3">
                  <c:v>18195.325098000001</c:v>
                </c:pt>
                <c:pt idx="4">
                  <c:v>19753.040698251105</c:v>
                </c:pt>
                <c:pt idx="5">
                  <c:v>20947.295380999996</c:v>
                </c:pt>
                <c:pt idx="6">
                  <c:v>21938.578439285997</c:v>
                </c:pt>
                <c:pt idx="7">
                  <c:v>22779.996057397198</c:v>
                </c:pt>
                <c:pt idx="8">
                  <c:v>23494.038699999997</c:v>
                </c:pt>
                <c:pt idx="9">
                  <c:v>22886.332354000002</c:v>
                </c:pt>
                <c:pt idx="10">
                  <c:v>22399.543247369966</c:v>
                </c:pt>
                <c:pt idx="11">
                  <c:v>22073.874790390117</c:v>
                </c:pt>
                <c:pt idx="12">
                  <c:v>22355.024662000003</c:v>
                </c:pt>
                <c:pt idx="13">
                  <c:v>20893.361044550002</c:v>
                </c:pt>
                <c:pt idx="14">
                  <c:v>21959.303937619599</c:v>
                </c:pt>
                <c:pt idx="15">
                  <c:v>22653.61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03-4ACF-A261-76CDFA9117DA}"/>
            </c:ext>
          </c:extLst>
        </c:ser>
        <c:ser>
          <c:idx val="1"/>
          <c:order val="1"/>
          <c:tx>
            <c:strRef>
              <c:f>'12'!$K$6</c:f>
              <c:strCache>
                <c:ptCount val="1"/>
                <c:pt idx="0">
                  <c:v>Venta generadoras</c:v>
                </c:pt>
              </c:strCache>
            </c:strRef>
          </c:tx>
          <c:spPr>
            <a:ln w="6350"/>
          </c:spPr>
          <c:marker>
            <c:symbol val="triangle"/>
            <c:size val="3"/>
            <c:spPr>
              <a:solidFill>
                <a:srgbClr val="C00000"/>
              </a:solidFill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97-43F6-ABD6-0B408D28D6BE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'12'!$I$7:$I$22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'12'!$K$7:$K$22</c:f>
              <c:numCache>
                <c:formatCode>#\ ##0.0</c:formatCode>
                <c:ptCount val="16"/>
                <c:pt idx="0">
                  <c:v>1175.548041</c:v>
                </c:pt>
                <c:pt idx="1">
                  <c:v>4782.3261210000001</c:v>
                </c:pt>
                <c:pt idx="2">
                  <c:v>7787.095080000001</c:v>
                </c:pt>
                <c:pt idx="3">
                  <c:v>11240.850026</c:v>
                </c:pt>
                <c:pt idx="4">
                  <c:v>12067.310107000005</c:v>
                </c:pt>
                <c:pt idx="5">
                  <c:v>12700.890554</c:v>
                </c:pt>
                <c:pt idx="6">
                  <c:v>13674.172223</c:v>
                </c:pt>
                <c:pt idx="7">
                  <c:v>14545.805000799999</c:v>
                </c:pt>
                <c:pt idx="8">
                  <c:v>16280.711282799999</c:v>
                </c:pt>
                <c:pt idx="9">
                  <c:v>20480.666756700004</c:v>
                </c:pt>
                <c:pt idx="10">
                  <c:v>21823.709569899995</c:v>
                </c:pt>
                <c:pt idx="11">
                  <c:v>23793.913051799947</c:v>
                </c:pt>
                <c:pt idx="12">
                  <c:v>25065.713250000001</c:v>
                </c:pt>
                <c:pt idx="13">
                  <c:v>22857.708323600058</c:v>
                </c:pt>
                <c:pt idx="14">
                  <c:v>26094.440055399904</c:v>
                </c:pt>
                <c:pt idx="15">
                  <c:v>27779.469999999998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03-4ACF-A261-76CDFA9117DA}"/>
            </c:ext>
          </c:extLst>
        </c:ser>
        <c:ser>
          <c:idx val="2"/>
          <c:order val="2"/>
          <c:tx>
            <c:strRef>
              <c:f>'12'!$L$6</c:f>
              <c:strCache>
                <c:ptCount val="1"/>
                <c:pt idx="0">
                  <c:v>Generación para uso propio</c:v>
                </c:pt>
              </c:strCache>
            </c:strRef>
          </c:tx>
          <c:spPr>
            <a:ln w="6350"/>
          </c:spPr>
          <c:marker>
            <c:symbol val="circle"/>
            <c:size val="3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7-43F6-ABD6-0B408D28D6BE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'12'!$I$7:$I$22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'12'!$L$7:$L$22</c:f>
              <c:numCache>
                <c:formatCode>#\ ##0.0</c:formatCode>
                <c:ptCount val="16"/>
                <c:pt idx="0">
                  <c:v>3773.801504</c:v>
                </c:pt>
                <c:pt idx="1">
                  <c:v>1594.7996189999994</c:v>
                </c:pt>
                <c:pt idx="2">
                  <c:v>1698.8618702072531</c:v>
                </c:pt>
                <c:pt idx="3">
                  <c:v>2362.1921339999999</c:v>
                </c:pt>
                <c:pt idx="4">
                  <c:v>2557.9289537736718</c:v>
                </c:pt>
                <c:pt idx="5">
                  <c:v>2674.9537324079465</c:v>
                </c:pt>
                <c:pt idx="6">
                  <c:v>2665.5115413064063</c:v>
                </c:pt>
                <c:pt idx="7">
                  <c:v>2703.5718431337973</c:v>
                </c:pt>
                <c:pt idx="8">
                  <c:v>2559.0236383301703</c:v>
                </c:pt>
                <c:pt idx="9">
                  <c:v>2165.8930204205285</c:v>
                </c:pt>
                <c:pt idx="10">
                  <c:v>2355.1911354963022</c:v>
                </c:pt>
                <c:pt idx="11">
                  <c:v>2530.7625727270452</c:v>
                </c:pt>
                <c:pt idx="12">
                  <c:v>2519.9121636030145</c:v>
                </c:pt>
                <c:pt idx="13">
                  <c:v>2086.689326059829</c:v>
                </c:pt>
                <c:pt idx="14">
                  <c:v>1859.2599257616712</c:v>
                </c:pt>
                <c:pt idx="15">
                  <c:v>1898.1158772272756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03-4ACF-A261-76CDFA911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974144"/>
        <c:axId val="115975680"/>
      </c:lineChart>
      <c:catAx>
        <c:axId val="11597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975680"/>
        <c:crosses val="autoZero"/>
        <c:auto val="1"/>
        <c:lblAlgn val="ctr"/>
        <c:lblOffset val="100"/>
        <c:noMultiLvlLbl val="0"/>
      </c:catAx>
      <c:valAx>
        <c:axId val="115975680"/>
        <c:scaling>
          <c:orientation val="minMax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1.1574005540634846E-3"/>
              <c:y val="0.439470215070400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5974144"/>
        <c:crosses val="autoZero"/>
        <c:crossBetween val="between"/>
        <c:majorUnit val="4000"/>
        <c:minorUnit val="10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19844777634445"/>
          <c:y val="0.9256685749651864"/>
          <c:w val="0.76317973227314073"/>
          <c:h val="6.446671438797423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5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56937244648642E-2"/>
          <c:y val="4.7515840180994327E-2"/>
          <c:w val="0.8723118523332376"/>
          <c:h val="0.85025529939656508"/>
        </c:manualLayout>
      </c:layout>
      <c:areaChart>
        <c:grouping val="stacked"/>
        <c:varyColors val="0"/>
        <c:ser>
          <c:idx val="0"/>
          <c:order val="0"/>
          <c:tx>
            <c:strRef>
              <c:f>'13'!$K$6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numRef>
              <c:f>'13'!$J$7:$J$22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'13'!$K$7:$K$22</c:f>
              <c:numCache>
                <c:formatCode>#\ ##0.0</c:formatCode>
                <c:ptCount val="16"/>
                <c:pt idx="0">
                  <c:v>3963.76629</c:v>
                </c:pt>
                <c:pt idx="1">
                  <c:v>8375.0166531150007</c:v>
                </c:pt>
                <c:pt idx="2">
                  <c:v>11280.688346002735</c:v>
                </c:pt>
                <c:pt idx="3">
                  <c:v>16434.708415297537</c:v>
                </c:pt>
                <c:pt idx="4">
                  <c:v>17841.423398594416</c:v>
                </c:pt>
                <c:pt idx="5">
                  <c:v>18690.461999999996</c:v>
                </c:pt>
                <c:pt idx="6">
                  <c:v>19216.100910646099</c:v>
                </c:pt>
                <c:pt idx="7">
                  <c:v>20737.172222269885</c:v>
                </c:pt>
                <c:pt idx="8">
                  <c:v>22440.164448804302</c:v>
                </c:pt>
                <c:pt idx="9">
                  <c:v>25483.049576663041</c:v>
                </c:pt>
                <c:pt idx="10">
                  <c:v>26022.125011752891</c:v>
                </c:pt>
                <c:pt idx="11">
                  <c:v>27133.007183966703</c:v>
                </c:pt>
                <c:pt idx="12">
                  <c:v>28004.48880091</c:v>
                </c:pt>
                <c:pt idx="13">
                  <c:v>25333.041677940018</c:v>
                </c:pt>
                <c:pt idx="14">
                  <c:v>28970.630198329949</c:v>
                </c:pt>
                <c:pt idx="15">
                  <c:v>30643.1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82-44CE-92C7-AAF41A5F1A49}"/>
            </c:ext>
          </c:extLst>
        </c:ser>
        <c:ser>
          <c:idx val="1"/>
          <c:order val="1"/>
          <c:tx>
            <c:strRef>
              <c:f>'13'!$L$6</c:f>
              <c:strCache>
                <c:ptCount val="1"/>
                <c:pt idx="0">
                  <c:v>Comercial</c:v>
                </c:pt>
              </c:strCache>
            </c:strRef>
          </c:tx>
          <c:cat>
            <c:numRef>
              <c:f>'13'!$J$7:$J$22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'13'!$L$7:$L$22</c:f>
              <c:numCache>
                <c:formatCode>#\ ##0.0</c:formatCode>
                <c:ptCount val="16"/>
                <c:pt idx="0">
                  <c:v>2248.6685050000001</c:v>
                </c:pt>
                <c:pt idx="1">
                  <c:v>2693.3458028849996</c:v>
                </c:pt>
                <c:pt idx="2">
                  <c:v>3767.9322343479389</c:v>
                </c:pt>
                <c:pt idx="3">
                  <c:v>5205.8243711895484</c:v>
                </c:pt>
                <c:pt idx="4">
                  <c:v>5563.1179861174478</c:v>
                </c:pt>
                <c:pt idx="5">
                  <c:v>6061.7719999999999</c:v>
                </c:pt>
                <c:pt idx="6">
                  <c:v>6760.1032092000005</c:v>
                </c:pt>
                <c:pt idx="7">
                  <c:v>6802.8150635601469</c:v>
                </c:pt>
                <c:pt idx="8">
                  <c:v>7201.708533995672</c:v>
                </c:pt>
                <c:pt idx="9">
                  <c:v>7558.3953055872307</c:v>
                </c:pt>
                <c:pt idx="10">
                  <c:v>7624.0574832145912</c:v>
                </c:pt>
                <c:pt idx="11">
                  <c:v>7797.5141442171644</c:v>
                </c:pt>
                <c:pt idx="12">
                  <c:v>8122.9008766600236</c:v>
                </c:pt>
                <c:pt idx="13">
                  <c:v>7035.4279755799917</c:v>
                </c:pt>
                <c:pt idx="14">
                  <c:v>7388.229548409995</c:v>
                </c:pt>
                <c:pt idx="15">
                  <c:v>8015.8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82-44CE-92C7-AAF41A5F1A49}"/>
            </c:ext>
          </c:extLst>
        </c:ser>
        <c:ser>
          <c:idx val="2"/>
          <c:order val="2"/>
          <c:tx>
            <c:strRef>
              <c:f>'13'!$M$6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'13'!$J$7:$J$22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'13'!$M$7:$M$22</c:f>
              <c:numCache>
                <c:formatCode>_-* #\ ##0.0_-;\-* #\ ##0.0_-;_-* "-"??_-;_-@_-</c:formatCode>
                <c:ptCount val="16"/>
                <c:pt idx="0">
                  <c:v>3154.1445019999996</c:v>
                </c:pt>
                <c:pt idx="1">
                  <c:v>3936.241469000001</c:v>
                </c:pt>
                <c:pt idx="2">
                  <c:v>5020.7356088993256</c:v>
                </c:pt>
                <c:pt idx="3">
                  <c:v>7086.2453335129212</c:v>
                </c:pt>
                <c:pt idx="4">
                  <c:v>7663.0902881815</c:v>
                </c:pt>
                <c:pt idx="5">
                  <c:v>8110.4380000000001</c:v>
                </c:pt>
                <c:pt idx="6">
                  <c:v>8759.4197613635915</c:v>
                </c:pt>
                <c:pt idx="7">
                  <c:v>8920.5096610756154</c:v>
                </c:pt>
                <c:pt idx="8">
                  <c:v>9177.1515000000054</c:v>
                </c:pt>
                <c:pt idx="9">
                  <c:v>9360.7744521665827</c:v>
                </c:pt>
                <c:pt idx="10">
                  <c:v>9614.2816077233983</c:v>
                </c:pt>
                <c:pt idx="11">
                  <c:v>9904.6664415354062</c:v>
                </c:pt>
                <c:pt idx="12">
                  <c:v>10186.869619900006</c:v>
                </c:pt>
                <c:pt idx="13">
                  <c:v>10260.323185790006</c:v>
                </c:pt>
                <c:pt idx="14">
                  <c:v>10550.053065859998</c:v>
                </c:pt>
                <c:pt idx="15">
                  <c:v>10606.35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82-44CE-92C7-AAF41A5F1A49}"/>
            </c:ext>
          </c:extLst>
        </c:ser>
        <c:ser>
          <c:idx val="3"/>
          <c:order val="3"/>
          <c:tx>
            <c:strRef>
              <c:f>'13'!$N$6</c:f>
              <c:strCache>
                <c:ptCount val="1"/>
                <c:pt idx="0">
                  <c:v>Alumbrado Público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'13'!$J$7:$J$22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'13'!$N$7:$N$22</c:f>
              <c:numCache>
                <c:formatCode>_-* #\ ##0.00_-;\-* #\ ##0.00_-;_-* "-"??_-;_-@_-</c:formatCode>
                <c:ptCount val="16"/>
                <c:pt idx="0">
                  <c:v>482.67683</c:v>
                </c:pt>
                <c:pt idx="1">
                  <c:v>540.99195400000008</c:v>
                </c:pt>
                <c:pt idx="2">
                  <c:v>632.02669097222213</c:v>
                </c:pt>
                <c:pt idx="3">
                  <c:v>709.39700400000015</c:v>
                </c:pt>
                <c:pt idx="4">
                  <c:v>752.71913235773729</c:v>
                </c:pt>
                <c:pt idx="5">
                  <c:v>785.51400000000012</c:v>
                </c:pt>
                <c:pt idx="6">
                  <c:v>877.12678307631279</c:v>
                </c:pt>
                <c:pt idx="7">
                  <c:v>865.30411129276445</c:v>
                </c:pt>
                <c:pt idx="8">
                  <c:v>955.72550000000001</c:v>
                </c:pt>
                <c:pt idx="9">
                  <c:v>964.77977628310441</c:v>
                </c:pt>
                <c:pt idx="10">
                  <c:v>962.78871457919092</c:v>
                </c:pt>
                <c:pt idx="11">
                  <c:v>1032.6000724708028</c:v>
                </c:pt>
                <c:pt idx="12">
                  <c:v>1106.4786215099998</c:v>
                </c:pt>
                <c:pt idx="13">
                  <c:v>1122.276528840001</c:v>
                </c:pt>
                <c:pt idx="14">
                  <c:v>1144.83118042</c:v>
                </c:pt>
                <c:pt idx="15">
                  <c:v>1167.8399999999999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82-44CE-92C7-AAF41A5F1A49}"/>
            </c:ext>
          </c:extLst>
        </c:ser>
        <c:ser>
          <c:idx val="4"/>
          <c:order val="4"/>
          <c:tx>
            <c:strRef>
              <c:f>'13'!$O$6</c:f>
              <c:strCache>
                <c:ptCount val="1"/>
                <c:pt idx="0">
                  <c:v>Generación para uso propio</c:v>
                </c:pt>
              </c:strCache>
            </c:strRef>
          </c:tx>
          <c:spPr>
            <a:ln w="25400">
              <a:noFill/>
            </a:ln>
          </c:spPr>
          <c:cat>
            <c:numRef>
              <c:f>'13'!$J$7:$J$22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'13'!$O$7:$O$22</c:f>
              <c:numCache>
                <c:formatCode>_-* #\ ##0.00_-;\-* #\ ##0.00_-;_-* "-"??_-;_-@_-</c:formatCode>
                <c:ptCount val="16"/>
                <c:pt idx="0">
                  <c:v>3773.801504</c:v>
                </c:pt>
                <c:pt idx="1">
                  <c:v>1594.7996189999994</c:v>
                </c:pt>
                <c:pt idx="2">
                  <c:v>1698.8618702072531</c:v>
                </c:pt>
                <c:pt idx="3">
                  <c:v>2362.1921339999999</c:v>
                </c:pt>
                <c:pt idx="4">
                  <c:v>2557.9289537736718</c:v>
                </c:pt>
                <c:pt idx="5">
                  <c:v>2674.9537324079465</c:v>
                </c:pt>
                <c:pt idx="6">
                  <c:v>2665.5115413064063</c:v>
                </c:pt>
                <c:pt idx="7">
                  <c:v>2703.5718431337973</c:v>
                </c:pt>
                <c:pt idx="8">
                  <c:v>2559.0236383301703</c:v>
                </c:pt>
                <c:pt idx="9">
                  <c:v>2165.8930204205285</c:v>
                </c:pt>
                <c:pt idx="10">
                  <c:v>2355.1911354963022</c:v>
                </c:pt>
                <c:pt idx="11">
                  <c:v>2530.7625727270452</c:v>
                </c:pt>
                <c:pt idx="12">
                  <c:v>2519.9121636030145</c:v>
                </c:pt>
                <c:pt idx="13">
                  <c:v>2086.689326059829</c:v>
                </c:pt>
                <c:pt idx="14">
                  <c:v>1859.2599257616712</c:v>
                </c:pt>
                <c:pt idx="15">
                  <c:v>1898.1158772272756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82-44CE-92C7-AAF41A5F1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45152"/>
        <c:axId val="116151040"/>
      </c:areaChart>
      <c:catAx>
        <c:axId val="11614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615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15104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GWh</a:t>
                </a:r>
              </a:p>
            </c:rich>
          </c:tx>
          <c:layout>
            <c:manualLayout>
              <c:xMode val="edge"/>
              <c:yMode val="edge"/>
              <c:x val="6.2512115645567781E-4"/>
              <c:y val="0.413139374527336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6145152"/>
        <c:crosses val="autoZero"/>
        <c:crossBetween val="midCat"/>
        <c:majorUnit val="50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6092211122362103E-2"/>
          <c:y val="4.7986463164707158E-2"/>
          <c:w val="0.1974278455577668"/>
          <c:h val="0.2918952927494232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65000"/>
            </a:schemeClr>
          </a:solidFill>
        </a:ln>
      </c:spPr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bg1">
          <a:lumMod val="50000"/>
        </a:schemeClr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18657576339543"/>
          <c:y val="7.104103685099919E-2"/>
          <c:w val="0.85708217303629719"/>
          <c:h val="0.82588654791250016"/>
        </c:manualLayout>
      </c:layout>
      <c:areaChart>
        <c:grouping val="stacked"/>
        <c:varyColors val="0"/>
        <c:ser>
          <c:idx val="0"/>
          <c:order val="0"/>
          <c:tx>
            <c:strRef>
              <c:f>'14'!$K$7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numRef>
              <c:f>'14'!$J$8:$J$23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'14'!$K$8:$K$23</c:f>
              <c:numCache>
                <c:formatCode>#\ ##0.0</c:formatCode>
                <c:ptCount val="16"/>
                <c:pt idx="0">
                  <c:v>229035.54403785348</c:v>
                </c:pt>
                <c:pt idx="1">
                  <c:v>470947.31940472691</c:v>
                </c:pt>
                <c:pt idx="2">
                  <c:v>669716.05900215998</c:v>
                </c:pt>
                <c:pt idx="3">
                  <c:v>971594.08601682109</c:v>
                </c:pt>
                <c:pt idx="4">
                  <c:v>1196612.7704490384</c:v>
                </c:pt>
                <c:pt idx="5">
                  <c:v>1379656.1115939592</c:v>
                </c:pt>
                <c:pt idx="6">
                  <c:v>1441661.3270715484</c:v>
                </c:pt>
                <c:pt idx="7">
                  <c:v>1665455.8266893341</c:v>
                </c:pt>
                <c:pt idx="8">
                  <c:v>1728275.9472779993</c:v>
                </c:pt>
                <c:pt idx="9">
                  <c:v>1860291.9919229595</c:v>
                </c:pt>
                <c:pt idx="10">
                  <c:v>1797961.2811510558</c:v>
                </c:pt>
                <c:pt idx="11">
                  <c:v>1852333.4751519687</c:v>
                </c:pt>
                <c:pt idx="12">
                  <c:v>1887444.9591489658</c:v>
                </c:pt>
                <c:pt idx="13">
                  <c:v>1694734.0585575684</c:v>
                </c:pt>
                <c:pt idx="14">
                  <c:v>1846129.7332982924</c:v>
                </c:pt>
                <c:pt idx="15">
                  <c:v>2144134.38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B-4433-B013-96B63257A102}"/>
            </c:ext>
          </c:extLst>
        </c:ser>
        <c:ser>
          <c:idx val="1"/>
          <c:order val="1"/>
          <c:tx>
            <c:strRef>
              <c:f>'14'!$L$7</c:f>
              <c:strCache>
                <c:ptCount val="1"/>
                <c:pt idx="0">
                  <c:v>Comercial</c:v>
                </c:pt>
              </c:strCache>
            </c:strRef>
          </c:tx>
          <c:cat>
            <c:numRef>
              <c:f>'14'!$J$8:$J$23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'14'!$L$8:$L$23</c:f>
              <c:numCache>
                <c:formatCode>#\ ##0.0</c:formatCode>
                <c:ptCount val="16"/>
                <c:pt idx="0">
                  <c:v>200811.42160772084</c:v>
                </c:pt>
                <c:pt idx="1">
                  <c:v>197172.92008066195</c:v>
                </c:pt>
                <c:pt idx="2">
                  <c:v>300420.25850854366</c:v>
                </c:pt>
                <c:pt idx="3">
                  <c:v>526340.05433409393</c:v>
                </c:pt>
                <c:pt idx="4">
                  <c:v>568041.68320329254</c:v>
                </c:pt>
                <c:pt idx="5">
                  <c:v>665764.93903639342</c:v>
                </c:pt>
                <c:pt idx="6">
                  <c:v>737391.51220428827</c:v>
                </c:pt>
                <c:pt idx="7">
                  <c:v>836842.30774737417</c:v>
                </c:pt>
                <c:pt idx="8">
                  <c:v>883699.564714059</c:v>
                </c:pt>
                <c:pt idx="9">
                  <c:v>937495.5716511088</c:v>
                </c:pt>
                <c:pt idx="10">
                  <c:v>942448.21527397097</c:v>
                </c:pt>
                <c:pt idx="11">
                  <c:v>1004206.1397633412</c:v>
                </c:pt>
                <c:pt idx="12">
                  <c:v>1051965.5863518859</c:v>
                </c:pt>
                <c:pt idx="13">
                  <c:v>913791.57928267948</c:v>
                </c:pt>
                <c:pt idx="14">
                  <c:v>916913.38982809172</c:v>
                </c:pt>
                <c:pt idx="15">
                  <c:v>1112014.78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B-4433-B013-96B63257A102}"/>
            </c:ext>
          </c:extLst>
        </c:ser>
        <c:ser>
          <c:idx val="2"/>
          <c:order val="2"/>
          <c:tx>
            <c:strRef>
              <c:f>'14'!$M$7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'14'!$J$8:$J$23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'14'!$M$8:$M$23</c:f>
              <c:numCache>
                <c:formatCode>#\ ##0.0</c:formatCode>
                <c:ptCount val="16"/>
                <c:pt idx="0">
                  <c:v>355896.20422925544</c:v>
                </c:pt>
                <c:pt idx="1">
                  <c:v>396689.58182878082</c:v>
                </c:pt>
                <c:pt idx="2">
                  <c:v>544065.3677454039</c:v>
                </c:pt>
                <c:pt idx="3">
                  <c:v>864962.42369105283</c:v>
                </c:pt>
                <c:pt idx="4">
                  <c:v>999500.05360099196</c:v>
                </c:pt>
                <c:pt idx="5">
                  <c:v>1143905.3448795595</c:v>
                </c:pt>
                <c:pt idx="6">
                  <c:v>1241000.8431573522</c:v>
                </c:pt>
                <c:pt idx="7">
                  <c:v>1407774.9448299771</c:v>
                </c:pt>
                <c:pt idx="8">
                  <c:v>1428790.090000001</c:v>
                </c:pt>
                <c:pt idx="9">
                  <c:v>1504775.322915006</c:v>
                </c:pt>
                <c:pt idx="10">
                  <c:v>1586189.5239483404</c:v>
                </c:pt>
                <c:pt idx="11">
                  <c:v>1709828.2802331455</c:v>
                </c:pt>
                <c:pt idx="12">
                  <c:v>1802635.3668811198</c:v>
                </c:pt>
                <c:pt idx="13">
                  <c:v>1783084.6724198409</c:v>
                </c:pt>
                <c:pt idx="14">
                  <c:v>1831263.8846345069</c:v>
                </c:pt>
                <c:pt idx="15">
                  <c:v>2038562.73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BB-4433-B013-96B63257A102}"/>
            </c:ext>
          </c:extLst>
        </c:ser>
        <c:ser>
          <c:idx val="3"/>
          <c:order val="3"/>
          <c:tx>
            <c:strRef>
              <c:f>'14'!$N$7</c:f>
              <c:strCache>
                <c:ptCount val="1"/>
                <c:pt idx="0">
                  <c:v>Alumbrado Público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'14'!$J$8:$J$23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'14'!$N$8:$N$23</c:f>
              <c:numCache>
                <c:formatCode>#\ ##0.0</c:formatCode>
                <c:ptCount val="16"/>
                <c:pt idx="0">
                  <c:v>40932.831814912512</c:v>
                </c:pt>
                <c:pt idx="1">
                  <c:v>48259.678954052164</c:v>
                </c:pt>
                <c:pt idx="2">
                  <c:v>65007.585840271378</c:v>
                </c:pt>
                <c:pt idx="3">
                  <c:v>85638.464160990639</c:v>
                </c:pt>
                <c:pt idx="4">
                  <c:v>96237.048105473543</c:v>
                </c:pt>
                <c:pt idx="5">
                  <c:v>109799.10381710083</c:v>
                </c:pt>
                <c:pt idx="6">
                  <c:v>116294.17167812247</c:v>
                </c:pt>
                <c:pt idx="7">
                  <c:v>115116.20663604917</c:v>
                </c:pt>
                <c:pt idx="8">
                  <c:v>130645.79000000001</c:v>
                </c:pt>
                <c:pt idx="9">
                  <c:v>146893.56904509378</c:v>
                </c:pt>
                <c:pt idx="10">
                  <c:v>153099.14598403801</c:v>
                </c:pt>
                <c:pt idx="11">
                  <c:v>166188.19137482424</c:v>
                </c:pt>
                <c:pt idx="12">
                  <c:v>190663.32467361999</c:v>
                </c:pt>
                <c:pt idx="13">
                  <c:v>190436.09809923172</c:v>
                </c:pt>
                <c:pt idx="14">
                  <c:v>188659.1057418405</c:v>
                </c:pt>
                <c:pt idx="15">
                  <c:v>214755.58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BB-4433-B013-96B63257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29248"/>
        <c:axId val="116230784"/>
      </c:areaChart>
      <c:catAx>
        <c:axId val="1162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623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230784"/>
        <c:scaling>
          <c:orientation val="minMax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Miles US $</a:t>
                </a:r>
              </a:p>
            </c:rich>
          </c:tx>
          <c:layout>
            <c:manualLayout>
              <c:xMode val="edge"/>
              <c:yMode val="edge"/>
              <c:x val="6.2512115645567781E-4"/>
              <c:y val="0.413139374527336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6229248"/>
        <c:crosses val="autoZero"/>
        <c:crossBetween val="midCat"/>
        <c:majorUnit val="500000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370666890724027"/>
          <c:y val="7.5678943452380951E-2"/>
          <c:w val="0.14423118404635524"/>
          <c:h val="0.1937110035146869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65000"/>
            </a:schemeClr>
          </a:solidFill>
        </a:ln>
      </c:spPr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5714384820833E-2"/>
          <c:y val="5.4188487357177184E-2"/>
          <c:w val="0.89826480280273324"/>
          <c:h val="0.79162271522254779"/>
        </c:manualLayout>
      </c:layout>
      <c:lineChart>
        <c:grouping val="standard"/>
        <c:varyColors val="0"/>
        <c:ser>
          <c:idx val="0"/>
          <c:order val="0"/>
          <c:tx>
            <c:strRef>
              <c:f>'15'!$K$7</c:f>
              <c:strCache>
                <c:ptCount val="1"/>
                <c:pt idx="0">
                  <c:v>Industrial</c:v>
                </c:pt>
              </c:strCache>
            </c:strRef>
          </c:tx>
          <c:spPr>
            <a:ln w="6350"/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FB-4E1D-A823-CA1747842B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'15'!$I$8:$J$23</c:f>
              <c:strCache>
                <c:ptCount val="16"/>
                <c:pt idx="0">
                  <c:v>1 995</c:v>
                </c:pt>
                <c:pt idx="1">
                  <c:v>2 000</c:v>
                </c:pt>
                <c:pt idx="2">
                  <c:v>2 005</c:v>
                </c:pt>
                <c:pt idx="3">
                  <c:v>2 010</c:v>
                </c:pt>
                <c:pt idx="4">
                  <c:v>2 011</c:v>
                </c:pt>
                <c:pt idx="5">
                  <c:v>2 012</c:v>
                </c:pt>
                <c:pt idx="6">
                  <c:v>2 013</c:v>
                </c:pt>
                <c:pt idx="7">
                  <c:v>2 014</c:v>
                </c:pt>
                <c:pt idx="8">
                  <c:v>2 015</c:v>
                </c:pt>
                <c:pt idx="9">
                  <c:v>2 016</c:v>
                </c:pt>
                <c:pt idx="10">
                  <c:v>2 017</c:v>
                </c:pt>
                <c:pt idx="11">
                  <c:v>2 018</c:v>
                </c:pt>
                <c:pt idx="12">
                  <c:v>2 019</c:v>
                </c:pt>
                <c:pt idx="13">
                  <c:v>2 020</c:v>
                </c:pt>
                <c:pt idx="14">
                  <c:v>2 021</c:v>
                </c:pt>
                <c:pt idx="15">
                  <c:v>2 022</c:v>
                </c:pt>
              </c:strCache>
            </c:strRef>
          </c:cat>
          <c:val>
            <c:numRef>
              <c:f>'15'!$K$8:$K$23</c:f>
              <c:numCache>
                <c:formatCode>#\ ##0.0</c:formatCode>
                <c:ptCount val="16"/>
                <c:pt idx="0">
                  <c:v>5.7782302810253094</c:v>
                </c:pt>
                <c:pt idx="1">
                  <c:v>5.6232403935526856</c:v>
                </c:pt>
                <c:pt idx="2">
                  <c:v>5.9368368175818906</c:v>
                </c:pt>
                <c:pt idx="3">
                  <c:v>5.9118425557976728</c:v>
                </c:pt>
                <c:pt idx="4">
                  <c:v>6.7069355606644594</c:v>
                </c:pt>
                <c:pt idx="5">
                  <c:v>7.3816051823328888</c:v>
                </c:pt>
                <c:pt idx="6">
                  <c:v>7.5023613467435508</c:v>
                </c:pt>
                <c:pt idx="7">
                  <c:v>8.0312581138752481</c:v>
                </c:pt>
                <c:pt idx="8">
                  <c:v>7.7017080299074561</c:v>
                </c:pt>
                <c:pt idx="9">
                  <c:v>7.3001152641738161</c:v>
                </c:pt>
                <c:pt idx="10">
                  <c:v>6.9093560973172128</c:v>
                </c:pt>
                <c:pt idx="11">
                  <c:v>6.8268639100443682</c:v>
                </c:pt>
                <c:pt idx="12">
                  <c:v>6.7397943685643487</c:v>
                </c:pt>
                <c:pt idx="13">
                  <c:v>6.6898167227717495</c:v>
                </c:pt>
                <c:pt idx="14">
                  <c:v>6.3724182755427767</c:v>
                </c:pt>
                <c:pt idx="15">
                  <c:v>6.9971196778393834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063-47B7-9CA8-D4582CA3AACF}"/>
            </c:ext>
          </c:extLst>
        </c:ser>
        <c:ser>
          <c:idx val="1"/>
          <c:order val="1"/>
          <c:tx>
            <c:strRef>
              <c:f>'15'!$L$7</c:f>
              <c:strCache>
                <c:ptCount val="1"/>
                <c:pt idx="0">
                  <c:v>Comercial</c:v>
                </c:pt>
              </c:strCache>
            </c:strRef>
          </c:tx>
          <c:spPr>
            <a:ln w="6350"/>
          </c:spPr>
          <c:marker>
            <c:symbol val="star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15"/>
              <c:layout>
                <c:manualLayout>
                  <c:x val="-2.0892281809957822E-2"/>
                  <c:y val="-6.034696060648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FB-4E1D-A823-CA1747842B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'15'!$I$8:$J$23</c:f>
              <c:strCache>
                <c:ptCount val="16"/>
                <c:pt idx="0">
                  <c:v>1 995</c:v>
                </c:pt>
                <c:pt idx="1">
                  <c:v>2 000</c:v>
                </c:pt>
                <c:pt idx="2">
                  <c:v>2 005</c:v>
                </c:pt>
                <c:pt idx="3">
                  <c:v>2 010</c:v>
                </c:pt>
                <c:pt idx="4">
                  <c:v>2 011</c:v>
                </c:pt>
                <c:pt idx="5">
                  <c:v>2 012</c:v>
                </c:pt>
                <c:pt idx="6">
                  <c:v>2 013</c:v>
                </c:pt>
                <c:pt idx="7">
                  <c:v>2 014</c:v>
                </c:pt>
                <c:pt idx="8">
                  <c:v>2 015</c:v>
                </c:pt>
                <c:pt idx="9">
                  <c:v>2 016</c:v>
                </c:pt>
                <c:pt idx="10">
                  <c:v>2 017</c:v>
                </c:pt>
                <c:pt idx="11">
                  <c:v>2 018</c:v>
                </c:pt>
                <c:pt idx="12">
                  <c:v>2 019</c:v>
                </c:pt>
                <c:pt idx="13">
                  <c:v>2 020</c:v>
                </c:pt>
                <c:pt idx="14">
                  <c:v>2 021</c:v>
                </c:pt>
                <c:pt idx="15">
                  <c:v>2 022</c:v>
                </c:pt>
              </c:strCache>
            </c:strRef>
          </c:cat>
          <c:val>
            <c:numRef>
              <c:f>'15'!$L$8:$L$23</c:f>
              <c:numCache>
                <c:formatCode>#\ ##0.0</c:formatCode>
                <c:ptCount val="16"/>
                <c:pt idx="0">
                  <c:v>8.9302367672784584</c:v>
                </c:pt>
                <c:pt idx="1">
                  <c:v>7.3207428422098104</c:v>
                </c:pt>
                <c:pt idx="2">
                  <c:v>7.973080188915155</c:v>
                </c:pt>
                <c:pt idx="3">
                  <c:v>10.110599528616511</c:v>
                </c:pt>
                <c:pt idx="4">
                  <c:v>10.210850904489519</c:v>
                </c:pt>
                <c:pt idx="5">
                  <c:v>10.983008582909312</c:v>
                </c:pt>
                <c:pt idx="6">
                  <c:v>10.907991925341509</c:v>
                </c:pt>
                <c:pt idx="7">
                  <c:v>12.301411987957612</c:v>
                </c:pt>
                <c:pt idx="8">
                  <c:v>12.270693274277267</c:v>
                </c:pt>
                <c:pt idx="9">
                  <c:v>12.403367828064034</c:v>
                </c:pt>
                <c:pt idx="10">
                  <c:v>12.36150458399481</c:v>
                </c:pt>
                <c:pt idx="11">
                  <c:v>12.878542073669545</c:v>
                </c:pt>
                <c:pt idx="12">
                  <c:v>12.950614593544486</c:v>
                </c:pt>
                <c:pt idx="13">
                  <c:v>12.988429168125307</c:v>
                </c:pt>
                <c:pt idx="14">
                  <c:v>12.410461583796062</c:v>
                </c:pt>
                <c:pt idx="15">
                  <c:v>13.872785997654631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063-47B7-9CA8-D4582CA3AACF}"/>
            </c:ext>
          </c:extLst>
        </c:ser>
        <c:ser>
          <c:idx val="2"/>
          <c:order val="2"/>
          <c:tx>
            <c:strRef>
              <c:f>'15'!$M$7</c:f>
              <c:strCache>
                <c:ptCount val="1"/>
                <c:pt idx="0">
                  <c:v>Residencial</c:v>
                </c:pt>
              </c:strCache>
            </c:strRef>
          </c:tx>
          <c:spPr>
            <a:ln w="6350"/>
          </c:spPr>
          <c:marker>
            <c:symbol val="diamond"/>
            <c:size val="3"/>
          </c:marker>
          <c:dLbls>
            <c:dLbl>
              <c:idx val="15"/>
              <c:layout>
                <c:manualLayout>
                  <c:x val="-1.6125192438935555E-2"/>
                  <c:y val="-3.1502410740585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FB-4E1D-A823-CA1747842B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'15'!$I$8:$J$23</c:f>
              <c:strCache>
                <c:ptCount val="16"/>
                <c:pt idx="0">
                  <c:v>1 995</c:v>
                </c:pt>
                <c:pt idx="1">
                  <c:v>2 000</c:v>
                </c:pt>
                <c:pt idx="2">
                  <c:v>2 005</c:v>
                </c:pt>
                <c:pt idx="3">
                  <c:v>2 010</c:v>
                </c:pt>
                <c:pt idx="4">
                  <c:v>2 011</c:v>
                </c:pt>
                <c:pt idx="5">
                  <c:v>2 012</c:v>
                </c:pt>
                <c:pt idx="6">
                  <c:v>2 013</c:v>
                </c:pt>
                <c:pt idx="7">
                  <c:v>2 014</c:v>
                </c:pt>
                <c:pt idx="8">
                  <c:v>2 015</c:v>
                </c:pt>
                <c:pt idx="9">
                  <c:v>2 016</c:v>
                </c:pt>
                <c:pt idx="10">
                  <c:v>2 017</c:v>
                </c:pt>
                <c:pt idx="11">
                  <c:v>2 018</c:v>
                </c:pt>
                <c:pt idx="12">
                  <c:v>2 019</c:v>
                </c:pt>
                <c:pt idx="13">
                  <c:v>2 020</c:v>
                </c:pt>
                <c:pt idx="14">
                  <c:v>2 021</c:v>
                </c:pt>
                <c:pt idx="15">
                  <c:v>2 022</c:v>
                </c:pt>
              </c:strCache>
            </c:strRef>
          </c:cat>
          <c:val>
            <c:numRef>
              <c:f>'15'!$M$8:$M$23</c:f>
              <c:numCache>
                <c:formatCode>#\ ##0.0</c:formatCode>
                <c:ptCount val="16"/>
                <c:pt idx="0">
                  <c:v>11.283446398970833</c:v>
                </c:pt>
                <c:pt idx="1">
                  <c:v>10.077877207303533</c:v>
                </c:pt>
                <c:pt idx="2">
                  <c:v>10.83636761874177</c:v>
                </c:pt>
                <c:pt idx="3">
                  <c:v>12.206216169236948</c:v>
                </c:pt>
                <c:pt idx="4">
                  <c:v>13.043041593056575</c:v>
                </c:pt>
                <c:pt idx="5">
                  <c:v>14.1041130562808</c:v>
                </c:pt>
                <c:pt idx="6">
                  <c:v>14.167614716116352</c:v>
                </c:pt>
                <c:pt idx="7">
                  <c:v>15.78132862713845</c:v>
                </c:pt>
                <c:pt idx="8">
                  <c:v>15.568993167433273</c:v>
                </c:pt>
                <c:pt idx="9">
                  <c:v>16.075329350198377</c:v>
                </c:pt>
                <c:pt idx="10">
                  <c:v>16.498263611023354</c:v>
                </c:pt>
                <c:pt idx="11">
                  <c:v>17.262855749113854</c:v>
                </c:pt>
                <c:pt idx="12">
                  <c:v>17.695675257879806</c:v>
                </c:pt>
                <c:pt idx="13">
                  <c:v>17.378445494673276</c:v>
                </c:pt>
                <c:pt idx="14">
                  <c:v>17.357864204119331</c:v>
                </c:pt>
                <c:pt idx="15">
                  <c:v>19.220209874273429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63-47B7-9CA8-D4582CA3AACF}"/>
            </c:ext>
          </c:extLst>
        </c:ser>
        <c:ser>
          <c:idx val="3"/>
          <c:order val="3"/>
          <c:tx>
            <c:strRef>
              <c:f>'15'!$N$7</c:f>
              <c:strCache>
                <c:ptCount val="1"/>
                <c:pt idx="0">
                  <c:v>Alumbrado Público</c:v>
                </c:pt>
              </c:strCache>
            </c:strRef>
          </c:tx>
          <c:spPr>
            <a:ln w="6350"/>
          </c:spPr>
          <c:marker>
            <c:symbol val="triangle"/>
            <c:size val="3"/>
          </c:marker>
          <c:dLbls>
            <c:dLbl>
              <c:idx val="15"/>
              <c:layout>
                <c:manualLayout>
                  <c:x val="-3.5710317901185584E-3"/>
                  <c:y val="4.17406942312758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FB-4E1D-A823-CA1747842B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'15'!$I$8:$J$23</c:f>
              <c:strCache>
                <c:ptCount val="16"/>
                <c:pt idx="0">
                  <c:v>1 995</c:v>
                </c:pt>
                <c:pt idx="1">
                  <c:v>2 000</c:v>
                </c:pt>
                <c:pt idx="2">
                  <c:v>2 005</c:v>
                </c:pt>
                <c:pt idx="3">
                  <c:v>2 010</c:v>
                </c:pt>
                <c:pt idx="4">
                  <c:v>2 011</c:v>
                </c:pt>
                <c:pt idx="5">
                  <c:v>2 012</c:v>
                </c:pt>
                <c:pt idx="6">
                  <c:v>2 013</c:v>
                </c:pt>
                <c:pt idx="7">
                  <c:v>2 014</c:v>
                </c:pt>
                <c:pt idx="8">
                  <c:v>2 015</c:v>
                </c:pt>
                <c:pt idx="9">
                  <c:v>2 016</c:v>
                </c:pt>
                <c:pt idx="10">
                  <c:v>2 017</c:v>
                </c:pt>
                <c:pt idx="11">
                  <c:v>2 018</c:v>
                </c:pt>
                <c:pt idx="12">
                  <c:v>2 019</c:v>
                </c:pt>
                <c:pt idx="13">
                  <c:v>2 020</c:v>
                </c:pt>
                <c:pt idx="14">
                  <c:v>2 021</c:v>
                </c:pt>
                <c:pt idx="15">
                  <c:v>2 022</c:v>
                </c:pt>
              </c:strCache>
            </c:strRef>
          </c:cat>
          <c:val>
            <c:numRef>
              <c:f>'15'!$N$8:$N$23</c:f>
              <c:numCache>
                <c:formatCode>#\ ##0.0</c:formatCode>
                <c:ptCount val="16"/>
                <c:pt idx="0">
                  <c:v>8.4803805094420035</c:v>
                </c:pt>
                <c:pt idx="1">
                  <c:v>8.9205908881321658</c:v>
                </c:pt>
                <c:pt idx="2">
                  <c:v>10.285576031650297</c:v>
                </c:pt>
                <c:pt idx="3">
                  <c:v>12.072008153137142</c:v>
                </c:pt>
                <c:pt idx="4">
                  <c:v>12.785253352605887</c:v>
                </c:pt>
                <c:pt idx="5">
                  <c:v>13.977994512777723</c:v>
                </c:pt>
                <c:pt idx="6">
                  <c:v>13.258536157138929</c:v>
                </c:pt>
                <c:pt idx="7">
                  <c:v>13.303554800411794</c:v>
                </c:pt>
                <c:pt idx="8">
                  <c:v>13.669802678698016</c:v>
                </c:pt>
                <c:pt idx="9">
                  <c:v>15.225606159678602</c:v>
                </c:pt>
                <c:pt idx="10">
                  <c:v>15.901634872294233</c:v>
                </c:pt>
                <c:pt idx="11">
                  <c:v>16.094148722764423</c:v>
                </c:pt>
                <c:pt idx="12">
                  <c:v>17.231541664440272</c:v>
                </c:pt>
                <c:pt idx="13">
                  <c:v>16.968732144480366</c:v>
                </c:pt>
                <c:pt idx="14">
                  <c:v>16.479207499626959</c:v>
                </c:pt>
                <c:pt idx="15">
                  <c:v>18.389126935196604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063-47B7-9CA8-D4582CA3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16800"/>
        <c:axId val="117510528"/>
      </c:lineChart>
      <c:catAx>
        <c:axId val="1163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7510528"/>
        <c:crosses val="autoZero"/>
        <c:auto val="1"/>
        <c:lblAlgn val="ctr"/>
        <c:lblOffset val="100"/>
        <c:noMultiLvlLbl val="0"/>
      </c:catAx>
      <c:valAx>
        <c:axId val="117510528"/>
        <c:scaling>
          <c:orientation val="minMax"/>
          <c:max val="20"/>
          <c:min val="0"/>
        </c:scaling>
        <c:delete val="0"/>
        <c:axPos val="l"/>
        <c:majorGridlines>
          <c:spPr>
            <a:ln w="6350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Cent. US$/kW.h</a:t>
                </a:r>
              </a:p>
            </c:rich>
          </c:tx>
          <c:layout>
            <c:manualLayout>
              <c:xMode val="edge"/>
              <c:yMode val="edge"/>
              <c:x val="1.5845858396686084E-3"/>
              <c:y val="0.3451951072043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116316800"/>
        <c:crosses val="autoZero"/>
        <c:crossBetween val="between"/>
        <c:majorUnit val="2.5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1289369964183876"/>
          <c:y val="0.94141977892501127"/>
          <c:w val="0.76756127626030968"/>
          <c:h val="5.4011091355516044E-2"/>
        </c:manualLayout>
      </c:layout>
      <c:overlay val="0"/>
    </c:legend>
    <c:plotVisOnly val="1"/>
    <c:dispBlanksAs val="zero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60447921537904E-2"/>
          <c:y val="6.7621447260947209E-2"/>
          <c:w val="0.89501499006825713"/>
          <c:h val="0.7762686452820371"/>
        </c:manualLayout>
      </c:layout>
      <c:lineChart>
        <c:grouping val="standard"/>
        <c:varyColors val="0"/>
        <c:ser>
          <c:idx val="0"/>
          <c:order val="0"/>
          <c:tx>
            <c:strRef>
              <c:f>'2.1 P.I.'!$Z$5</c:f>
              <c:strCache>
                <c:ptCount val="1"/>
                <c:pt idx="0">
                  <c:v>Hidro</c:v>
                </c:pt>
              </c:strCache>
            </c:strRef>
          </c:tx>
          <c:spPr>
            <a:ln w="6350">
              <a:solidFill>
                <a:schemeClr val="accent1"/>
              </a:solidFill>
            </a:ln>
          </c:spPr>
          <c:marker>
            <c:symbol val="diamond"/>
            <c:size val="3"/>
            <c:spPr>
              <a:solidFill>
                <a:schemeClr val="accent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E-4C57-AAF5-515AE7B8003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E-4C57-AAF5-515AE7B8003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E-4C57-AAF5-515AE7B8003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E-4C57-AAF5-515AE7B80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E-4C57-AAF5-515AE7B8003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E-4C57-AAF5-515AE7B8003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6E-4C57-AAF5-515AE7B8003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E-4C57-AAF5-515AE7B8003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E-4C57-AAF5-515AE7B8003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6E-4C57-AAF5-515AE7B8003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6E-4C57-AAF5-515AE7B8003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6E-4C57-AAF5-515AE7B8003C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6E-4C57-AAF5-515AE7B8003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6E-4C57-AAF5-515AE7B8003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E-4C57-AAF5-515AE7B8003C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 P.I.'!$X$6:$X$21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'2.1 P.I.'!$Z$6:$Z$21</c:f>
              <c:numCache>
                <c:formatCode>#\ ##0.00</c:formatCode>
                <c:ptCount val="16"/>
                <c:pt idx="0">
                  <c:v>2479.4</c:v>
                </c:pt>
                <c:pt idx="1">
                  <c:v>2856.8250000000003</c:v>
                </c:pt>
                <c:pt idx="2">
                  <c:v>3207.0616000000005</c:v>
                </c:pt>
                <c:pt idx="3">
                  <c:v>3437.6019999999994</c:v>
                </c:pt>
                <c:pt idx="4">
                  <c:v>3450.9529999999986</c:v>
                </c:pt>
                <c:pt idx="5">
                  <c:v>3484.3239999999983</c:v>
                </c:pt>
                <c:pt idx="6">
                  <c:v>3556.1819999999998</c:v>
                </c:pt>
                <c:pt idx="7">
                  <c:v>3661.8649999999961</c:v>
                </c:pt>
                <c:pt idx="8">
                  <c:v>4151.8429999999962</c:v>
                </c:pt>
                <c:pt idx="9">
                  <c:v>5189.2449999999972</c:v>
                </c:pt>
                <c:pt idx="10">
                  <c:v>5245.930000000023</c:v>
                </c:pt>
                <c:pt idx="11">
                  <c:v>5363.3650000000007</c:v>
                </c:pt>
                <c:pt idx="12">
                  <c:v>5397.2050000000027</c:v>
                </c:pt>
                <c:pt idx="13">
                  <c:v>5416.5830000000033</c:v>
                </c:pt>
                <c:pt idx="14">
                  <c:v>5513.7740000000113</c:v>
                </c:pt>
                <c:pt idx="15">
                  <c:v>5514.3140000000039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BE-40D0-9A3E-E6BF570EAB96}"/>
            </c:ext>
          </c:extLst>
        </c:ser>
        <c:ser>
          <c:idx val="1"/>
          <c:order val="1"/>
          <c:tx>
            <c:strRef>
              <c:f>'2.1 P.I.'!$AA$5</c:f>
              <c:strCache>
                <c:ptCount val="1"/>
                <c:pt idx="0">
                  <c:v>Termo</c:v>
                </c:pt>
              </c:strCache>
            </c:strRef>
          </c:tx>
          <c:spPr>
            <a:ln w="6350">
              <a:solidFill>
                <a:srgbClr val="00B050"/>
              </a:solidFill>
            </a:ln>
            <a:effectLst/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6E-4C57-AAF5-515AE7B8003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E-4C57-AAF5-515AE7B8003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6E-4C57-AAF5-515AE7B8003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6E-4C57-AAF5-515AE7B80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6E-4C57-AAF5-515AE7B8003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6E-4C57-AAF5-515AE7B8003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6E-4C57-AAF5-515AE7B8003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6E-4C57-AAF5-515AE7B8003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6E-4C57-AAF5-515AE7B8003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6E-4C57-AAF5-515AE7B8003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6E-4C57-AAF5-515AE7B8003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6E-4C57-AAF5-515AE7B8003C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6E-4C57-AAF5-515AE7B8003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6E-4C57-AAF5-515AE7B8003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6E-4C57-AAF5-515AE7B8003C}"/>
                </c:ext>
              </c:extLst>
            </c:dLbl>
            <c:dLbl>
              <c:idx val="15"/>
              <c:layout>
                <c:manualLayout>
                  <c:x val="-2.9236073047029978E-2"/>
                  <c:y val="-5.519744331644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0C-40DE-AA71-83F72FB7525C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 P.I.'!$X$6:$X$21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'2.1 P.I.'!$AA$6:$AA$21</c:f>
              <c:numCache>
                <c:formatCode>#\ ##0.00</c:formatCode>
                <c:ptCount val="16"/>
                <c:pt idx="0">
                  <c:v>1982.3</c:v>
                </c:pt>
                <c:pt idx="1">
                  <c:v>3208.6640000000002</c:v>
                </c:pt>
                <c:pt idx="2">
                  <c:v>2992.7639999999992</c:v>
                </c:pt>
                <c:pt idx="3">
                  <c:v>5174.2549999999974</c:v>
                </c:pt>
                <c:pt idx="4">
                  <c:v>5239.6710000000003</c:v>
                </c:pt>
                <c:pt idx="5">
                  <c:v>6134.4110000000001</c:v>
                </c:pt>
                <c:pt idx="6">
                  <c:v>7413.8370000000023</c:v>
                </c:pt>
                <c:pt idx="7">
                  <c:v>7302.0540000000055</c:v>
                </c:pt>
                <c:pt idx="8">
                  <c:v>7700.9840000000049</c:v>
                </c:pt>
                <c:pt idx="9">
                  <c:v>8988.5200000000059</c:v>
                </c:pt>
                <c:pt idx="10">
                  <c:v>9004.407000000172</c:v>
                </c:pt>
                <c:pt idx="11">
                  <c:v>9124.4870000000083</c:v>
                </c:pt>
                <c:pt idx="12">
                  <c:v>9064.3510000000097</c:v>
                </c:pt>
                <c:pt idx="13">
                  <c:v>9072.3630000000085</c:v>
                </c:pt>
                <c:pt idx="14">
                  <c:v>9131.0349999999617</c:v>
                </c:pt>
                <c:pt idx="15">
                  <c:v>9419.6880000000074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BE-40D0-9A3E-E6BF570EAB96}"/>
            </c:ext>
          </c:extLst>
        </c:ser>
        <c:ser>
          <c:idx val="2"/>
          <c:order val="2"/>
          <c:tx>
            <c:strRef>
              <c:f>'2.1 P.I.'!$AB$5</c:f>
              <c:strCache>
                <c:ptCount val="1"/>
                <c:pt idx="0">
                  <c:v>Solar</c:v>
                </c:pt>
              </c:strCache>
            </c:strRef>
          </c:tx>
          <c:spPr>
            <a:ln w="6350">
              <a:solidFill>
                <a:srgbClr val="FFC000"/>
              </a:solidFill>
            </a:ln>
          </c:spPr>
          <c:marker>
            <c:symbol val="triangle"/>
            <c:size val="3"/>
            <c:spPr>
              <a:solidFill>
                <a:srgbClr val="FFC000"/>
              </a:solidFill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6E-4C57-AAF5-515AE7B8003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6E-4C57-AAF5-515AE7B8003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6E-4C57-AAF5-515AE7B8003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6E-4C57-AAF5-515AE7B80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6E-4C57-AAF5-515AE7B8003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6E-4C57-AAF5-515AE7B8003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6E-4C57-AAF5-515AE7B8003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6E-4C57-AAF5-515AE7B8003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6E-4C57-AAF5-515AE7B8003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6E-4C57-AAF5-515AE7B8003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6E-4C57-AAF5-515AE7B8003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6E-4C57-AAF5-515AE7B8003C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6E-4C57-AAF5-515AE7B8003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F6E-4C57-AAF5-515AE7B8003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F6E-4C57-AAF5-515AE7B8003C}"/>
                </c:ext>
              </c:extLst>
            </c:dLbl>
            <c:dLbl>
              <c:idx val="15"/>
              <c:layout>
                <c:manualLayout>
                  <c:x val="-6.8963298203636352E-3"/>
                  <c:y val="-3.71781811182705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F6E-4C57-AAF5-515AE7B8003C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 P.I.'!$X$6:$X$21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'2.1 P.I.'!$AB$6:$AB$21</c:f>
              <c:numCache>
                <c:formatCode>#\ 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80</c:v>
                </c:pt>
                <c:pt idx="7">
                  <c:v>96</c:v>
                </c:pt>
                <c:pt idx="8">
                  <c:v>96</c:v>
                </c:pt>
                <c:pt idx="9">
                  <c:v>100</c:v>
                </c:pt>
                <c:pt idx="10">
                  <c:v>244.48399999999998</c:v>
                </c:pt>
                <c:pt idx="11">
                  <c:v>284.48400000000004</c:v>
                </c:pt>
                <c:pt idx="12">
                  <c:v>289.03399999999999</c:v>
                </c:pt>
                <c:pt idx="13">
                  <c:v>289.03399999999999</c:v>
                </c:pt>
                <c:pt idx="14">
                  <c:v>286.51000000000022</c:v>
                </c:pt>
                <c:pt idx="15">
                  <c:v>286.51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BE-40D0-9A3E-E6BF570EAB96}"/>
            </c:ext>
          </c:extLst>
        </c:ser>
        <c:ser>
          <c:idx val="3"/>
          <c:order val="3"/>
          <c:tx>
            <c:strRef>
              <c:f>'2.1 P.I.'!$AC$5</c:f>
              <c:strCache>
                <c:ptCount val="1"/>
                <c:pt idx="0">
                  <c:v>Eólica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x"/>
            <c:size val="3"/>
            <c:spPr>
              <a:noFill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F6E-4C57-AAF5-515AE7B8003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F6E-4C57-AAF5-515AE7B8003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F6E-4C57-AAF5-515AE7B8003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F6E-4C57-AAF5-515AE7B8003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F6E-4C57-AAF5-515AE7B8003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F6E-4C57-AAF5-515AE7B8003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F6E-4C57-AAF5-515AE7B8003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F6E-4C57-AAF5-515AE7B8003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F6E-4C57-AAF5-515AE7B8003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F6E-4C57-AAF5-515AE7B8003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F6E-4C57-AAF5-515AE7B8003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F6E-4C57-AAF5-515AE7B8003C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F6E-4C57-AAF5-515AE7B8003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F6E-4C57-AAF5-515AE7B8003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F6E-4C57-AAF5-515AE7B8003C}"/>
                </c:ext>
              </c:extLst>
            </c:dLbl>
            <c:dLbl>
              <c:idx val="15"/>
              <c:layout>
                <c:manualLayout>
                  <c:x val="-2.2332005481268794E-2"/>
                  <c:y val="-4.208049399857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F6E-4C57-AAF5-515AE7B8003C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 P.I.'!$X$6:$X$21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'2.1 P.I.'!$AC$6:$AC$21</c:f>
              <c:numCache>
                <c:formatCode>#\ ##0.00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142.69999999999999</c:v>
                </c:pt>
                <c:pt idx="8">
                  <c:v>239.79999999999998</c:v>
                </c:pt>
                <c:pt idx="9">
                  <c:v>239.95</c:v>
                </c:pt>
                <c:pt idx="10">
                  <c:v>239.94999999999985</c:v>
                </c:pt>
                <c:pt idx="11">
                  <c:v>372.24999999999994</c:v>
                </c:pt>
                <c:pt idx="12">
                  <c:v>372.24999999999994</c:v>
                </c:pt>
                <c:pt idx="13">
                  <c:v>408.98999999999995</c:v>
                </c:pt>
                <c:pt idx="14">
                  <c:v>408.98999999999995</c:v>
                </c:pt>
                <c:pt idx="15">
                  <c:v>538.99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BE-40D0-9A3E-E6BF570EAB9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498112"/>
        <c:axId val="43504000"/>
      </c:lineChart>
      <c:catAx>
        <c:axId val="434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43504000"/>
        <c:crosses val="autoZero"/>
        <c:auto val="1"/>
        <c:lblAlgn val="ctr"/>
        <c:lblOffset val="100"/>
        <c:noMultiLvlLbl val="0"/>
      </c:catAx>
      <c:valAx>
        <c:axId val="43504000"/>
        <c:scaling>
          <c:orientation val="minMax"/>
        </c:scaling>
        <c:delete val="0"/>
        <c:axPos val="l"/>
        <c:majorGridlines>
          <c:spPr>
            <a:ln w="3175"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s-PE" sz="1000"/>
                  <a:t>MW</a:t>
                </a:r>
              </a:p>
            </c:rich>
          </c:tx>
          <c:layout>
            <c:manualLayout>
              <c:xMode val="edge"/>
              <c:yMode val="edge"/>
              <c:x val="6.9497994871436731E-3"/>
              <c:y val="0.4367310597026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 sz="1000"/>
            </a:pPr>
            <a:endParaRPr lang="es-PE"/>
          </a:p>
        </c:txPr>
        <c:crossAx val="43498112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3904830997911877"/>
          <c:y val="0.92888976403378198"/>
          <c:w val="0.52653779091196384"/>
          <c:h val="5.758565955498883E-2"/>
        </c:manualLayout>
      </c:layout>
      <c:overlay val="0"/>
      <c:txPr>
        <a:bodyPr/>
        <a:lstStyle/>
        <a:p>
          <a:pPr>
            <a:defRPr sz="1050"/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tx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41857506361328E-2"/>
          <c:y val="5.5202651515151517E-2"/>
          <c:w val="0.89688252756573372"/>
          <c:h val="0.77726136363636367"/>
        </c:manualLayout>
      </c:layout>
      <c:lineChart>
        <c:grouping val="standard"/>
        <c:varyColors val="0"/>
        <c:ser>
          <c:idx val="0"/>
          <c:order val="0"/>
          <c:tx>
            <c:strRef>
              <c:f>'2.2'!$W$5</c:f>
              <c:strCache>
                <c:ptCount val="1"/>
                <c:pt idx="0">
                  <c:v>SEIN</c:v>
                </c:pt>
              </c:strCache>
            </c:strRef>
          </c:tx>
          <c:spPr>
            <a:ln w="6350">
              <a:solidFill>
                <a:schemeClr val="accent6">
                  <a:lumMod val="50000"/>
                </a:schemeClr>
              </a:solidFill>
            </a:ln>
          </c:spPr>
          <c:marker>
            <c:symbol val="diamond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15"/>
              <c:layout>
                <c:manualLayout>
                  <c:x val="-3.5628604828319886E-2"/>
                  <c:y val="-4.1194850643669539E-2"/>
                </c:manualLayout>
              </c:layout>
              <c:numFmt formatCode="#\ ##0" sourceLinked="0"/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D2-49E1-982B-AC42A8D4078D}"/>
                </c:ext>
              </c:extLst>
            </c:dLbl>
            <c:numFmt formatCode="#\ 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'2.2'!$U$6:$U$21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'2.2'!$W$6:$W$21</c:f>
              <c:numCache>
                <c:formatCode>#\ ##0.00</c:formatCode>
                <c:ptCount val="16"/>
                <c:pt idx="0">
                  <c:v>3448.7250000000004</c:v>
                </c:pt>
                <c:pt idx="1">
                  <c:v>4933.616</c:v>
                </c:pt>
                <c:pt idx="2">
                  <c:v>5193.2016000000003</c:v>
                </c:pt>
                <c:pt idx="3">
                  <c:v>7331.1129999999994</c:v>
                </c:pt>
                <c:pt idx="4">
                  <c:v>7341.4400000000005</c:v>
                </c:pt>
                <c:pt idx="5">
                  <c:v>8292.0740000000005</c:v>
                </c:pt>
                <c:pt idx="6">
                  <c:v>9633.9229999999989</c:v>
                </c:pt>
                <c:pt idx="7">
                  <c:v>9707.58</c:v>
                </c:pt>
                <c:pt idx="8">
                  <c:v>10804.275000000001</c:v>
                </c:pt>
                <c:pt idx="9">
                  <c:v>13110.061000000002</c:v>
                </c:pt>
                <c:pt idx="10">
                  <c:v>13255.045</c:v>
                </c:pt>
                <c:pt idx="11">
                  <c:v>13678.227999999999</c:v>
                </c:pt>
                <c:pt idx="12">
                  <c:v>13684.232999999998</c:v>
                </c:pt>
                <c:pt idx="13">
                  <c:v>13756.596000000001</c:v>
                </c:pt>
                <c:pt idx="14">
                  <c:v>13864.60399999999</c:v>
                </c:pt>
                <c:pt idx="15">
                  <c:v>14258.180999999997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B7F-84EF-530B60711248}"/>
            </c:ext>
          </c:extLst>
        </c:ser>
        <c:ser>
          <c:idx val="1"/>
          <c:order val="1"/>
          <c:tx>
            <c:strRef>
              <c:f>'2.2'!$X$5</c:f>
              <c:strCache>
                <c:ptCount val="1"/>
                <c:pt idx="0">
                  <c:v>SA</c:v>
                </c:pt>
              </c:strCache>
            </c:strRef>
          </c:tx>
          <c:spPr>
            <a:ln w="6350">
              <a:solidFill>
                <a:srgbClr val="0000CC"/>
              </a:solidFill>
            </a:ln>
          </c:spPr>
          <c:marker>
            <c:symbol val="circle"/>
            <c:size val="3"/>
            <c:spPr>
              <a:solidFill>
                <a:srgbClr val="0000CC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D2-49E1-982B-AC42A8D4078D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'2.2'!$U$6:$U$21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'2.2'!$X$6:$X$21</c:f>
              <c:numCache>
                <c:formatCode>#\ ##0.00</c:formatCode>
                <c:ptCount val="16"/>
                <c:pt idx="0">
                  <c:v>1012.975</c:v>
                </c:pt>
                <c:pt idx="1">
                  <c:v>1132.5730000000001</c:v>
                </c:pt>
                <c:pt idx="2">
                  <c:v>1007.3239999999998</c:v>
                </c:pt>
                <c:pt idx="3">
                  <c:v>1281.4439999999997</c:v>
                </c:pt>
                <c:pt idx="4">
                  <c:v>1349.884</c:v>
                </c:pt>
                <c:pt idx="5">
                  <c:v>1407.3609999999999</c:v>
                </c:pt>
                <c:pt idx="6">
                  <c:v>1416.7959999999998</c:v>
                </c:pt>
                <c:pt idx="7">
                  <c:v>1495.0389999999998</c:v>
                </c:pt>
                <c:pt idx="8">
                  <c:v>1384.3519999999985</c:v>
                </c:pt>
                <c:pt idx="9">
                  <c:v>1407.654</c:v>
                </c:pt>
                <c:pt idx="10">
                  <c:v>1479.7260000000012</c:v>
                </c:pt>
                <c:pt idx="11">
                  <c:v>1466.3580000000004</c:v>
                </c:pt>
                <c:pt idx="12">
                  <c:v>1438.6069999999995</c:v>
                </c:pt>
                <c:pt idx="13">
                  <c:v>1430.3740000000014</c:v>
                </c:pt>
                <c:pt idx="14">
                  <c:v>1475.7050000000063</c:v>
                </c:pt>
                <c:pt idx="15">
                  <c:v>1501.3209999999995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B7F-84EF-530B60711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7344"/>
        <c:axId val="45578880"/>
      </c:lineChart>
      <c:catAx>
        <c:axId val="455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5578880"/>
        <c:crosses val="autoZero"/>
        <c:auto val="1"/>
        <c:lblAlgn val="ctr"/>
        <c:lblOffset val="100"/>
        <c:noMultiLvlLbl val="0"/>
      </c:catAx>
      <c:valAx>
        <c:axId val="45578880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5.5214164546225622E-3"/>
              <c:y val="0.39555681818181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5577344"/>
        <c:crosses val="autoZero"/>
        <c:crossBetween val="between"/>
      </c:valAx>
      <c:spPr>
        <a:solidFill>
          <a:schemeClr val="lt1"/>
        </a:solidFill>
        <a:ln w="3175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9915118744698891"/>
          <c:y val="0.92748863636363632"/>
          <c:w val="0.20169762510602204"/>
          <c:h val="5.6476010101010103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05301102629349E-2"/>
          <c:y val="6.0046717171717182E-2"/>
          <c:w val="0.84920398642917716"/>
          <c:h val="0.78021717171717175"/>
        </c:manualLayout>
      </c:layout>
      <c:lineChart>
        <c:grouping val="standard"/>
        <c:varyColors val="0"/>
        <c:ser>
          <c:idx val="0"/>
          <c:order val="0"/>
          <c:tx>
            <c:v>SEIN</c:v>
          </c:tx>
          <c:spPr>
            <a:ln w="6350" cap="flat" cmpd="sng" algn="ctr">
              <a:solidFill>
                <a:schemeClr val="accent6">
                  <a:lumMod val="50000"/>
                </a:schemeClr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dLbl>
              <c:idx val="15"/>
              <c:layout>
                <c:manualLayout>
                  <c:x val="-4.1141645462256245E-2"/>
                  <c:y val="-6.5444444444444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B-4858-A6D0-F5C89285A572}"/>
                </c:ext>
              </c:extLst>
            </c:dLbl>
            <c:dLbl>
              <c:idx val="23"/>
              <c:layout>
                <c:manualLayout>
                  <c:x val="-3.4547465116117761E-2"/>
                  <c:y val="-5.0350191334964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E8-4D4F-B78F-603E2238FCDF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'2.3 y 2.4'!$Q$41:$Q$56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'2.3 y 2.4'!$R$41:$R$56</c:f>
              <c:numCache>
                <c:formatCode>#\ ##0.0</c:formatCode>
                <c:ptCount val="16"/>
                <c:pt idx="0">
                  <c:v>2838.6350000000002</c:v>
                </c:pt>
                <c:pt idx="1">
                  <c:v>4789.9960000000001</c:v>
                </c:pt>
                <c:pt idx="2">
                  <c:v>5014.1686</c:v>
                </c:pt>
                <c:pt idx="3">
                  <c:v>7131.0879999999997</c:v>
                </c:pt>
                <c:pt idx="4">
                  <c:v>7142.3890000000001</c:v>
                </c:pt>
                <c:pt idx="5">
                  <c:v>8096.2529999999997</c:v>
                </c:pt>
                <c:pt idx="6">
                  <c:v>9441.601999999999</c:v>
                </c:pt>
                <c:pt idx="7">
                  <c:v>9517.3529999999992</c:v>
                </c:pt>
                <c:pt idx="8">
                  <c:v>10474.068000000001</c:v>
                </c:pt>
                <c:pt idx="9">
                  <c:v>12780.754000000001</c:v>
                </c:pt>
                <c:pt idx="10">
                  <c:v>12992.269</c:v>
                </c:pt>
                <c:pt idx="11">
                  <c:v>13415.451999999999</c:v>
                </c:pt>
                <c:pt idx="12">
                  <c:v>13419.045999999998</c:v>
                </c:pt>
                <c:pt idx="13">
                  <c:v>13491.409000000001</c:v>
                </c:pt>
                <c:pt idx="14">
                  <c:v>13620.116999999989</c:v>
                </c:pt>
                <c:pt idx="15">
                  <c:v>14005.613999999998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57-47C2-8E9B-4B417A2F6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4512"/>
        <c:axId val="46226048"/>
      </c:lineChart>
      <c:lineChart>
        <c:grouping val="standard"/>
        <c:varyColors val="0"/>
        <c:ser>
          <c:idx val="1"/>
          <c:order val="1"/>
          <c:tx>
            <c:v>SA</c:v>
          </c:tx>
          <c:spPr>
            <a:ln w="6350">
              <a:solidFill>
                <a:srgbClr val="0000CC"/>
              </a:solidFill>
            </a:ln>
          </c:spPr>
          <c:marker>
            <c:symbol val="triangle"/>
            <c:size val="3"/>
            <c:spPr>
              <a:solidFill>
                <a:srgbClr val="0000CC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15"/>
              <c:layout>
                <c:manualLayout>
                  <c:x val="-3.5648006785411461E-2"/>
                  <c:y val="-5.74267676767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B-4858-A6D0-F5C89285A572}"/>
                </c:ext>
              </c:extLst>
            </c:dLbl>
            <c:dLbl>
              <c:idx val="23"/>
              <c:layout>
                <c:manualLayout>
                  <c:x val="-2.1716063215023299E-2"/>
                  <c:y val="-3.7331417990441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E8-4D4F-B78F-603E2238FCDF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'2.3 y 2.4'!$Q$41:$Q$56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'2.3 y 2.4'!$S$41:$S$56</c:f>
              <c:numCache>
                <c:formatCode>#\ ##0.0</c:formatCode>
                <c:ptCount val="16"/>
                <c:pt idx="0">
                  <c:v>347.06500000000005</c:v>
                </c:pt>
                <c:pt idx="1">
                  <c:v>358.85500000000002</c:v>
                </c:pt>
                <c:pt idx="2">
                  <c:v>206.46499999999986</c:v>
                </c:pt>
                <c:pt idx="3">
                  <c:v>178.07799999999995</c:v>
                </c:pt>
                <c:pt idx="4">
                  <c:v>171.84800000000001</c:v>
                </c:pt>
                <c:pt idx="5">
                  <c:v>170.91800000000001</c:v>
                </c:pt>
                <c:pt idx="6">
                  <c:v>193.02899999999994</c:v>
                </c:pt>
                <c:pt idx="7">
                  <c:v>221.89499999999992</c:v>
                </c:pt>
                <c:pt idx="8">
                  <c:v>243.64500000000007</c:v>
                </c:pt>
                <c:pt idx="9">
                  <c:v>263.71999999999991</c:v>
                </c:pt>
                <c:pt idx="10">
                  <c:v>246.49299999999977</c:v>
                </c:pt>
                <c:pt idx="11">
                  <c:v>234.47799999999995</c:v>
                </c:pt>
                <c:pt idx="12">
                  <c:v>231.14899999999994</c:v>
                </c:pt>
                <c:pt idx="13">
                  <c:v>232.63899999999995</c:v>
                </c:pt>
                <c:pt idx="14">
                  <c:v>240.83799999999968</c:v>
                </c:pt>
                <c:pt idx="15">
                  <c:v>242.86399999999998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8E8-4D4F-B78F-603E2238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0144"/>
        <c:axId val="46228224"/>
      </c:lineChart>
      <c:catAx>
        <c:axId val="4622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6226048"/>
        <c:crosses val="autoZero"/>
        <c:auto val="1"/>
        <c:lblAlgn val="ctr"/>
        <c:lblOffset val="100"/>
        <c:noMultiLvlLbl val="0"/>
      </c:catAx>
      <c:valAx>
        <c:axId val="46226048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 (sistema SEIN)</a:t>
                </a:r>
              </a:p>
            </c:rich>
          </c:tx>
          <c:layout>
            <c:manualLayout>
              <c:xMode val="edge"/>
              <c:yMode val="edge"/>
              <c:x val="5.0229007633587801E-3"/>
              <c:y val="0.304553661616161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6224512"/>
        <c:crosses val="autoZero"/>
        <c:crossBetween val="between"/>
      </c:valAx>
      <c:valAx>
        <c:axId val="46228224"/>
        <c:scaling>
          <c:orientation val="minMax"/>
          <c:max val="2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MW (sistema  aislado)</a:t>
                </a:r>
              </a:p>
            </c:rich>
          </c:tx>
          <c:layout>
            <c:manualLayout>
              <c:xMode val="edge"/>
              <c:yMode val="edge"/>
              <c:x val="0.97139885496183187"/>
              <c:y val="0.2770334595959596"/>
            </c:manualLayout>
          </c:layout>
          <c:overlay val="0"/>
        </c:title>
        <c:numFmt formatCode="#\ ##0" sourceLinked="0"/>
        <c:majorTickMark val="out"/>
        <c:minorTickMark val="none"/>
        <c:tickLblPos val="nextTo"/>
        <c:spPr>
          <a:ln w="6350"/>
        </c:spPr>
        <c:crossAx val="46230144"/>
        <c:crosses val="max"/>
        <c:crossBetween val="between"/>
      </c:valAx>
      <c:catAx>
        <c:axId val="4623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282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010345631891434"/>
          <c:y val="0.9235441919191919"/>
          <c:w val="0.40226929601357092"/>
          <c:h val="7.6455945984912038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27268871925354E-2"/>
          <c:y val="6.6985479797979808E-2"/>
          <c:w val="0.90816772688719249"/>
          <c:h val="0.75003598484848466"/>
        </c:manualLayout>
      </c:layout>
      <c:lineChart>
        <c:grouping val="standard"/>
        <c:varyColors val="0"/>
        <c:ser>
          <c:idx val="0"/>
          <c:order val="0"/>
          <c:tx>
            <c:v>SEIN</c:v>
          </c:tx>
          <c:spPr>
            <a:ln w="6350">
              <a:solidFill>
                <a:schemeClr val="accent6">
                  <a:lumMod val="50000"/>
                </a:schemeClr>
              </a:solidFill>
            </a:ln>
          </c:spPr>
          <c:marker>
            <c:symbol val="diamond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dLbls>
            <c:dLbl>
              <c:idx val="15"/>
              <c:layout>
                <c:manualLayout>
                  <c:x val="-2.6101993214588635E-2"/>
                  <c:y val="-5.3417929292929295E-2"/>
                </c:manualLayout>
              </c:layout>
              <c:numFmt formatCode="#\ 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D1-4314-878E-BBD6AE11C248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A5-40BF-A999-81D1D42138E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'2.3 y 2.4'!$M$103:$M$118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'2.3 y 2.4'!$N$103:$N$118</c:f>
              <c:numCache>
                <c:formatCode>#\ ##0.0</c:formatCode>
                <c:ptCount val="16"/>
                <c:pt idx="0">
                  <c:v>610.09</c:v>
                </c:pt>
                <c:pt idx="1">
                  <c:v>143.62</c:v>
                </c:pt>
                <c:pt idx="2">
                  <c:v>179.03300000000002</c:v>
                </c:pt>
                <c:pt idx="3">
                  <c:v>200.02500000000001</c:v>
                </c:pt>
                <c:pt idx="4">
                  <c:v>199.05100000000002</c:v>
                </c:pt>
                <c:pt idx="5">
                  <c:v>195.82100000000003</c:v>
                </c:pt>
                <c:pt idx="6">
                  <c:v>192.32100000000003</c:v>
                </c:pt>
                <c:pt idx="7">
                  <c:v>190.227</c:v>
                </c:pt>
                <c:pt idx="8">
                  <c:v>330.20699999999999</c:v>
                </c:pt>
                <c:pt idx="9">
                  <c:v>329.30699999999996</c:v>
                </c:pt>
                <c:pt idx="10">
                  <c:v>262.77600000000001</c:v>
                </c:pt>
                <c:pt idx="11">
                  <c:v>262.77600000000001</c:v>
                </c:pt>
                <c:pt idx="12">
                  <c:v>265.18700000000001</c:v>
                </c:pt>
                <c:pt idx="13">
                  <c:v>265.18700000000001</c:v>
                </c:pt>
                <c:pt idx="14">
                  <c:v>244.48700000000014</c:v>
                </c:pt>
                <c:pt idx="15">
                  <c:v>252.56700000000001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4A-44F5-8C9D-5EFFA9302C1F}"/>
            </c:ext>
          </c:extLst>
        </c:ser>
        <c:ser>
          <c:idx val="1"/>
          <c:order val="1"/>
          <c:tx>
            <c:v>SA</c:v>
          </c:tx>
          <c:spPr>
            <a:ln w="6350">
              <a:solidFill>
                <a:srgbClr val="0000CC"/>
              </a:solidFill>
            </a:ln>
          </c:spPr>
          <c:marker>
            <c:symbol val="triangle"/>
            <c:size val="3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dLbls>
            <c:dLbl>
              <c:idx val="15"/>
              <c:layout>
                <c:manualLayout>
                  <c:x val="-2.2008693808312128E-2"/>
                  <c:y val="-4.5300505050505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2553011026293471E-2"/>
                      <c:h val="0.13088888888888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3D1-4314-878E-BBD6AE11C248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A5-40BF-A999-81D1D42138E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'2.3 y 2.4'!$M$103:$M$118</c:f>
              <c:numCache>
                <c:formatCode>General</c:formatCode>
                <c:ptCount val="16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'2.3 y 2.4'!$O$103:$O$118</c:f>
              <c:numCache>
                <c:formatCode>#\ ##0.0</c:formatCode>
                <c:ptCount val="16"/>
                <c:pt idx="0">
                  <c:v>665.91</c:v>
                </c:pt>
                <c:pt idx="1">
                  <c:v>773.71800000000007</c:v>
                </c:pt>
                <c:pt idx="2">
                  <c:v>800.85899999999992</c:v>
                </c:pt>
                <c:pt idx="3">
                  <c:v>1103.3659999999998</c:v>
                </c:pt>
                <c:pt idx="4">
                  <c:v>1178.0360000000001</c:v>
                </c:pt>
                <c:pt idx="5">
                  <c:v>1236.443</c:v>
                </c:pt>
                <c:pt idx="6">
                  <c:v>1223.7669999999998</c:v>
                </c:pt>
                <c:pt idx="7">
                  <c:v>1273.1439999999998</c:v>
                </c:pt>
                <c:pt idx="8">
                  <c:v>1140.7069999999999</c:v>
                </c:pt>
                <c:pt idx="9">
                  <c:v>1143.9339999999997</c:v>
                </c:pt>
                <c:pt idx="10">
                  <c:v>1233.2329999999999</c:v>
                </c:pt>
                <c:pt idx="11">
                  <c:v>1231.8800000000001</c:v>
                </c:pt>
                <c:pt idx="12">
                  <c:v>1207.46</c:v>
                </c:pt>
                <c:pt idx="13">
                  <c:v>1197.7349999999997</c:v>
                </c:pt>
                <c:pt idx="14">
                  <c:v>1234.8670000000034</c:v>
                </c:pt>
                <c:pt idx="15">
                  <c:v>1258.456999999999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A5-40BF-A999-81D1D4213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47296"/>
        <c:axId val="46261376"/>
      </c:lineChart>
      <c:catAx>
        <c:axId val="462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6261376"/>
        <c:crosses val="autoZero"/>
        <c:auto val="1"/>
        <c:lblAlgn val="ctr"/>
        <c:lblOffset val="100"/>
        <c:noMultiLvlLbl val="0"/>
      </c:catAx>
      <c:valAx>
        <c:axId val="46261376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4.5334433045153451E-3"/>
              <c:y val="0.415152619811412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6247296"/>
        <c:crosses val="autoZero"/>
        <c:crossBetween val="between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4342524215543258"/>
          <c:y val="0.92240247366339467"/>
          <c:w val="0.28647132029844585"/>
          <c:h val="7.7597530619724811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56105782464863E-2"/>
          <c:y val="6.8747935601419244E-2"/>
          <c:w val="0.86576459709335585"/>
          <c:h val="0.76916916170323091"/>
        </c:manualLayout>
      </c:layout>
      <c:lineChart>
        <c:grouping val="standard"/>
        <c:varyColors val="0"/>
        <c:ser>
          <c:idx val="0"/>
          <c:order val="0"/>
          <c:tx>
            <c:strRef>
              <c:f>'2.5'!$J$24</c:f>
              <c:strCache>
                <c:ptCount val="1"/>
                <c:pt idx="0">
                  <c:v>RER-Hidro</c:v>
                </c:pt>
              </c:strCache>
            </c:strRef>
          </c:tx>
          <c:spPr>
            <a:ln w="6350"/>
          </c:spPr>
          <c:marker>
            <c:symbol val="diamond"/>
            <c:size val="3"/>
            <c:spPr>
              <a:ln w="3175"/>
            </c:spPr>
          </c:marker>
          <c:dPt>
            <c:idx val="0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BE-47DF-9689-2BB85FA9D242}"/>
              </c:ext>
            </c:extLst>
          </c:dPt>
          <c:dPt>
            <c:idx val="1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BE-47DF-9689-2BB85FA9D242}"/>
              </c:ext>
            </c:extLst>
          </c:dPt>
          <c:dPt>
            <c:idx val="2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BE-47DF-9689-2BB85FA9D242}"/>
              </c:ext>
            </c:extLst>
          </c:dPt>
          <c:dPt>
            <c:idx val="3"/>
            <c:bubble3D val="0"/>
            <c:spPr>
              <a:ln w="6350"/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BE-47DF-9689-2BB85FA9D242}"/>
              </c:ext>
            </c:extLst>
          </c:dPt>
          <c:dLbls>
            <c:dLbl>
              <c:idx val="14"/>
              <c:layout>
                <c:manualLayout>
                  <c:x val="-3.1608566581849219E-2"/>
                  <c:y val="-6.143560606060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B1-4F16-8F5D-3954A3294A93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'2.5'!$I$41:$I$55</c:f>
              <c:numCache>
                <c:formatCode>General</c:formatCode>
                <c:ptCount val="15"/>
                <c:pt idx="0">
                  <c:v>1995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'2.5'!$K$41:$K$55</c:f>
              <c:numCache>
                <c:formatCode>General</c:formatCode>
                <c:ptCount val="15"/>
                <c:pt idx="0">
                  <c:v>0</c:v>
                </c:pt>
                <c:pt idx="1">
                  <c:v>15.55</c:v>
                </c:pt>
                <c:pt idx="2">
                  <c:v>62.075999999999993</c:v>
                </c:pt>
                <c:pt idx="3">
                  <c:v>76.475999999999985</c:v>
                </c:pt>
                <c:pt idx="4">
                  <c:v>110.44600000000001</c:v>
                </c:pt>
                <c:pt idx="5">
                  <c:v>150.774</c:v>
                </c:pt>
                <c:pt idx="6">
                  <c:v>200.87100000000004</c:v>
                </c:pt>
                <c:pt idx="7">
                  <c:v>200.87100000000004</c:v>
                </c:pt>
                <c:pt idx="8">
                  <c:v>239.37900000000002</c:v>
                </c:pt>
                <c:pt idx="9">
                  <c:v>265.61700000000002</c:v>
                </c:pt>
                <c:pt idx="10">
                  <c:v>377.21699999999993</c:v>
                </c:pt>
                <c:pt idx="11">
                  <c:v>411.06699999999995</c:v>
                </c:pt>
                <c:pt idx="12">
                  <c:v>420.06899999999996</c:v>
                </c:pt>
                <c:pt idx="13">
                  <c:v>430.88299999999992</c:v>
                </c:pt>
                <c:pt idx="14">
                  <c:v>430.88299999999992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0BE-47DF-9689-2BB85FA9D242}"/>
            </c:ext>
          </c:extLst>
        </c:ser>
        <c:ser>
          <c:idx val="1"/>
          <c:order val="1"/>
          <c:tx>
            <c:strRef>
              <c:f>'2.5'!$K$24</c:f>
              <c:strCache>
                <c:ptCount val="1"/>
                <c:pt idx="0">
                  <c:v>Biomasa</c:v>
                </c:pt>
              </c:strCache>
            </c:strRef>
          </c:tx>
          <c:spPr>
            <a:ln w="6350"/>
          </c:spPr>
          <c:marker>
            <c:symbol val="circle"/>
            <c:size val="3"/>
          </c:marker>
          <c:dLbls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B1-4F16-8F5D-3954A3294A93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'2.5'!$I$41:$I$55</c:f>
              <c:numCache>
                <c:formatCode>General</c:formatCode>
                <c:ptCount val="15"/>
                <c:pt idx="0">
                  <c:v>1995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'2.5'!$L$41:$L$55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23</c:v>
                </c:pt>
                <c:pt idx="3">
                  <c:v>28.05</c:v>
                </c:pt>
                <c:pt idx="4">
                  <c:v>65.55</c:v>
                </c:pt>
                <c:pt idx="5">
                  <c:v>77.55</c:v>
                </c:pt>
                <c:pt idx="6">
                  <c:v>77.55</c:v>
                </c:pt>
                <c:pt idx="7">
                  <c:v>80.75</c:v>
                </c:pt>
                <c:pt idx="8">
                  <c:v>82.5</c:v>
                </c:pt>
                <c:pt idx="9">
                  <c:v>82.5</c:v>
                </c:pt>
                <c:pt idx="10">
                  <c:v>84.9</c:v>
                </c:pt>
                <c:pt idx="11">
                  <c:v>106.61000000000001</c:v>
                </c:pt>
                <c:pt idx="12">
                  <c:v>109.01</c:v>
                </c:pt>
                <c:pt idx="13">
                  <c:v>109.01</c:v>
                </c:pt>
                <c:pt idx="14">
                  <c:v>109.01000000000002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FB1-4F16-8F5D-3954A3294A93}"/>
            </c:ext>
          </c:extLst>
        </c:ser>
        <c:ser>
          <c:idx val="2"/>
          <c:order val="2"/>
          <c:tx>
            <c:strRef>
              <c:f>'2.5'!$E$5</c:f>
              <c:strCache>
                <c:ptCount val="1"/>
                <c:pt idx="0">
                  <c:v>Solar</c:v>
                </c:pt>
              </c:strCache>
            </c:strRef>
          </c:tx>
          <c:spPr>
            <a:ln w="6350"/>
          </c:spPr>
          <c:marker>
            <c:symbol val="triangle"/>
            <c:size val="3"/>
            <c:spPr>
              <a:ln w="6350"/>
            </c:spPr>
          </c:marker>
          <c:dLbls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B1-4F16-8F5D-3954A3294A93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'2.5'!$I$41:$I$55</c:f>
              <c:numCache>
                <c:formatCode>General</c:formatCode>
                <c:ptCount val="15"/>
                <c:pt idx="0">
                  <c:v>1995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'2.5'!$M$41:$M$55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80</c:v>
                </c:pt>
                <c:pt idx="6">
                  <c:v>96</c:v>
                </c:pt>
                <c:pt idx="7">
                  <c:v>96</c:v>
                </c:pt>
                <c:pt idx="8">
                  <c:v>100</c:v>
                </c:pt>
                <c:pt idx="9">
                  <c:v>244.48400000000001</c:v>
                </c:pt>
                <c:pt idx="10">
                  <c:v>284.48400000000004</c:v>
                </c:pt>
                <c:pt idx="11">
                  <c:v>289.02499999999998</c:v>
                </c:pt>
                <c:pt idx="12">
                  <c:v>289.02499999999998</c:v>
                </c:pt>
                <c:pt idx="13">
                  <c:v>286.22500000000002</c:v>
                </c:pt>
                <c:pt idx="14">
                  <c:v>286.22500000000002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FB1-4F16-8F5D-3954A3294A93}"/>
            </c:ext>
          </c:extLst>
        </c:ser>
        <c:ser>
          <c:idx val="3"/>
          <c:order val="3"/>
          <c:tx>
            <c:strRef>
              <c:f>'2.5'!$M$24</c:f>
              <c:strCache>
                <c:ptCount val="1"/>
                <c:pt idx="0">
                  <c:v>Eólica</c:v>
                </c:pt>
              </c:strCache>
            </c:strRef>
          </c:tx>
          <c:spPr>
            <a:ln w="6350"/>
          </c:spPr>
          <c:marker>
            <c:symbol val="x"/>
            <c:size val="3"/>
          </c:marker>
          <c:dLbls>
            <c:dLbl>
              <c:idx val="14"/>
              <c:layout>
                <c:manualLayout>
                  <c:x val="-3.4301526717557249E-2"/>
                  <c:y val="-6.143560606060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B1-4F16-8F5D-3954A3294A93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'2.5'!$I$41:$I$55</c:f>
              <c:numCache>
                <c:formatCode>General</c:formatCode>
                <c:ptCount val="15"/>
                <c:pt idx="0">
                  <c:v>1995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'2.5'!$N$41:$N$55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142</c:v>
                </c:pt>
                <c:pt idx="7">
                  <c:v>239.1</c:v>
                </c:pt>
                <c:pt idx="8">
                  <c:v>239.25</c:v>
                </c:pt>
                <c:pt idx="9">
                  <c:v>239.25</c:v>
                </c:pt>
                <c:pt idx="10">
                  <c:v>371.55000000000007</c:v>
                </c:pt>
                <c:pt idx="11">
                  <c:v>371.55000000000007</c:v>
                </c:pt>
                <c:pt idx="12">
                  <c:v>408.29000000000008</c:v>
                </c:pt>
                <c:pt idx="13">
                  <c:v>408.29000000000008</c:v>
                </c:pt>
                <c:pt idx="14">
                  <c:v>538.29000000000008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8FB1-4F16-8F5D-3954A329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68192"/>
        <c:axId val="46569728"/>
      </c:lineChart>
      <c:catAx>
        <c:axId val="465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crossAx val="46569728"/>
        <c:crosses val="autoZero"/>
        <c:auto val="1"/>
        <c:lblAlgn val="ctr"/>
        <c:lblOffset val="100"/>
        <c:noMultiLvlLbl val="0"/>
      </c:catAx>
      <c:valAx>
        <c:axId val="46569728"/>
        <c:scaling>
          <c:orientation val="minMax"/>
        </c:scaling>
        <c:delete val="0"/>
        <c:axPos val="l"/>
        <c:majorGridlines>
          <c:spPr>
            <a:ln w="3175">
              <a:prstDash val="lg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5.5101781170483503E-3"/>
              <c:y val="0.424667929292929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6350"/>
        </c:spPr>
        <c:crossAx val="46568192"/>
        <c:crosses val="autoZero"/>
        <c:crossBetween val="between"/>
      </c:valAx>
      <c:spPr>
        <a:noFill/>
        <a:ln w="3175">
          <a:solidFill>
            <a:schemeClr val="tx1">
              <a:tint val="75000"/>
              <a:shade val="95000"/>
              <a:satMod val="105000"/>
            </a:schemeClr>
          </a:solidFill>
        </a:ln>
        <a:effectLst/>
        <a:sp3d/>
      </c:spPr>
    </c:plotArea>
    <c:legend>
      <c:legendPos val="b"/>
      <c:layout>
        <c:manualLayout>
          <c:xMode val="edge"/>
          <c:yMode val="edge"/>
          <c:x val="0.2343742578456319"/>
          <c:y val="0.93108207070707072"/>
          <c:w val="0.53911319994423823"/>
          <c:h val="6.3366161616161612E-2"/>
        </c:manualLayout>
      </c:layout>
      <c:overlay val="0"/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6350" cap="flat" cmpd="sng" algn="ctr">
      <a:solidFill>
        <a:schemeClr val="dk1"/>
      </a:solidFill>
      <a:round/>
    </a:ln>
    <a:effectLst/>
  </c:spPr>
  <c:txPr>
    <a:bodyPr/>
    <a:lstStyle/>
    <a:p>
      <a:pPr>
        <a:defRPr sz="1000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3501683501694E-2"/>
          <c:y val="6.639204545454544E-2"/>
          <c:w val="0.91040409844519232"/>
          <c:h val="0.75403219696969692"/>
        </c:manualLayout>
      </c:layout>
      <c:lineChart>
        <c:grouping val="standard"/>
        <c:varyColors val="0"/>
        <c:ser>
          <c:idx val="0"/>
          <c:order val="0"/>
          <c:tx>
            <c:strRef>
              <c:f>'3.1 P.E.'!$Z$5</c:f>
              <c:strCache>
                <c:ptCount val="1"/>
                <c:pt idx="0">
                  <c:v>Hidro</c:v>
                </c:pt>
              </c:strCache>
            </c:strRef>
          </c:tx>
          <c:spPr>
            <a:ln w="6350">
              <a:solidFill>
                <a:srgbClr val="00B050"/>
              </a:solidFill>
            </a:ln>
          </c:spPr>
          <c:marker>
            <c:symbol val="diamond"/>
            <c:size val="3"/>
            <c:spPr>
              <a:solidFill>
                <a:srgbClr val="00B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14"/>
              <c:layout>
                <c:manualLayout>
                  <c:x val="-2.1080394832027564E-2"/>
                  <c:y val="-4.5682909313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CE-4622-902E-22277ED94085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P.E.'!$X$6:$X$20</c:f>
              <c:numCache>
                <c:formatCode>General</c:formatCode>
                <c:ptCount val="15"/>
                <c:pt idx="0">
                  <c:v>1995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'3.1 P.E.'!$Z$6:$Z$20</c:f>
              <c:numCache>
                <c:formatCode>#\ ##0.00</c:formatCode>
                <c:ptCount val="15"/>
                <c:pt idx="0">
                  <c:v>2474.8850000000002</c:v>
                </c:pt>
                <c:pt idx="1">
                  <c:v>2989.203</c:v>
                </c:pt>
                <c:pt idx="2">
                  <c:v>3317.4450000000006</c:v>
                </c:pt>
                <c:pt idx="3">
                  <c:v>3328.6240000000003</c:v>
                </c:pt>
                <c:pt idx="4">
                  <c:v>3360.136</c:v>
                </c:pt>
                <c:pt idx="5">
                  <c:v>3414.4079999999994</c:v>
                </c:pt>
                <c:pt idx="6">
                  <c:v>3527.288</c:v>
                </c:pt>
                <c:pt idx="7">
                  <c:v>4019.8179999999993</c:v>
                </c:pt>
                <c:pt idx="8">
                  <c:v>5086.3390000000027</c:v>
                </c:pt>
                <c:pt idx="9">
                  <c:v>5158.210680000001</c:v>
                </c:pt>
                <c:pt idx="10">
                  <c:v>5291.8340000000007</c:v>
                </c:pt>
                <c:pt idx="11">
                  <c:v>5354.6510000000026</c:v>
                </c:pt>
                <c:pt idx="12">
                  <c:v>5370.7270000000017</c:v>
                </c:pt>
                <c:pt idx="13">
                  <c:v>5482.3190000000022</c:v>
                </c:pt>
                <c:pt idx="14">
                  <c:v>5493.2879999999968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AB-4AAA-91F5-DFDB4E985BC4}"/>
            </c:ext>
          </c:extLst>
        </c:ser>
        <c:ser>
          <c:idx val="1"/>
          <c:order val="1"/>
          <c:tx>
            <c:strRef>
              <c:f>'3.1 P.E.'!$AA$5</c:f>
              <c:strCache>
                <c:ptCount val="1"/>
                <c:pt idx="0">
                  <c:v>Termo</c:v>
                </c:pt>
              </c:strCache>
            </c:strRef>
          </c:tx>
          <c:spPr>
            <a:ln w="635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</c:marker>
          <c:dLbls>
            <c:dLbl>
              <c:idx val="14"/>
              <c:layout>
                <c:manualLayout>
                  <c:x val="-2.0060378929835518E-2"/>
                  <c:y val="-3.5893332358977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CE-4622-902E-22277ED94085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P.E.'!$X$6:$X$20</c:f>
              <c:numCache>
                <c:formatCode>General</c:formatCode>
                <c:ptCount val="15"/>
                <c:pt idx="0">
                  <c:v>1995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'3.1 P.E.'!$AA$6:$AA$20</c:f>
              <c:numCache>
                <c:formatCode>#\ ##0.00</c:formatCode>
                <c:ptCount val="15"/>
                <c:pt idx="0">
                  <c:v>1600.5229999999999</c:v>
                </c:pt>
                <c:pt idx="1">
                  <c:v>2621.0219999999999</c:v>
                </c:pt>
                <c:pt idx="2">
                  <c:v>4682.2420000000011</c:v>
                </c:pt>
                <c:pt idx="3">
                  <c:v>4716.2090000000007</c:v>
                </c:pt>
                <c:pt idx="4">
                  <c:v>5498.4210000000003</c:v>
                </c:pt>
                <c:pt idx="5">
                  <c:v>6390.1639999999998</c:v>
                </c:pt>
                <c:pt idx="6">
                  <c:v>6503.3540000000003</c:v>
                </c:pt>
                <c:pt idx="7">
                  <c:v>6874.8219999999992</c:v>
                </c:pt>
                <c:pt idx="8">
                  <c:v>8220.2171000000017</c:v>
                </c:pt>
                <c:pt idx="9">
                  <c:v>8213.4555999999975</c:v>
                </c:pt>
                <c:pt idx="10">
                  <c:v>8421.6880999999994</c:v>
                </c:pt>
                <c:pt idx="11">
                  <c:v>8366.9580999999998</c:v>
                </c:pt>
                <c:pt idx="12">
                  <c:v>8367.2181</c:v>
                </c:pt>
                <c:pt idx="13">
                  <c:v>8402.7661000000007</c:v>
                </c:pt>
                <c:pt idx="14">
                  <c:v>8659.3960999999981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AB-4AAA-91F5-DFDB4E985BC4}"/>
            </c:ext>
          </c:extLst>
        </c:ser>
        <c:ser>
          <c:idx val="2"/>
          <c:order val="2"/>
          <c:tx>
            <c:strRef>
              <c:f>'3.1 P.E.'!$AB$5</c:f>
              <c:strCache>
                <c:ptCount val="1"/>
                <c:pt idx="0">
                  <c:v>Solar</c:v>
                </c:pt>
              </c:strCache>
            </c:strRef>
          </c:tx>
          <c:spPr>
            <a:ln w="6350">
              <a:solidFill>
                <a:srgbClr val="FFFF00"/>
              </a:solidFill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14"/>
              <c:layout>
                <c:manualLayout>
                  <c:x val="-1.6311916878710774E-2"/>
                  <c:y val="-4.957702020202166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4366412213740457E-2"/>
                      <c:h val="8.27828282828282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0CE-4622-902E-22277ED94085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P.E.'!$X$6:$X$20</c:f>
              <c:numCache>
                <c:formatCode>General</c:formatCode>
                <c:ptCount val="15"/>
                <c:pt idx="0">
                  <c:v>1995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'3.1 P.E.'!$AB$6:$AB$20</c:f>
              <c:numCache>
                <c:formatCode>General</c:formatCode>
                <c:ptCount val="15"/>
                <c:pt idx="4" formatCode="#\ ##0.0">
                  <c:v>80</c:v>
                </c:pt>
                <c:pt idx="5" formatCode="#\ ##0.0">
                  <c:v>80</c:v>
                </c:pt>
                <c:pt idx="6" formatCode="#\ ##0.0">
                  <c:v>96</c:v>
                </c:pt>
                <c:pt idx="7" formatCode="#\ ##0.0">
                  <c:v>96</c:v>
                </c:pt>
                <c:pt idx="8" formatCode="#\ ##0.0">
                  <c:v>96</c:v>
                </c:pt>
                <c:pt idx="9" formatCode="#\ ##0.0">
                  <c:v>240.48400000000001</c:v>
                </c:pt>
                <c:pt idx="10" formatCode="#\ ##0.0">
                  <c:v>280.48400000000004</c:v>
                </c:pt>
                <c:pt idx="11" formatCode="#\ ##0.0">
                  <c:v>285.02499999999998</c:v>
                </c:pt>
                <c:pt idx="12" formatCode="#\ ##0.0">
                  <c:v>285.02499999999998</c:v>
                </c:pt>
                <c:pt idx="13" formatCode="#\ ##0.0">
                  <c:v>285.30700000000002</c:v>
                </c:pt>
                <c:pt idx="14" formatCode="#\ ##0.0">
                  <c:v>285.30700000000002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AB-4AAA-91F5-DFDB4E985BC4}"/>
            </c:ext>
          </c:extLst>
        </c:ser>
        <c:ser>
          <c:idx val="3"/>
          <c:order val="3"/>
          <c:tx>
            <c:strRef>
              <c:f>'3.1 P.E.'!$AC$5</c:f>
              <c:strCache>
                <c:ptCount val="1"/>
                <c:pt idx="0">
                  <c:v>Eólico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x"/>
            <c:size val="3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CE-4622-902E-22277ED94085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 P.E.'!$X$6:$X$20</c:f>
              <c:numCache>
                <c:formatCode>General</c:formatCode>
                <c:ptCount val="15"/>
                <c:pt idx="0">
                  <c:v>1995</c:v>
                </c:pt>
                <c:pt idx="1">
                  <c:v>2005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'3.1 P.E.'!$AC$6:$AC$20</c:f>
              <c:numCache>
                <c:formatCode>General</c:formatCode>
                <c:ptCount val="15"/>
                <c:pt idx="6" formatCode="#\ ##0.0">
                  <c:v>142.69999999999999</c:v>
                </c:pt>
                <c:pt idx="7" formatCode="#\ ##0.0">
                  <c:v>239.79999999999998</c:v>
                </c:pt>
                <c:pt idx="8" formatCode="#\ ##0.0">
                  <c:v>239.95</c:v>
                </c:pt>
                <c:pt idx="9" formatCode="#\ ##0.0">
                  <c:v>239.95000000000002</c:v>
                </c:pt>
                <c:pt idx="10" formatCode="#\ ##0.0">
                  <c:v>372.25000000000006</c:v>
                </c:pt>
                <c:pt idx="11" formatCode="#\ ##0.0">
                  <c:v>372.25000000000017</c:v>
                </c:pt>
                <c:pt idx="12" formatCode="#\ ##0.0">
                  <c:v>408.99000000000018</c:v>
                </c:pt>
                <c:pt idx="13" formatCode="#\ ##0.0">
                  <c:v>408.99000000000018</c:v>
                </c:pt>
                <c:pt idx="14" formatCode="#\ ##0.0">
                  <c:v>538.99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AB-4AAA-91F5-DFDB4E985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7072"/>
        <c:axId val="47665152"/>
      </c:lineChart>
      <c:catAx>
        <c:axId val="4662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7665152"/>
        <c:crosses val="autoZero"/>
        <c:auto val="1"/>
        <c:lblAlgn val="ctr"/>
        <c:lblOffset val="100"/>
        <c:noMultiLvlLbl val="0"/>
      </c:catAx>
      <c:valAx>
        <c:axId val="47665152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6.3655640373197573E-4"/>
              <c:y val="0.42015656565656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6350"/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46627072"/>
        <c:crosses val="autoZero"/>
        <c:crossBetween val="between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758057675996608"/>
          <c:y val="0.91303472222222226"/>
          <c:w val="0.51802982387976015"/>
          <c:h val="5.6597182892741654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lt1"/>
    </a:solidFill>
    <a:ln w="635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>
          <a:solidFill>
            <a:schemeClr val="dk1"/>
          </a:solidFill>
          <a:latin typeface="+mn-lt"/>
          <a:ea typeface="+mn-ea"/>
          <a:cs typeface="+mn-c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37</xdr:row>
      <xdr:rowOff>52916</xdr:rowOff>
    </xdr:from>
    <xdr:to>
      <xdr:col>7</xdr:col>
      <xdr:colOff>821283</xdr:colOff>
      <xdr:row>57</xdr:row>
      <xdr:rowOff>103516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74084</xdr:colOff>
      <xdr:row>97</xdr:row>
      <xdr:rowOff>158749</xdr:rowOff>
    </xdr:from>
    <xdr:to>
      <xdr:col>7</xdr:col>
      <xdr:colOff>821284</xdr:colOff>
      <xdr:row>118</xdr:row>
      <xdr:rowOff>50599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42</xdr:row>
      <xdr:rowOff>19050</xdr:rowOff>
    </xdr:from>
    <xdr:to>
      <xdr:col>8</xdr:col>
      <xdr:colOff>69850</xdr:colOff>
      <xdr:row>61</xdr:row>
      <xdr:rowOff>6350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288923</xdr:colOff>
      <xdr:row>41</xdr:row>
      <xdr:rowOff>53975</xdr:rowOff>
    </xdr:from>
    <xdr:to>
      <xdr:col>14</xdr:col>
      <xdr:colOff>373062</xdr:colOff>
      <xdr:row>64</xdr:row>
      <xdr:rowOff>15876</xdr:rowOff>
    </xdr:to>
    <xdr:graphicFrame macro="">
      <xdr:nvGraphicFramePr>
        <xdr:cNvPr id="100139" name="Chart 1">
          <a:extLst>
            <a:ext uri="{FF2B5EF4-FFF2-40B4-BE49-F238E27FC236}">
              <a16:creationId xmlns:a16="http://schemas.microsoft.com/office/drawing/2014/main" xmlns="" id="{00000000-0008-0000-0B00-00002B87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38</xdr:row>
      <xdr:rowOff>9524</xdr:rowOff>
    </xdr:from>
    <xdr:to>
      <xdr:col>13</xdr:col>
      <xdr:colOff>374650</xdr:colOff>
      <xdr:row>60</xdr:row>
      <xdr:rowOff>107949</xdr:rowOff>
    </xdr:to>
    <xdr:graphicFrame macro="">
      <xdr:nvGraphicFramePr>
        <xdr:cNvPr id="100758" name="Chart 1">
          <a:extLst>
            <a:ext uri="{FF2B5EF4-FFF2-40B4-BE49-F238E27FC236}">
              <a16:creationId xmlns:a16="http://schemas.microsoft.com/office/drawing/2014/main" xmlns="" id="{00000000-0008-0000-0C00-0000968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87</xdr:row>
      <xdr:rowOff>85725</xdr:rowOff>
    </xdr:from>
    <xdr:to>
      <xdr:col>13</xdr:col>
      <xdr:colOff>619125</xdr:colOff>
      <xdr:row>112</xdr:row>
      <xdr:rowOff>28575</xdr:rowOff>
    </xdr:to>
    <xdr:graphicFrame macro="">
      <xdr:nvGraphicFramePr>
        <xdr:cNvPr id="100760" name="Chart 3">
          <a:extLst>
            <a:ext uri="{FF2B5EF4-FFF2-40B4-BE49-F238E27FC236}">
              <a16:creationId xmlns:a16="http://schemas.microsoft.com/office/drawing/2014/main" xmlns="" id="{00000000-0008-0000-0C00-0000988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746964</xdr:colOff>
      <xdr:row>40</xdr:row>
      <xdr:rowOff>22304</xdr:rowOff>
    </xdr:from>
    <xdr:to>
      <xdr:col>15</xdr:col>
      <xdr:colOff>17214</xdr:colOff>
      <xdr:row>64</xdr:row>
      <xdr:rowOff>96704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809998</xdr:colOff>
      <xdr:row>109</xdr:row>
      <xdr:rowOff>88621</xdr:rowOff>
    </xdr:from>
    <xdr:to>
      <xdr:col>10</xdr:col>
      <xdr:colOff>798373</xdr:colOff>
      <xdr:row>133</xdr:row>
      <xdr:rowOff>51896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61910</xdr:colOff>
      <xdr:row>38</xdr:row>
      <xdr:rowOff>3174</xdr:rowOff>
    </xdr:from>
    <xdr:to>
      <xdr:col>6</xdr:col>
      <xdr:colOff>368299</xdr:colOff>
      <xdr:row>56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</xdr:colOff>
      <xdr:row>43</xdr:row>
      <xdr:rowOff>5715</xdr:rowOff>
    </xdr:from>
    <xdr:to>
      <xdr:col>9</xdr:col>
      <xdr:colOff>247650</xdr:colOff>
      <xdr:row>61</xdr:row>
      <xdr:rowOff>133350</xdr:rowOff>
    </xdr:to>
    <xdr:graphicFrame macro="">
      <xdr:nvGraphicFramePr>
        <xdr:cNvPr id="155782" name="Chart 3">
          <a:extLst>
            <a:ext uri="{FF2B5EF4-FFF2-40B4-BE49-F238E27FC236}">
              <a16:creationId xmlns:a16="http://schemas.microsoft.com/office/drawing/2014/main" xmlns="" id="{00000000-0008-0000-0F00-0000866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</xdr:row>
      <xdr:rowOff>123825</xdr:rowOff>
    </xdr:from>
    <xdr:to>
      <xdr:col>7</xdr:col>
      <xdr:colOff>561975</xdr:colOff>
      <xdr:row>65</xdr:row>
      <xdr:rowOff>85725</xdr:rowOff>
    </xdr:to>
    <xdr:graphicFrame macro="">
      <xdr:nvGraphicFramePr>
        <xdr:cNvPr id="156806" name="Chart 1025">
          <a:extLst>
            <a:ext uri="{FF2B5EF4-FFF2-40B4-BE49-F238E27FC236}">
              <a16:creationId xmlns:a16="http://schemas.microsoft.com/office/drawing/2014/main" xmlns="" id="{00000000-0008-0000-1000-0000866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110067</xdr:colOff>
      <xdr:row>39</xdr:row>
      <xdr:rowOff>101599</xdr:rowOff>
    </xdr:from>
    <xdr:to>
      <xdr:col>10</xdr:col>
      <xdr:colOff>539750</xdr:colOff>
      <xdr:row>59</xdr:row>
      <xdr:rowOff>47422</xdr:rowOff>
    </xdr:to>
    <xdr:graphicFrame macro="">
      <xdr:nvGraphicFramePr>
        <xdr:cNvPr id="215303" name="Chart 3">
          <a:extLst>
            <a:ext uri="{FF2B5EF4-FFF2-40B4-BE49-F238E27FC236}">
              <a16:creationId xmlns:a16="http://schemas.microsoft.com/office/drawing/2014/main" xmlns="" id="{00000000-0008-0000-1100-00000749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369570</xdr:colOff>
      <xdr:row>38</xdr:row>
      <xdr:rowOff>124460</xdr:rowOff>
    </xdr:from>
    <xdr:to>
      <xdr:col>11</xdr:col>
      <xdr:colOff>386520</xdr:colOff>
      <xdr:row>59</xdr:row>
      <xdr:rowOff>9960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101</xdr:row>
      <xdr:rowOff>30480</xdr:rowOff>
    </xdr:from>
    <xdr:to>
      <xdr:col>5</xdr:col>
      <xdr:colOff>227820</xdr:colOff>
      <xdr:row>110</xdr:row>
      <xdr:rowOff>128580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41</xdr:row>
      <xdr:rowOff>0</xdr:rowOff>
    </xdr:from>
    <xdr:to>
      <xdr:col>10</xdr:col>
      <xdr:colOff>578925</xdr:colOff>
      <xdr:row>61</xdr:row>
      <xdr:rowOff>42663</xdr:rowOff>
    </xdr:to>
    <xdr:graphicFrame macro="">
      <xdr:nvGraphicFramePr>
        <xdr:cNvPr id="248069" name="Chart 1">
          <a:extLst>
            <a:ext uri="{FF2B5EF4-FFF2-40B4-BE49-F238E27FC236}">
              <a16:creationId xmlns:a16="http://schemas.microsoft.com/office/drawing/2014/main" xmlns="" id="{00000000-0008-0000-1300-000005C9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205814</xdr:rowOff>
    </xdr:from>
    <xdr:to>
      <xdr:col>14</xdr:col>
      <xdr:colOff>413249</xdr:colOff>
      <xdr:row>69</xdr:row>
      <xdr:rowOff>35739</xdr:rowOff>
    </xdr:to>
    <xdr:graphicFrame macro="">
      <xdr:nvGraphicFramePr>
        <xdr:cNvPr id="15641" name="Chart 1">
          <a:extLst>
            <a:ext uri="{FF2B5EF4-FFF2-40B4-BE49-F238E27FC236}">
              <a16:creationId xmlns:a16="http://schemas.microsoft.com/office/drawing/2014/main" xmlns="" id="{00000000-0008-0000-0200-0000193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332457</xdr:colOff>
      <xdr:row>37</xdr:row>
      <xdr:rowOff>215053</xdr:rowOff>
    </xdr:from>
    <xdr:to>
      <xdr:col>11</xdr:col>
      <xdr:colOff>395112</xdr:colOff>
      <xdr:row>55</xdr:row>
      <xdr:rowOff>35453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114017</xdr:colOff>
      <xdr:row>96</xdr:row>
      <xdr:rowOff>192192</xdr:rowOff>
    </xdr:from>
    <xdr:to>
      <xdr:col>8</xdr:col>
      <xdr:colOff>783167</xdr:colOff>
      <xdr:row>116</xdr:row>
      <xdr:rowOff>21167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</xdr:colOff>
      <xdr:row>40</xdr:row>
      <xdr:rowOff>9524</xdr:rowOff>
    </xdr:from>
    <xdr:to>
      <xdr:col>10</xdr:col>
      <xdr:colOff>680525</xdr:colOff>
      <xdr:row>60</xdr:row>
      <xdr:rowOff>60124</xdr:rowOff>
    </xdr:to>
    <xdr:graphicFrame macro="">
      <xdr:nvGraphicFramePr>
        <xdr:cNvPr id="315649" name="Chart 1">
          <a:extLst>
            <a:ext uri="{FF2B5EF4-FFF2-40B4-BE49-F238E27FC236}">
              <a16:creationId xmlns:a16="http://schemas.microsoft.com/office/drawing/2014/main" xmlns="" id="{00000000-0008-0000-1500-000001D1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359974</xdr:colOff>
      <xdr:row>38</xdr:row>
      <xdr:rowOff>7618</xdr:rowOff>
    </xdr:from>
    <xdr:to>
      <xdr:col>11</xdr:col>
      <xdr:colOff>402166</xdr:colOff>
      <xdr:row>59</xdr:row>
      <xdr:rowOff>35278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338103</xdr:colOff>
      <xdr:row>100</xdr:row>
      <xdr:rowOff>23424</xdr:rowOff>
    </xdr:from>
    <xdr:to>
      <xdr:col>8</xdr:col>
      <xdr:colOff>620889</xdr:colOff>
      <xdr:row>120</xdr:row>
      <xdr:rowOff>119944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40</xdr:row>
      <xdr:rowOff>63500</xdr:rowOff>
    </xdr:from>
    <xdr:to>
      <xdr:col>10</xdr:col>
      <xdr:colOff>509076</xdr:colOff>
      <xdr:row>60</xdr:row>
      <xdr:rowOff>114100</xdr:rowOff>
    </xdr:to>
    <xdr:graphicFrame macro="">
      <xdr:nvGraphicFramePr>
        <xdr:cNvPr id="352511" name="Chart 1">
          <a:extLst>
            <a:ext uri="{FF2B5EF4-FFF2-40B4-BE49-F238E27FC236}">
              <a16:creationId xmlns:a16="http://schemas.microsoft.com/office/drawing/2014/main" xmlns="" id="{00000000-0008-0000-1700-0000FF60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396191</xdr:colOff>
      <xdr:row>39</xdr:row>
      <xdr:rowOff>16019</xdr:rowOff>
    </xdr:from>
    <xdr:to>
      <xdr:col>11</xdr:col>
      <xdr:colOff>317501</xdr:colOff>
      <xdr:row>58</xdr:row>
      <xdr:rowOff>84666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259080</xdr:colOff>
      <xdr:row>104</xdr:row>
      <xdr:rowOff>114300</xdr:rowOff>
    </xdr:from>
    <xdr:to>
      <xdr:col>4</xdr:col>
      <xdr:colOff>736455</xdr:colOff>
      <xdr:row>114</xdr:row>
      <xdr:rowOff>31425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174623</xdr:colOff>
      <xdr:row>38</xdr:row>
      <xdr:rowOff>111124</xdr:rowOff>
    </xdr:from>
    <xdr:to>
      <xdr:col>6</xdr:col>
      <xdr:colOff>539750</xdr:colOff>
      <xdr:row>59</xdr:row>
      <xdr:rowOff>2974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39</xdr:row>
      <xdr:rowOff>133350</xdr:rowOff>
    </xdr:from>
    <xdr:to>
      <xdr:col>6</xdr:col>
      <xdr:colOff>1092199</xdr:colOff>
      <xdr:row>60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39</xdr:row>
      <xdr:rowOff>133350</xdr:rowOff>
    </xdr:from>
    <xdr:to>
      <xdr:col>8</xdr:col>
      <xdr:colOff>203200</xdr:colOff>
      <xdr:row>62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40</xdr:row>
      <xdr:rowOff>187325</xdr:rowOff>
    </xdr:from>
    <xdr:to>
      <xdr:col>7</xdr:col>
      <xdr:colOff>546100</xdr:colOff>
      <xdr:row>61</xdr:row>
      <xdr:rowOff>41075</xdr:rowOff>
    </xdr:to>
    <xdr:graphicFrame macro="">
      <xdr:nvGraphicFramePr>
        <xdr:cNvPr id="771189" name="Chart 3">
          <a:extLst>
            <a:ext uri="{FF2B5EF4-FFF2-40B4-BE49-F238E27FC236}">
              <a16:creationId xmlns:a16="http://schemas.microsoft.com/office/drawing/2014/main" xmlns="" id="{00000000-0008-0000-1C00-000075C40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41</xdr:row>
      <xdr:rowOff>114299</xdr:rowOff>
    </xdr:from>
    <xdr:to>
      <xdr:col>6</xdr:col>
      <xdr:colOff>514350</xdr:colOff>
      <xdr:row>65</xdr:row>
      <xdr:rowOff>112499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40</xdr:row>
      <xdr:rowOff>133349</xdr:rowOff>
    </xdr:from>
    <xdr:to>
      <xdr:col>14</xdr:col>
      <xdr:colOff>676774</xdr:colOff>
      <xdr:row>65</xdr:row>
      <xdr:rowOff>48999</xdr:rowOff>
    </xdr:to>
    <xdr:graphicFrame macro="">
      <xdr:nvGraphicFramePr>
        <xdr:cNvPr id="20900" name="Chart 3">
          <a:extLst>
            <a:ext uri="{FF2B5EF4-FFF2-40B4-BE49-F238E27FC236}">
              <a16:creationId xmlns:a16="http://schemas.microsoft.com/office/drawing/2014/main" xmlns="" id="{00000000-0008-0000-0300-0000A45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207645</xdr:colOff>
      <xdr:row>40</xdr:row>
      <xdr:rowOff>635</xdr:rowOff>
    </xdr:from>
    <xdr:to>
      <xdr:col>13</xdr:col>
      <xdr:colOff>482600</xdr:colOff>
      <xdr:row>58</xdr:row>
      <xdr:rowOff>146050</xdr:rowOff>
    </xdr:to>
    <xdr:graphicFrame macro="">
      <xdr:nvGraphicFramePr>
        <xdr:cNvPr id="21924" name="Chart 3">
          <a:extLst>
            <a:ext uri="{FF2B5EF4-FFF2-40B4-BE49-F238E27FC236}">
              <a16:creationId xmlns:a16="http://schemas.microsoft.com/office/drawing/2014/main" xmlns="" id="{00000000-0008-0000-0400-0000A4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320964</xdr:colOff>
      <xdr:row>41</xdr:row>
      <xdr:rowOff>12700</xdr:rowOff>
    </xdr:from>
    <xdr:to>
      <xdr:col>10</xdr:col>
      <xdr:colOff>717550</xdr:colOff>
      <xdr:row>59</xdr:row>
      <xdr:rowOff>127000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348096</xdr:colOff>
      <xdr:row>103</xdr:row>
      <xdr:rowOff>25977</xdr:rowOff>
    </xdr:from>
    <xdr:to>
      <xdr:col>10</xdr:col>
      <xdr:colOff>552450</xdr:colOff>
      <xdr:row>120</xdr:row>
      <xdr:rowOff>133350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39</xdr:row>
      <xdr:rowOff>22860</xdr:rowOff>
    </xdr:from>
    <xdr:to>
      <xdr:col>6</xdr:col>
      <xdr:colOff>520700</xdr:colOff>
      <xdr:row>56</xdr:row>
      <xdr:rowOff>139700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</xdr:colOff>
      <xdr:row>40</xdr:row>
      <xdr:rowOff>66040</xdr:rowOff>
    </xdr:from>
    <xdr:to>
      <xdr:col>11</xdr:col>
      <xdr:colOff>135906</xdr:colOff>
      <xdr:row>64</xdr:row>
      <xdr:rowOff>55773</xdr:rowOff>
    </xdr:to>
    <xdr:graphicFrame macro="">
      <xdr:nvGraphicFramePr>
        <xdr:cNvPr id="23972" name="Chart 3">
          <a:extLst>
            <a:ext uri="{FF2B5EF4-FFF2-40B4-BE49-F238E27FC236}">
              <a16:creationId xmlns:a16="http://schemas.microsoft.com/office/drawing/2014/main" xmlns="" id="{00000000-0008-0000-0700-0000A4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30339</xdr:colOff>
      <xdr:row>40</xdr:row>
      <xdr:rowOff>121354</xdr:rowOff>
    </xdr:from>
    <xdr:to>
      <xdr:col>12</xdr:col>
      <xdr:colOff>263895</xdr:colOff>
      <xdr:row>64</xdr:row>
      <xdr:rowOff>111087</xdr:rowOff>
    </xdr:to>
    <xdr:graphicFrame macro="">
      <xdr:nvGraphicFramePr>
        <xdr:cNvPr id="24996" name="Chart 3">
          <a:extLst>
            <a:ext uri="{FF2B5EF4-FFF2-40B4-BE49-F238E27FC236}">
              <a16:creationId xmlns:a16="http://schemas.microsoft.com/office/drawing/2014/main" xmlns="" id="{00000000-0008-0000-0800-0000A46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1036865</xdr:colOff>
      <xdr:row>40</xdr:row>
      <xdr:rowOff>81643</xdr:rowOff>
    </xdr:from>
    <xdr:to>
      <xdr:col>13</xdr:col>
      <xdr:colOff>286136</xdr:colOff>
      <xdr:row>64</xdr:row>
      <xdr:rowOff>5457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1004206</xdr:colOff>
      <xdr:row>110</xdr:row>
      <xdr:rowOff>41728</xdr:rowOff>
    </xdr:from>
    <xdr:to>
      <xdr:col>9</xdr:col>
      <xdr:colOff>260063</xdr:colOff>
      <xdr:row>130</xdr:row>
      <xdr:rowOff>1614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IVETI/STD98/ANUARI~1/LASERJC5/P_INST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C112"/>
  <sheetViews>
    <sheetView showGridLines="0" tabSelected="1" view="pageBreakPreview" zoomScaleNormal="80" zoomScaleSheetLayoutView="100" workbookViewId="0">
      <pane xSplit="2" ySplit="7" topLeftCell="C8" activePane="bottomRight" state="frozen"/>
      <selection activeCell="M73" sqref="M73"/>
      <selection pane="topRight" activeCell="M73" sqref="M73"/>
      <selection pane="bottomLeft" activeCell="M73" sqref="M73"/>
      <selection pane="bottomRight" activeCell="AE19" sqref="AE19"/>
    </sheetView>
  </sheetViews>
  <sheetFormatPr baseColWidth="10" defaultRowHeight="12.5" x14ac:dyDescent="0.25"/>
  <cols>
    <col min="1" max="1" width="4.7265625" customWidth="1"/>
    <col min="2" max="2" width="43.54296875" customWidth="1"/>
    <col min="3" max="16" width="10.54296875" customWidth="1"/>
    <col min="17" max="18" width="11.453125" customWidth="1"/>
    <col min="19" max="19" width="12.54296875" bestFit="1" customWidth="1"/>
    <col min="20" max="20" width="11.7265625" bestFit="1" customWidth="1"/>
    <col min="21" max="21" width="12.54296875" bestFit="1" customWidth="1"/>
    <col min="22" max="23" width="13.54296875" customWidth="1"/>
    <col min="24" max="30" width="11.7265625" customWidth="1"/>
    <col min="31" max="31" width="8.26953125" style="5" customWidth="1"/>
    <col min="32" max="32" width="10.453125" style="5" bestFit="1" customWidth="1"/>
    <col min="33" max="33" width="6.7265625" style="5" customWidth="1"/>
    <col min="34" max="34" width="9.26953125" style="5" bestFit="1" customWidth="1"/>
    <col min="35" max="35" width="5.7265625" customWidth="1"/>
    <col min="36" max="36" width="6.54296875" hidden="1" customWidth="1"/>
    <col min="37" max="37" width="12.453125" hidden="1" customWidth="1"/>
    <col min="38" max="42" width="11.54296875" hidden="1" customWidth="1"/>
    <col min="43" max="44" width="11.453125" hidden="1" customWidth="1"/>
    <col min="45" max="46" width="11.54296875" hidden="1" customWidth="1"/>
    <col min="47" max="50" width="11.453125" hidden="1" customWidth="1"/>
    <col min="51" max="51" width="11.7265625" hidden="1" customWidth="1"/>
    <col min="52" max="65" width="11.453125" hidden="1" customWidth="1"/>
    <col min="66" max="66" width="11.453125" style="6" hidden="1" customWidth="1"/>
    <col min="67" max="68" width="11.453125" hidden="1" customWidth="1"/>
    <col min="69" max="69" width="11.453125" style="6" hidden="1" customWidth="1"/>
    <col min="70" max="71" width="11.453125" hidden="1" customWidth="1"/>
    <col min="72" max="72" width="15.54296875" hidden="1" customWidth="1"/>
    <col min="73" max="74" width="11.453125" hidden="1" customWidth="1"/>
    <col min="75" max="75" width="15.54296875" hidden="1" customWidth="1"/>
    <col min="76" max="77" width="11.453125" hidden="1" customWidth="1"/>
    <col min="78" max="78" width="8.1796875" hidden="1" customWidth="1"/>
    <col min="79" max="81" width="0" hidden="1" customWidth="1"/>
  </cols>
  <sheetData>
    <row r="1" spans="1:81" ht="18" x14ac:dyDescent="0.4">
      <c r="A1" s="10" t="s">
        <v>28</v>
      </c>
    </row>
    <row r="2" spans="1:81" x14ac:dyDescent="0.25">
      <c r="C2" s="6"/>
    </row>
    <row r="3" spans="1:81" ht="15.5" x14ac:dyDescent="0.35">
      <c r="A3" s="70" t="s">
        <v>190</v>
      </c>
    </row>
    <row r="4" spans="1:81" ht="13" thickBot="1" x14ac:dyDescent="0.3">
      <c r="C4" s="17"/>
      <c r="H4" s="19"/>
      <c r="J4" s="1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1"/>
      <c r="AF4" s="51"/>
      <c r="AG4" s="51"/>
      <c r="AL4" s="16"/>
      <c r="AM4" t="s">
        <v>24</v>
      </c>
    </row>
    <row r="5" spans="1:81" x14ac:dyDescent="0.25">
      <c r="B5" s="991"/>
      <c r="C5" s="992"/>
      <c r="D5" s="992"/>
      <c r="E5" s="992"/>
      <c r="F5" s="992"/>
      <c r="G5" s="992"/>
      <c r="H5" s="992"/>
      <c r="I5" s="992"/>
      <c r="J5" s="992"/>
      <c r="K5" s="992"/>
      <c r="L5" s="992"/>
      <c r="M5" s="992"/>
      <c r="N5" s="992"/>
      <c r="O5" s="992"/>
      <c r="P5" s="992"/>
      <c r="Q5" s="992"/>
      <c r="R5" s="992"/>
      <c r="S5" s="992"/>
      <c r="T5" s="992"/>
      <c r="U5" s="992"/>
      <c r="V5" s="992"/>
      <c r="W5" s="992"/>
      <c r="X5" s="992"/>
      <c r="Y5" s="992"/>
      <c r="Z5" s="992"/>
      <c r="AA5" s="992"/>
      <c r="AB5" s="992"/>
      <c r="AC5" s="992"/>
      <c r="AD5" s="993"/>
      <c r="AE5" s="994" t="s">
        <v>157</v>
      </c>
      <c r="AF5" s="995" t="s">
        <v>27</v>
      </c>
      <c r="AG5" s="996" t="s">
        <v>157</v>
      </c>
      <c r="AH5" s="997" t="s">
        <v>27</v>
      </c>
    </row>
    <row r="6" spans="1:81" ht="13.5" thickBot="1" x14ac:dyDescent="0.35">
      <c r="B6" s="998" t="s">
        <v>156</v>
      </c>
      <c r="C6" s="999">
        <v>1995</v>
      </c>
      <c r="D6" s="999">
        <v>1996</v>
      </c>
      <c r="E6" s="999">
        <v>1997</v>
      </c>
      <c r="F6" s="999">
        <v>1998</v>
      </c>
      <c r="G6" s="999">
        <v>1999</v>
      </c>
      <c r="H6" s="999">
        <v>2000</v>
      </c>
      <c r="I6" s="1000" t="s">
        <v>33</v>
      </c>
      <c r="J6" s="999">
        <v>2002</v>
      </c>
      <c r="K6" s="999">
        <v>2003</v>
      </c>
      <c r="L6" s="999">
        <v>2004</v>
      </c>
      <c r="M6" s="999">
        <v>2005</v>
      </c>
      <c r="N6" s="1000">
        <v>2006</v>
      </c>
      <c r="O6" s="1000">
        <v>2007</v>
      </c>
      <c r="P6" s="1000">
        <v>2008</v>
      </c>
      <c r="Q6" s="1000">
        <v>2009</v>
      </c>
      <c r="R6" s="1000">
        <v>2010</v>
      </c>
      <c r="S6" s="1000">
        <v>2011</v>
      </c>
      <c r="T6" s="1000">
        <v>2012</v>
      </c>
      <c r="U6" s="1000">
        <v>2013</v>
      </c>
      <c r="V6" s="1000">
        <v>2014</v>
      </c>
      <c r="W6" s="1000">
        <v>2015</v>
      </c>
      <c r="X6" s="1000">
        <v>2016</v>
      </c>
      <c r="Y6" s="1000">
        <v>2017</v>
      </c>
      <c r="Z6" s="1000">
        <v>2018</v>
      </c>
      <c r="AA6" s="1000">
        <v>2019</v>
      </c>
      <c r="AB6" s="1000">
        <v>2020</v>
      </c>
      <c r="AC6" s="1000">
        <v>2021</v>
      </c>
      <c r="AD6" s="1001">
        <v>2022</v>
      </c>
      <c r="AE6" s="1002" t="s">
        <v>184</v>
      </c>
      <c r="AF6" s="1003" t="s">
        <v>182</v>
      </c>
      <c r="AG6" s="1003" t="s">
        <v>183</v>
      </c>
      <c r="AH6" s="1004" t="s">
        <v>183</v>
      </c>
      <c r="AK6" s="2">
        <v>1995</v>
      </c>
      <c r="AL6" s="2"/>
      <c r="AM6" s="2">
        <v>1996</v>
      </c>
      <c r="AN6" s="2"/>
      <c r="AO6" s="2">
        <v>1997</v>
      </c>
      <c r="AP6" s="2"/>
      <c r="AQ6" s="2">
        <v>1998</v>
      </c>
      <c r="AR6" s="2"/>
      <c r="AS6" s="2">
        <v>1999</v>
      </c>
      <c r="AT6" s="2"/>
      <c r="AU6" s="2">
        <v>2000</v>
      </c>
      <c r="AV6" s="2"/>
      <c r="AW6" s="2">
        <v>2001</v>
      </c>
      <c r="AX6" s="2"/>
      <c r="AY6" s="2">
        <v>2002</v>
      </c>
      <c r="AZ6" s="2"/>
      <c r="BA6" s="2">
        <v>2003</v>
      </c>
      <c r="BB6" s="2"/>
      <c r="BC6" s="2">
        <v>2004</v>
      </c>
      <c r="BD6" s="2"/>
      <c r="BE6" s="2">
        <v>2005</v>
      </c>
      <c r="BF6" s="2"/>
      <c r="BG6" s="2">
        <v>2006</v>
      </c>
      <c r="BH6" s="2"/>
      <c r="BI6" s="2">
        <v>2007</v>
      </c>
      <c r="BJ6" s="2"/>
      <c r="BK6" s="2"/>
      <c r="BL6" s="2">
        <v>2008</v>
      </c>
      <c r="BM6" s="2"/>
      <c r="BN6" s="2"/>
      <c r="BO6" s="2" t="s">
        <v>30</v>
      </c>
      <c r="BP6" s="2"/>
      <c r="BQ6" s="2"/>
      <c r="BR6" s="2">
        <v>2010</v>
      </c>
      <c r="BS6" s="2"/>
      <c r="BT6" s="2"/>
      <c r="BU6" s="2">
        <v>2011</v>
      </c>
      <c r="BV6" s="2"/>
      <c r="BW6" s="2"/>
      <c r="BX6" s="2">
        <v>2012</v>
      </c>
      <c r="BY6" s="2"/>
      <c r="BZ6" s="2"/>
      <c r="CA6" s="2">
        <v>2013</v>
      </c>
      <c r="CB6" s="2"/>
      <c r="CC6" s="2"/>
    </row>
    <row r="7" spans="1:81" ht="13" x14ac:dyDescent="0.3">
      <c r="B7" s="1005" t="s">
        <v>18</v>
      </c>
      <c r="C7" s="1006">
        <v>4461.7</v>
      </c>
      <c r="D7" s="1006">
        <v>4662.6049999999996</v>
      </c>
      <c r="E7" s="1006">
        <v>5192.4979999999996</v>
      </c>
      <c r="F7" s="1006">
        <v>5515.29</v>
      </c>
      <c r="G7" s="1006">
        <v>5742.4279999999999</v>
      </c>
      <c r="H7" s="1006">
        <v>6066.1890000000003</v>
      </c>
      <c r="I7" s="1006">
        <v>5906.6930000000002</v>
      </c>
      <c r="J7" s="1006">
        <v>5935.5330000000004</v>
      </c>
      <c r="K7" s="1006">
        <v>5970.0630000000001</v>
      </c>
      <c r="L7" s="1006">
        <v>6016.3186000000023</v>
      </c>
      <c r="M7" s="1006">
        <v>6200.5255999999999</v>
      </c>
      <c r="N7" s="1006">
        <v>6658.1435999999994</v>
      </c>
      <c r="O7" s="1006">
        <v>7027.5172000000002</v>
      </c>
      <c r="P7" s="1006">
        <v>7157.9350000000031</v>
      </c>
      <c r="Q7" s="1006">
        <v>7986.4960000000019</v>
      </c>
      <c r="R7" s="1006">
        <v>8612.5569999999971</v>
      </c>
      <c r="S7" s="1006">
        <v>8691.3240000000005</v>
      </c>
      <c r="T7" s="1006">
        <v>9699.4349999999995</v>
      </c>
      <c r="U7" s="1006">
        <v>11050.719000000003</v>
      </c>
      <c r="V7" s="1006">
        <v>11202.619000000002</v>
      </c>
      <c r="W7" s="1006">
        <v>12188.627</v>
      </c>
      <c r="X7" s="1006">
        <v>14517.715000000004</v>
      </c>
      <c r="Y7" s="1006">
        <v>14734.771000000197</v>
      </c>
      <c r="Z7" s="1006">
        <v>15144.58600000001</v>
      </c>
      <c r="AA7" s="1006">
        <v>15122.840000000011</v>
      </c>
      <c r="AB7" s="1006">
        <v>15186.97000000001</v>
      </c>
      <c r="AC7" s="1006">
        <v>15340.308999999972</v>
      </c>
      <c r="AD7" s="1007">
        <v>15759.502000000011</v>
      </c>
      <c r="AE7" s="1008">
        <f>((AD7/AC7)-1)*100</f>
        <v>2.7326242254966271</v>
      </c>
      <c r="AF7" s="1009">
        <f>((AD7/Y7)^(1/5))-1</f>
        <v>1.3537495238681752E-2</v>
      </c>
      <c r="AG7" s="1010">
        <f>((AD7/T7)-1)*100</f>
        <v>62.478556740676261</v>
      </c>
      <c r="AH7" s="1011">
        <f>((AD7/T7)^(1/10))-1</f>
        <v>4.9734825210666189E-2</v>
      </c>
      <c r="AK7" s="3">
        <v>4461.7</v>
      </c>
      <c r="AL7" s="3"/>
      <c r="AM7" s="3">
        <v>4662.5579999999991</v>
      </c>
      <c r="AN7" s="3"/>
      <c r="AO7" s="3">
        <v>5192.2459999999992</v>
      </c>
      <c r="AP7" s="3"/>
      <c r="AQ7" s="3">
        <v>5515.6779999999999</v>
      </c>
      <c r="AR7" s="3"/>
      <c r="AS7" s="3">
        <v>5742.0140000000001</v>
      </c>
      <c r="AT7" s="3"/>
      <c r="AU7" s="3">
        <v>6066.1890000000003</v>
      </c>
      <c r="AV7" s="3"/>
      <c r="AW7" s="3">
        <v>5906.7</v>
      </c>
      <c r="AX7" s="3"/>
      <c r="AY7" s="3">
        <v>5935.5330000000004</v>
      </c>
      <c r="AZ7" s="3"/>
      <c r="BA7" s="3">
        <v>5970.0630000000001</v>
      </c>
      <c r="BB7" s="3"/>
      <c r="BC7" s="3">
        <v>6016.3186000000023</v>
      </c>
      <c r="BD7" s="3"/>
      <c r="BE7" s="3">
        <v>6200.5255999999999</v>
      </c>
      <c r="BF7" s="3"/>
      <c r="BG7" s="3">
        <v>6436.8445459999994</v>
      </c>
      <c r="BH7" s="3"/>
      <c r="BI7" s="3">
        <v>7027.5171999999993</v>
      </c>
      <c r="BJ7" s="3"/>
      <c r="BK7" s="3"/>
      <c r="BL7" s="3">
        <v>7157.9350000000031</v>
      </c>
      <c r="BM7" s="3"/>
      <c r="BN7" s="3"/>
      <c r="BO7" s="3">
        <v>7986.4959999999974</v>
      </c>
      <c r="BP7" s="3"/>
      <c r="BQ7" s="3"/>
      <c r="BR7" s="3">
        <v>8612.5569999999971</v>
      </c>
      <c r="BS7" s="3"/>
      <c r="BT7" s="3"/>
      <c r="BU7" s="3">
        <v>8691.3240000000005</v>
      </c>
      <c r="BV7" s="3"/>
      <c r="BW7" s="3"/>
      <c r="BX7" s="3">
        <v>9699.0969999999998</v>
      </c>
      <c r="BY7" s="3"/>
      <c r="BZ7" s="3"/>
      <c r="CA7" s="3">
        <v>11050.719000000001</v>
      </c>
      <c r="CB7" s="3"/>
      <c r="CC7" s="3"/>
    </row>
    <row r="8" spans="1:81" x14ac:dyDescent="0.25"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785"/>
      <c r="AE8" s="52"/>
      <c r="AF8" s="53"/>
      <c r="AG8" s="53"/>
      <c r="AH8" s="54"/>
      <c r="BD8" s="20"/>
      <c r="BL8" s="6"/>
      <c r="BO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</row>
    <row r="9" spans="1:81" x14ac:dyDescent="0.25">
      <c r="B9" s="784" t="s">
        <v>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786"/>
      <c r="AE9" s="52"/>
      <c r="AF9" s="53"/>
      <c r="AG9" s="53"/>
      <c r="AH9" s="54"/>
      <c r="AL9" s="13"/>
      <c r="BE9" s="1"/>
      <c r="BG9" s="1"/>
      <c r="BL9" s="6"/>
      <c r="BO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</row>
    <row r="10" spans="1:81" x14ac:dyDescent="0.25">
      <c r="B10" s="28" t="s">
        <v>1</v>
      </c>
      <c r="C10" s="30">
        <v>55.857646923033911</v>
      </c>
      <c r="D10" s="30">
        <v>53.462584272410126</v>
      </c>
      <c r="E10" s="30">
        <v>48.398978014523969</v>
      </c>
      <c r="F10" s="30">
        <v>46.631819333906002</v>
      </c>
      <c r="G10" s="30">
        <v>46.55648697477924</v>
      </c>
      <c r="H10" s="30">
        <v>47.094230001735852</v>
      </c>
      <c r="I10" s="30">
        <v>50.219242555064589</v>
      </c>
      <c r="J10" s="30">
        <v>50.483604421035167</v>
      </c>
      <c r="K10" s="30">
        <v>50.791876065629459</v>
      </c>
      <c r="L10" s="30">
        <v>50.792981608387578</v>
      </c>
      <c r="M10" s="30">
        <v>51.722415273956777</v>
      </c>
      <c r="N10" s="30">
        <v>48</v>
      </c>
      <c r="O10" s="30">
        <v>46.013380088205274</v>
      </c>
      <c r="P10" s="30">
        <v>45.292755522367841</v>
      </c>
      <c r="Q10" s="30">
        <v>41.037571420557917</v>
      </c>
      <c r="R10" s="30">
        <v>39.913837435270395</v>
      </c>
      <c r="S10" s="30">
        <v>39.705722626380052</v>
      </c>
      <c r="T10" s="30">
        <v>35.920601680754388</v>
      </c>
      <c r="U10" s="30">
        <v>32.180548614076599</v>
      </c>
      <c r="V10" s="30">
        <v>32.687579574026401</v>
      </c>
      <c r="W10" s="30">
        <v>34.111721564269644</v>
      </c>
      <c r="X10" s="30">
        <v>35.744226966847023</v>
      </c>
      <c r="Y10" s="30">
        <v>35.602385676709922</v>
      </c>
      <c r="Z10" s="30">
        <v>35.414404857286932</v>
      </c>
      <c r="AA10" s="30">
        <v>35.689096756958335</v>
      </c>
      <c r="AB10" s="30">
        <v>35.66598867318497</v>
      </c>
      <c r="AC10" s="30">
        <v>35.943043911305963</v>
      </c>
      <c r="AD10" s="787">
        <v>34.990407691816657</v>
      </c>
      <c r="AE10" s="55"/>
      <c r="AF10" s="53"/>
      <c r="AG10" s="53"/>
      <c r="AH10" s="54"/>
      <c r="AK10" s="4">
        <v>2479.4</v>
      </c>
      <c r="AL10" s="9">
        <f>+AK10/AK7</f>
        <v>0.55570746576417063</v>
      </c>
      <c r="AM10">
        <v>2492.7239999999997</v>
      </c>
      <c r="AN10" s="9">
        <f>+AM10/AM7</f>
        <v>0.5346258427241013</v>
      </c>
      <c r="AO10" s="1">
        <v>2512.9939999999997</v>
      </c>
      <c r="AP10" s="9">
        <f>+AO10/AO7</f>
        <v>0.48398978014523969</v>
      </c>
      <c r="AQ10" s="1">
        <v>2572.0610000000001</v>
      </c>
      <c r="AR10" s="9">
        <f>+AQ10/AQ7</f>
        <v>0.46631819333906005</v>
      </c>
      <c r="AS10" s="1">
        <v>2673.28</v>
      </c>
      <c r="AT10" s="9">
        <f>+AS10/AS7</f>
        <v>0.46556486974779238</v>
      </c>
      <c r="AU10" s="1">
        <v>2856.8250000000003</v>
      </c>
      <c r="AV10" s="9">
        <f>+AU10/AU7</f>
        <v>0.47094230001735854</v>
      </c>
      <c r="AW10" s="1">
        <v>2966.328</v>
      </c>
      <c r="AX10" s="9">
        <f>+AW10/AW7</f>
        <v>0.50219716593021491</v>
      </c>
      <c r="AY10" s="1">
        <v>2996.4710000000014</v>
      </c>
      <c r="AZ10" s="9">
        <f>+AY10/AY7</f>
        <v>0.50483604421035166</v>
      </c>
      <c r="BA10" s="1">
        <v>3032.3070000000002</v>
      </c>
      <c r="BB10" s="9">
        <f>+BA10/BA7</f>
        <v>0.5079187606562946</v>
      </c>
      <c r="BC10" s="1">
        <v>3055.8676000000023</v>
      </c>
      <c r="BD10" s="9">
        <f>+BC10/BC7</f>
        <v>0.50792981608387577</v>
      </c>
      <c r="BE10" s="1">
        <v>3207.0616000000005</v>
      </c>
      <c r="BF10" s="9">
        <f>+BE10/BE7</f>
        <v>0.51722415273956779</v>
      </c>
      <c r="BG10" s="1">
        <v>3240.9145560000002</v>
      </c>
      <c r="BH10" s="9">
        <f>+BG10/BG7</f>
        <v>0.50349430265703365</v>
      </c>
      <c r="BI10" s="25">
        <v>3233.5982000000004</v>
      </c>
      <c r="BJ10" s="9">
        <f>+BI10/BI7</f>
        <v>0.46013380088205275</v>
      </c>
      <c r="BK10" s="12">
        <f>+BJ10*100</f>
        <v>46.013380088205274</v>
      </c>
      <c r="BL10" s="6">
        <v>3242.0260000000017</v>
      </c>
      <c r="BM10" s="9">
        <f>+BL10/BL7</f>
        <v>0.45292755522367839</v>
      </c>
      <c r="BN10" s="6">
        <f>+BM10*100</f>
        <v>45.292755522367841</v>
      </c>
      <c r="BO10" s="6">
        <v>3277.4639999999999</v>
      </c>
      <c r="BP10" s="9">
        <f>+BO10/BO7</f>
        <v>0.41037571420557917</v>
      </c>
      <c r="BQ10" s="6">
        <f>+BP10*100</f>
        <v>41.037571420557917</v>
      </c>
      <c r="BR10" s="6">
        <v>3437.6019999999994</v>
      </c>
      <c r="BS10" s="9">
        <f>+BR10/BR7</f>
        <v>0.39913837435270394</v>
      </c>
      <c r="BT10" s="6">
        <f>+BS10*100</f>
        <v>39.913837435270395</v>
      </c>
      <c r="BU10" s="6">
        <v>3450.953</v>
      </c>
      <c r="BV10" s="9">
        <f>+BU10/BU7</f>
        <v>0.39705722626380052</v>
      </c>
      <c r="BW10" s="6">
        <f>+BV10*100</f>
        <v>39.705722626380052</v>
      </c>
      <c r="BX10" s="6">
        <v>3483.9739999999988</v>
      </c>
      <c r="BY10" s="9">
        <f>+BX10/BX7</f>
        <v>0.35920601680754394</v>
      </c>
      <c r="BZ10" s="6">
        <f>+BY10*100</f>
        <v>35.920601680754395</v>
      </c>
      <c r="CA10" s="6">
        <v>3556.1819999999998</v>
      </c>
      <c r="CB10" s="9">
        <f>+CA10/CA7</f>
        <v>0.32180548614076598</v>
      </c>
      <c r="CC10" s="6">
        <f>+CB10*100</f>
        <v>32.180548614076599</v>
      </c>
    </row>
    <row r="11" spans="1:81" x14ac:dyDescent="0.25">
      <c r="B11" s="28" t="s">
        <v>2</v>
      </c>
      <c r="C11" s="30">
        <v>44.142353076966081</v>
      </c>
      <c r="D11" s="30">
        <v>46.532053863994832</v>
      </c>
      <c r="E11" s="30">
        <v>51.596207113453417</v>
      </c>
      <c r="F11" s="30">
        <v>53.363648131743737</v>
      </c>
      <c r="G11" s="30">
        <v>53.43132218068434</v>
      </c>
      <c r="H11" s="30">
        <v>52.894230628158802</v>
      </c>
      <c r="I11" s="30">
        <v>49.768906496013003</v>
      </c>
      <c r="J11" s="30">
        <v>49.504602198319837</v>
      </c>
      <c r="K11" s="30">
        <v>49.196398764971157</v>
      </c>
      <c r="L11" s="30">
        <v>49.195383369491083</v>
      </c>
      <c r="M11" s="30">
        <v>48.266295360509424</v>
      </c>
      <c r="N11" s="30">
        <v>52</v>
      </c>
      <c r="O11" s="30">
        <v>53.976659068155676</v>
      </c>
      <c r="P11" s="30">
        <v>54.697465120876345</v>
      </c>
      <c r="Q11" s="30">
        <v>58.953663784468205</v>
      </c>
      <c r="R11" s="30">
        <v>60.078034897185574</v>
      </c>
      <c r="S11" s="30">
        <v>60.286223364817602</v>
      </c>
      <c r="T11" s="30">
        <v>63.24736209979136</v>
      </c>
      <c r="U11" s="30">
        <v>67.08918216090737</v>
      </c>
      <c r="V11" s="30">
        <v>65.181668679440094</v>
      </c>
      <c r="W11" s="30">
        <v>63.08125829900689</v>
      </c>
      <c r="X11" s="30">
        <v>61.914151090581413</v>
      </c>
      <c r="Y11" s="30">
        <v>61.109921559011617</v>
      </c>
      <c r="Z11" s="30">
        <v>60.24916759031909</v>
      </c>
      <c r="AA11" s="30">
        <v>59.938153151127715</v>
      </c>
      <c r="AB11" s="30">
        <v>59.7378081342098</v>
      </c>
      <c r="AC11" s="30">
        <v>59.523149109968898</v>
      </c>
      <c r="AD11" s="787">
        <v>59.771482626798743</v>
      </c>
      <c r="AE11" s="55"/>
      <c r="AF11" s="53"/>
      <c r="AG11" s="53"/>
      <c r="AH11" s="54"/>
      <c r="AK11">
        <v>1982.3</v>
      </c>
      <c r="AL11" s="9">
        <f>+AK11/AK7</f>
        <v>0.44429253423582937</v>
      </c>
      <c r="AM11">
        <v>2169.5839999999998</v>
      </c>
      <c r="AN11" s="9">
        <f>+AM11/AM7</f>
        <v>0.46532053863994832</v>
      </c>
      <c r="AO11" s="1">
        <v>2679.002</v>
      </c>
      <c r="AP11" s="9">
        <f>+AO11/AO7</f>
        <v>0.51596207113453418</v>
      </c>
      <c r="AQ11" s="1">
        <v>2943.3670000000002</v>
      </c>
      <c r="AR11" s="9">
        <f>+AQ11/AQ7</f>
        <v>0.53363648131743735</v>
      </c>
      <c r="AS11" s="1">
        <v>3068.0340000000001</v>
      </c>
      <c r="AT11" s="9">
        <f>+AS11/AS7</f>
        <v>0.53431322180684337</v>
      </c>
      <c r="AU11" s="1">
        <v>3208.6640000000002</v>
      </c>
      <c r="AV11" s="9">
        <f>+AU11/AU7</f>
        <v>0.528942306281588</v>
      </c>
      <c r="AW11" s="1">
        <v>2939.665</v>
      </c>
      <c r="AX11" s="9">
        <f>+AW11/AW7</f>
        <v>0.49768313948566884</v>
      </c>
      <c r="AY11" s="1">
        <v>2938.3619999999996</v>
      </c>
      <c r="AZ11" s="9">
        <f>+AY11/AY7</f>
        <v>0.49504602198319836</v>
      </c>
      <c r="BA11" s="1">
        <v>2937.056</v>
      </c>
      <c r="BB11" s="9">
        <f>+BA11/BA7</f>
        <v>0.49196398764971155</v>
      </c>
      <c r="BC11" s="1">
        <v>2959.7510000000002</v>
      </c>
      <c r="BD11" s="9">
        <f>+BC11/BC7</f>
        <v>0.49195383369491086</v>
      </c>
      <c r="BE11" s="1">
        <v>2992.7639999999992</v>
      </c>
      <c r="BF11" s="9">
        <f>+BE11/BE7</f>
        <v>0.48266295360509426</v>
      </c>
      <c r="BG11" s="1">
        <v>3195.2299899999994</v>
      </c>
      <c r="BH11" s="9">
        <f>+BG11/BG7</f>
        <v>0.4963969484062789</v>
      </c>
      <c r="BI11" s="25">
        <v>3793.2189999999991</v>
      </c>
      <c r="BJ11" s="9">
        <f>+BI11/BI7</f>
        <v>0.53976659068155675</v>
      </c>
      <c r="BK11" s="12">
        <f>+BJ11*100</f>
        <v>53.976659068155676</v>
      </c>
      <c r="BL11" s="6">
        <v>3915.2090000000017</v>
      </c>
      <c r="BM11" s="9">
        <f>+BL11/BL7</f>
        <v>0.54697465120876343</v>
      </c>
      <c r="BN11" s="6">
        <f>+BM11*100</f>
        <v>54.697465120876345</v>
      </c>
      <c r="BO11" s="6">
        <v>4708.3320000000003</v>
      </c>
      <c r="BP11" s="9">
        <f>+BO11/BO7</f>
        <v>0.58953663784468202</v>
      </c>
      <c r="BQ11" s="6">
        <f>+BP11*100</f>
        <v>58.953663784468205</v>
      </c>
      <c r="BR11" s="6">
        <v>5174.2549999999974</v>
      </c>
      <c r="BS11" s="9">
        <f>+BR11/BR7</f>
        <v>0.60078034897185573</v>
      </c>
      <c r="BT11" s="6">
        <f>+BS11*100</f>
        <v>60.078034897185574</v>
      </c>
      <c r="BU11" s="6">
        <v>5239.6710000000003</v>
      </c>
      <c r="BV11" s="9">
        <f>+BU11/BU7</f>
        <v>0.60286223364817604</v>
      </c>
      <c r="BW11" s="6">
        <f>+BV11*100</f>
        <v>60.286223364817602</v>
      </c>
      <c r="BX11" s="6">
        <v>6134.4229999999989</v>
      </c>
      <c r="BY11" s="9">
        <f>+BX11/BX7</f>
        <v>0.63247362099791338</v>
      </c>
      <c r="BZ11" s="6">
        <f>+BY11*100</f>
        <v>63.247362099791339</v>
      </c>
      <c r="CA11" s="6">
        <v>7413.8369999999995</v>
      </c>
      <c r="CB11" s="9">
        <f>+CA11/CA7</f>
        <v>0.67089182160907346</v>
      </c>
      <c r="CC11" s="6">
        <f>+CB11*100</f>
        <v>67.089182160907342</v>
      </c>
    </row>
    <row r="12" spans="1:81" x14ac:dyDescent="0.25">
      <c r="B12" s="28" t="s">
        <v>31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>
        <v>0.82481905274274481</v>
      </c>
      <c r="U12" s="30">
        <v>0.72393479555493168</v>
      </c>
      <c r="V12" s="30">
        <v>0.85694247032769699</v>
      </c>
      <c r="W12" s="30">
        <v>0.82608008732297333</v>
      </c>
      <c r="X12" s="30">
        <v>0.68881363217283131</v>
      </c>
      <c r="Y12" s="30">
        <v>1.6592317586747694</v>
      </c>
      <c r="Z12" s="30">
        <v>1.8784534618509867</v>
      </c>
      <c r="AA12" s="30">
        <v>1.9112415392875928</v>
      </c>
      <c r="AB12" s="30">
        <v>1.9031709419324578</v>
      </c>
      <c r="AC12" s="30">
        <v>1.8676937993882698</v>
      </c>
      <c r="AD12" s="787">
        <v>1.8180143001980633</v>
      </c>
      <c r="AE12" s="55"/>
      <c r="AF12" s="53"/>
      <c r="AG12" s="53"/>
      <c r="AH12" s="54"/>
      <c r="AL12" s="9"/>
      <c r="AN12" s="9"/>
      <c r="AO12" s="1"/>
      <c r="AP12" s="9"/>
      <c r="AQ12" s="1"/>
      <c r="AR12" s="9"/>
      <c r="AS12" s="1"/>
      <c r="AT12" s="9"/>
      <c r="AU12" s="1"/>
      <c r="AV12" s="9"/>
      <c r="AW12" s="1"/>
      <c r="AX12" s="9"/>
      <c r="AY12" s="1"/>
      <c r="AZ12" s="9"/>
      <c r="BA12" s="1"/>
      <c r="BB12" s="9"/>
      <c r="BC12" s="1"/>
      <c r="BD12" s="9"/>
      <c r="BE12" s="1"/>
      <c r="BF12" s="9"/>
      <c r="BG12" s="1"/>
      <c r="BH12" s="9"/>
      <c r="BI12" s="25"/>
      <c r="BJ12" s="9"/>
      <c r="BK12" s="12"/>
      <c r="BL12" s="6"/>
      <c r="BM12" s="9"/>
      <c r="BO12" s="6"/>
      <c r="BP12" s="9"/>
      <c r="BR12" s="6"/>
      <c r="BS12" s="9"/>
      <c r="BT12" s="6"/>
      <c r="BU12" s="6"/>
      <c r="BV12" s="9"/>
      <c r="BW12" s="6"/>
      <c r="BX12" s="6">
        <v>80</v>
      </c>
      <c r="BY12" s="9">
        <f>+BX12/BX7</f>
        <v>8.2481905274274497E-3</v>
      </c>
      <c r="BZ12" s="6">
        <f>+BY12*100</f>
        <v>0.82481905274274492</v>
      </c>
      <c r="CA12" s="6">
        <v>80</v>
      </c>
      <c r="CB12" s="9">
        <f>+CA12/CA7</f>
        <v>7.2393479555493169E-3</v>
      </c>
      <c r="CC12" s="6">
        <f>+CB12*100</f>
        <v>0.72393479555493168</v>
      </c>
    </row>
    <row r="13" spans="1:81" x14ac:dyDescent="0.25">
      <c r="B13" s="28" t="s">
        <v>35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>
        <v>1.2738092762058599</v>
      </c>
      <c r="W13" s="30">
        <v>1.9809400494004883</v>
      </c>
      <c r="X13" s="30">
        <v>1.6528083103987088</v>
      </c>
      <c r="Y13" s="30">
        <v>1.6284610056036832</v>
      </c>
      <c r="Z13" s="30">
        <v>2.4579740905429812</v>
      </c>
      <c r="AA13" s="30">
        <v>2.461508552626356</v>
      </c>
      <c r="AB13" s="30">
        <v>2.6930322506727786</v>
      </c>
      <c r="AC13" s="30">
        <v>2.6661131793368744</v>
      </c>
      <c r="AD13" s="787">
        <v>3.4200953811865351</v>
      </c>
      <c r="AE13" s="55"/>
      <c r="AF13" s="53"/>
      <c r="AG13" s="53"/>
      <c r="AH13" s="54"/>
      <c r="AL13" s="9"/>
      <c r="AN13" s="9"/>
      <c r="AO13" s="1"/>
      <c r="AP13" s="9"/>
      <c r="AQ13" s="1"/>
      <c r="AR13" s="9"/>
      <c r="AS13" s="1"/>
      <c r="AT13" s="9"/>
      <c r="AU13" s="1"/>
      <c r="AV13" s="9"/>
      <c r="AW13" s="1"/>
      <c r="AX13" s="9"/>
      <c r="AY13" s="1"/>
      <c r="AZ13" s="9"/>
      <c r="BA13" s="1"/>
      <c r="BB13" s="9"/>
      <c r="BC13" s="1"/>
      <c r="BD13" s="9"/>
      <c r="BE13" s="1"/>
      <c r="BF13" s="9"/>
      <c r="BG13" s="1"/>
      <c r="BH13" s="9"/>
      <c r="BI13" s="25"/>
      <c r="BJ13" s="9"/>
      <c r="BK13" s="12"/>
      <c r="BL13" s="6"/>
      <c r="BM13" s="9"/>
      <c r="BO13" s="6"/>
      <c r="BP13" s="9"/>
      <c r="BR13" s="6"/>
      <c r="BS13" s="9"/>
      <c r="BT13" s="6"/>
      <c r="BU13" s="6"/>
      <c r="BV13" s="9"/>
      <c r="BW13" s="6"/>
      <c r="BX13" s="6"/>
      <c r="BY13" s="9"/>
      <c r="BZ13" s="6"/>
      <c r="CA13" s="6"/>
      <c r="CB13" s="9"/>
      <c r="CC13" s="6"/>
    </row>
    <row r="14" spans="1:81" x14ac:dyDescent="0.25">
      <c r="B14" s="784" t="s">
        <v>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788"/>
      <c r="AE14" s="55"/>
      <c r="AF14" s="53"/>
      <c r="AG14" s="53"/>
      <c r="AH14" s="54"/>
      <c r="AL14" s="9" t="s">
        <v>23</v>
      </c>
      <c r="AO14" s="1"/>
      <c r="AQ14" s="1"/>
      <c r="AS14" s="1"/>
      <c r="AU14" s="1"/>
      <c r="AW14" s="1"/>
      <c r="AY14" s="1"/>
      <c r="BA14" s="1"/>
      <c r="BC14" s="1"/>
      <c r="BI14" s="24"/>
      <c r="BK14" s="12"/>
      <c r="BL14" s="6"/>
      <c r="BO14" s="6"/>
      <c r="BR14" s="6"/>
      <c r="BT14" s="6"/>
      <c r="BU14" s="6"/>
      <c r="BW14" s="6"/>
    </row>
    <row r="15" spans="1:81" x14ac:dyDescent="0.25">
      <c r="B15" s="28" t="s">
        <v>4</v>
      </c>
      <c r="C15" s="30">
        <v>62.809355178519411</v>
      </c>
      <c r="D15" s="30">
        <v>62.968117501165679</v>
      </c>
      <c r="E15" s="30">
        <v>65.813638259820522</v>
      </c>
      <c r="F15" s="30">
        <v>65.792310573604908</v>
      </c>
      <c r="G15" s="30">
        <v>65.460777350943417</v>
      </c>
      <c r="H15" s="30">
        <v>64.963142427642779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787"/>
      <c r="AE15" s="55"/>
      <c r="AF15" s="53"/>
      <c r="AG15" s="53"/>
      <c r="AH15" s="54"/>
      <c r="AK15">
        <v>2802.3650000000002</v>
      </c>
      <c r="AL15" s="15">
        <f>+AK15/AK7</f>
        <v>0.6280935517851941</v>
      </c>
      <c r="AM15">
        <v>2935.9249999999997</v>
      </c>
      <c r="AN15" s="15">
        <f>+AM15/AM7</f>
        <v>0.62968117501165677</v>
      </c>
      <c r="AO15" s="1">
        <v>3417.2060000000001</v>
      </c>
      <c r="AP15" s="9">
        <f>+AO15/AO7</f>
        <v>0.65813638259820517</v>
      </c>
      <c r="AQ15" s="1">
        <v>3628.8919999999994</v>
      </c>
      <c r="AR15" s="9">
        <f>+AQ15/AQ7</f>
        <v>0.65792310573604906</v>
      </c>
      <c r="AS15" s="1">
        <v>3758.7669999999998</v>
      </c>
      <c r="AT15" s="9">
        <f>+AS15/AS7</f>
        <v>0.65460777350943411</v>
      </c>
      <c r="AU15" s="1">
        <v>3940.7869999999998</v>
      </c>
      <c r="AV15" s="9">
        <f>+AU15/AU7</f>
        <v>0.64963142427642784</v>
      </c>
      <c r="AW15" s="1"/>
      <c r="AX15" s="9"/>
      <c r="AY15" s="1"/>
      <c r="AZ15" s="9"/>
      <c r="BA15" s="1"/>
      <c r="BB15" s="9"/>
      <c r="BC15" s="1"/>
      <c r="BD15" s="9"/>
      <c r="BI15" s="24"/>
      <c r="BK15" s="12"/>
      <c r="BL15" s="6"/>
      <c r="BO15" s="6"/>
      <c r="BR15" s="6"/>
      <c r="BT15" s="6"/>
      <c r="BU15" s="6"/>
      <c r="BW15" s="6"/>
      <c r="BX15" s="6"/>
      <c r="BZ15" s="6"/>
      <c r="CA15" s="6"/>
      <c r="CC15" s="6"/>
    </row>
    <row r="16" spans="1:81" x14ac:dyDescent="0.25">
      <c r="B16" s="28" t="s">
        <v>5</v>
      </c>
      <c r="C16" s="30">
        <v>14.486854786292222</v>
      </c>
      <c r="D16" s="30">
        <v>13.955429616103437</v>
      </c>
      <c r="E16" s="30">
        <v>15.020956248991284</v>
      </c>
      <c r="F16" s="30">
        <v>14.101765911643138</v>
      </c>
      <c r="G16" s="30">
        <v>14.649877203364536</v>
      </c>
      <c r="H16" s="30">
        <v>16.36660183189149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787"/>
      <c r="AE16" s="55"/>
      <c r="AF16" s="53"/>
      <c r="AG16" s="53"/>
      <c r="AH16" s="54"/>
      <c r="AK16">
        <v>646.36</v>
      </c>
      <c r="AL16" s="15">
        <f>+AK16/AK7</f>
        <v>0.14486854786292222</v>
      </c>
      <c r="AM16">
        <v>650.67999999999995</v>
      </c>
      <c r="AN16" s="15">
        <f>+AM16/AM7</f>
        <v>0.13955429616103437</v>
      </c>
      <c r="AO16" s="1">
        <v>779.92499999999995</v>
      </c>
      <c r="AP16" s="9">
        <f>+AO16/AO7</f>
        <v>0.15020956248991285</v>
      </c>
      <c r="AQ16" s="1">
        <v>777.80799999999999</v>
      </c>
      <c r="AR16" s="9">
        <f>+AQ16/AQ7</f>
        <v>0.14101765911643138</v>
      </c>
      <c r="AS16" s="1">
        <v>841.19800000000009</v>
      </c>
      <c r="AT16" s="9">
        <f>+AS16/AS7</f>
        <v>0.14649877203364536</v>
      </c>
      <c r="AU16" s="1">
        <v>992.82900000000006</v>
      </c>
      <c r="AV16" s="9">
        <f>+AU16/AU7</f>
        <v>0.16366601831891489</v>
      </c>
      <c r="AW16" s="1"/>
      <c r="AX16" s="9"/>
      <c r="AY16" s="1"/>
      <c r="AZ16" s="9"/>
      <c r="BA16" s="1"/>
      <c r="BB16" s="9"/>
      <c r="BC16" s="1"/>
      <c r="BD16" s="9"/>
      <c r="BI16" s="24"/>
      <c r="BK16" s="12"/>
      <c r="BL16" s="6"/>
      <c r="BO16" s="6"/>
      <c r="BR16" s="6"/>
      <c r="BT16" s="6"/>
      <c r="BU16" s="6"/>
      <c r="BW16" s="6"/>
      <c r="BX16" s="6"/>
      <c r="BZ16" s="6"/>
      <c r="CA16" s="6"/>
      <c r="CC16" s="6"/>
    </row>
    <row r="17" spans="2:81" x14ac:dyDescent="0.25">
      <c r="B17" s="28" t="s">
        <v>17</v>
      </c>
      <c r="C17" s="30"/>
      <c r="D17" s="30"/>
      <c r="E17" s="30"/>
      <c r="F17" s="30"/>
      <c r="G17" s="30"/>
      <c r="H17" s="30"/>
      <c r="I17" s="30">
        <v>82.612050722061397</v>
      </c>
      <c r="J17" s="30">
        <v>83.792912953225937</v>
      </c>
      <c r="K17" s="30">
        <v>83.964876082547207</v>
      </c>
      <c r="L17" s="30">
        <v>84.108670707698224</v>
      </c>
      <c r="M17" s="30">
        <v>83.754215932920275</v>
      </c>
      <c r="N17" s="30">
        <v>83.770322204702197</v>
      </c>
      <c r="O17" s="30">
        <v>84.695690250320567</v>
      </c>
      <c r="P17" s="30">
        <v>82.948601796467841</v>
      </c>
      <c r="Q17" s="30">
        <v>83.631582611448152</v>
      </c>
      <c r="R17" s="30">
        <v>85.121213131013263</v>
      </c>
      <c r="S17" s="30">
        <v>84.509759298732817</v>
      </c>
      <c r="T17" s="30">
        <v>85.493257774409244</v>
      </c>
      <c r="U17" s="30">
        <v>87.179150967461965</v>
      </c>
      <c r="V17" s="30">
        <v>86.654558188580694</v>
      </c>
      <c r="W17" s="30">
        <v>88.642264629149778</v>
      </c>
      <c r="X17" s="30">
        <v>90.303887354173852</v>
      </c>
      <c r="Y17" s="30">
        <v>89.959966123667584</v>
      </c>
      <c r="Z17" s="30">
        <v>90.322231324117993</v>
      </c>
      <c r="AA17" s="30">
        <v>90.487190236754401</v>
      </c>
      <c r="AB17" s="30">
        <v>90.581570912433435</v>
      </c>
      <c r="AC17" s="30">
        <v>90.380213332078469</v>
      </c>
      <c r="AD17" s="787">
        <v>90.473550496709862</v>
      </c>
      <c r="AE17" s="55"/>
      <c r="AF17" s="53"/>
      <c r="AG17" s="53"/>
      <c r="AH17" s="54"/>
      <c r="AL17" s="15"/>
      <c r="AO17" s="1"/>
      <c r="AQ17" s="1"/>
      <c r="AS17" s="1"/>
      <c r="AU17" s="1"/>
      <c r="AW17" s="1">
        <v>4879.6460000000006</v>
      </c>
      <c r="AX17" s="9">
        <f>+AW17/AW7</f>
        <v>0.82612050722061403</v>
      </c>
      <c r="AY17" s="1">
        <v>4973.5560000000005</v>
      </c>
      <c r="AZ17" s="9">
        <f>+AY17/AY7</f>
        <v>0.8379291295322594</v>
      </c>
      <c r="BA17" s="1">
        <v>5012.7560000000003</v>
      </c>
      <c r="BB17" s="9">
        <f>+BA17/BA7</f>
        <v>0.83964876082547202</v>
      </c>
      <c r="BC17" s="1">
        <v>5060.245600000002</v>
      </c>
      <c r="BD17" s="9">
        <f>+BC17/BC7</f>
        <v>0.8410867070769823</v>
      </c>
      <c r="BE17" s="1">
        <v>5193.2016000000003</v>
      </c>
      <c r="BF17" s="9">
        <f>+BE17/BE7</f>
        <v>0.83754215932920273</v>
      </c>
      <c r="BG17" s="1">
        <v>5392.1654159999998</v>
      </c>
      <c r="BH17" s="9">
        <f>+BG17/BG7</f>
        <v>0.83770322204702197</v>
      </c>
      <c r="BI17" s="25">
        <v>5952.0042000000003</v>
      </c>
      <c r="BJ17" s="9">
        <f>+BI17/BI7</f>
        <v>0.84695690250320566</v>
      </c>
      <c r="BK17" s="12">
        <f>+BJ17*100</f>
        <v>84.695690250320567</v>
      </c>
      <c r="BL17" s="6">
        <v>5937.4070000000029</v>
      </c>
      <c r="BM17" s="9">
        <f>+BL17/BL7</f>
        <v>0.82948601796467836</v>
      </c>
      <c r="BN17" s="6">
        <f>+BM17*100</f>
        <v>82.948601796467841</v>
      </c>
      <c r="BO17" s="6">
        <v>6679.2330000000002</v>
      </c>
      <c r="BP17" s="9">
        <f>+BO17/BO7</f>
        <v>0.83631582611448152</v>
      </c>
      <c r="BQ17" s="6">
        <f>+BP17*100</f>
        <v>83.631582611448152</v>
      </c>
      <c r="BR17" s="6">
        <v>7331.1129999999994</v>
      </c>
      <c r="BS17" s="9">
        <f>+BR17/BR7</f>
        <v>0.85121213131013262</v>
      </c>
      <c r="BT17" s="6">
        <f>+BS17*100</f>
        <v>85.121213131013263</v>
      </c>
      <c r="BU17" s="6">
        <v>7341.4400000000005</v>
      </c>
      <c r="BV17" s="9">
        <f>+BU17/BU7</f>
        <v>0.84468603402657638</v>
      </c>
      <c r="BW17" s="6">
        <f>+BV17*100</f>
        <v>84.468603402657635</v>
      </c>
      <c r="BX17" s="6">
        <v>8292.0739999999987</v>
      </c>
      <c r="BY17" s="9">
        <f>+BX17/BX7</f>
        <v>0.85493257774409293</v>
      </c>
      <c r="BZ17" s="6">
        <f>+BY17*100</f>
        <v>85.493257774409287</v>
      </c>
      <c r="CA17" s="6">
        <v>9633.9229999999989</v>
      </c>
      <c r="CB17" s="9">
        <f>+CA17/CA7</f>
        <v>0.87179150967461916</v>
      </c>
      <c r="CC17" s="6">
        <f>+CB17*100</f>
        <v>87.179150967461922</v>
      </c>
    </row>
    <row r="18" spans="2:81" x14ac:dyDescent="0.25">
      <c r="B18" s="28" t="s">
        <v>6</v>
      </c>
      <c r="C18" s="30">
        <v>22.70379003518838</v>
      </c>
      <c r="D18" s="30">
        <v>23.077460913086771</v>
      </c>
      <c r="E18" s="30">
        <v>19.170258882187017</v>
      </c>
      <c r="F18" s="30">
        <v>20.098889021440336</v>
      </c>
      <c r="G18" s="30">
        <v>19.896555459460739</v>
      </c>
      <c r="H18" s="30">
        <v>18.67025574046572</v>
      </c>
      <c r="I18" s="30">
        <v>17.38783076844939</v>
      </c>
      <c r="J18" s="30">
        <v>16.207087046774056</v>
      </c>
      <c r="K18" s="30">
        <v>16.035123917452797</v>
      </c>
      <c r="L18" s="30">
        <v>15.891329292301769</v>
      </c>
      <c r="M18" s="30">
        <v>16.245784067079729</v>
      </c>
      <c r="N18" s="30">
        <v>16.229677795297807</v>
      </c>
      <c r="O18" s="30">
        <v>15.304309749679454</v>
      </c>
      <c r="P18" s="30">
        <v>17.051398203532166</v>
      </c>
      <c r="Q18" s="30">
        <v>16.368417388551894</v>
      </c>
      <c r="R18" s="30">
        <v>14.878786868986776</v>
      </c>
      <c r="S18" s="30">
        <v>15.490240701267195</v>
      </c>
      <c r="T18" s="30">
        <v>14.506742225590694</v>
      </c>
      <c r="U18" s="30">
        <v>12.820849032538039</v>
      </c>
      <c r="V18" s="30">
        <v>13.345441811419301</v>
      </c>
      <c r="W18" s="30">
        <v>11.357735370850222</v>
      </c>
      <c r="X18" s="30">
        <v>9.6961126458261564</v>
      </c>
      <c r="Y18" s="30">
        <v>10.04003387633238</v>
      </c>
      <c r="Z18" s="30">
        <v>9.6777686758819286</v>
      </c>
      <c r="AA18" s="30">
        <v>9.5128097632455138</v>
      </c>
      <c r="AB18" s="30">
        <v>9.4184290875665049</v>
      </c>
      <c r="AC18" s="30">
        <v>9.6197866679217814</v>
      </c>
      <c r="AD18" s="787">
        <v>9.5264495032901308</v>
      </c>
      <c r="AE18" s="55"/>
      <c r="AF18" s="56"/>
      <c r="AG18" s="53"/>
      <c r="AH18" s="54"/>
      <c r="AK18">
        <v>1012.975</v>
      </c>
      <c r="AL18" s="15">
        <f>+AK18/AK7</f>
        <v>0.22703790035188381</v>
      </c>
      <c r="AM18" s="12">
        <v>1076</v>
      </c>
      <c r="AN18" s="15">
        <f>+AM18/AM7</f>
        <v>0.2307746091308677</v>
      </c>
      <c r="AO18" s="1">
        <v>995.36699999999985</v>
      </c>
      <c r="AP18" s="9">
        <f>+AO18/AO7</f>
        <v>0.19170258882187016</v>
      </c>
      <c r="AQ18" s="1">
        <v>1108.5899999999999</v>
      </c>
      <c r="AR18" s="9">
        <f>+AQ18/AQ7</f>
        <v>0.20098889021440336</v>
      </c>
      <c r="AS18" s="1">
        <v>1142.463</v>
      </c>
      <c r="AT18" s="9">
        <f>+AS18/AS7</f>
        <v>0.19896555459460738</v>
      </c>
      <c r="AU18" s="1">
        <v>1132.5730000000001</v>
      </c>
      <c r="AV18" s="9">
        <f>+AU18/AU7</f>
        <v>0.18670255740465719</v>
      </c>
      <c r="AW18" s="1">
        <v>1027.047</v>
      </c>
      <c r="AX18" s="9">
        <f>+AW18/AW7</f>
        <v>0.17387830768449389</v>
      </c>
      <c r="AY18" s="1">
        <v>961.97699999999975</v>
      </c>
      <c r="AZ18" s="9">
        <f>+AY18/AY7</f>
        <v>0.16207087046774057</v>
      </c>
      <c r="BA18" s="1">
        <v>957.3069999999999</v>
      </c>
      <c r="BB18" s="9">
        <f>+BA18/BA7</f>
        <v>0.16035123917452795</v>
      </c>
      <c r="BC18" s="1">
        <v>956.07300000000021</v>
      </c>
      <c r="BD18" s="9">
        <f>+BC18/BC7</f>
        <v>0.1589132929230177</v>
      </c>
      <c r="BE18" s="1">
        <v>1007.3239999999998</v>
      </c>
      <c r="BF18" s="9">
        <f>+BE18/BE7</f>
        <v>0.1624578406707973</v>
      </c>
      <c r="BG18" s="1">
        <v>1044.6791299999998</v>
      </c>
      <c r="BH18" s="9">
        <f>+BG18/BG7</f>
        <v>0.16229677795297806</v>
      </c>
      <c r="BI18" s="25">
        <v>1075.5130000000004</v>
      </c>
      <c r="BJ18" s="9">
        <f>+BI18/BI7</f>
        <v>0.15304309749679454</v>
      </c>
      <c r="BK18" s="12">
        <f>+BJ18*100</f>
        <v>15.304309749679454</v>
      </c>
      <c r="BL18" s="6">
        <v>1220.5280000000007</v>
      </c>
      <c r="BM18" s="9">
        <f>+BL18/BL7</f>
        <v>0.17051398203532167</v>
      </c>
      <c r="BN18" s="6">
        <f>+BM18*100</f>
        <v>17.051398203532166</v>
      </c>
      <c r="BO18" s="6">
        <v>1307.2630000000008</v>
      </c>
      <c r="BP18" s="9">
        <f>+BO18/BO7</f>
        <v>0.16368417388551892</v>
      </c>
      <c r="BQ18" s="6">
        <f>+BP18*100</f>
        <v>16.368417388551894</v>
      </c>
      <c r="BR18" s="6">
        <v>1281.4440000000011</v>
      </c>
      <c r="BS18" s="9">
        <f>+BR18/BR7</f>
        <v>0.14878786868986776</v>
      </c>
      <c r="BT18" s="6">
        <f>+BS18*100</f>
        <v>14.878786868986776</v>
      </c>
      <c r="BU18" s="6">
        <v>1349.884</v>
      </c>
      <c r="BV18" s="9">
        <f>+BU18/BU7</f>
        <v>0.15531396597342362</v>
      </c>
      <c r="BW18" s="6">
        <f>+BV18*100</f>
        <v>15.531396597342361</v>
      </c>
      <c r="BX18" s="6">
        <v>1407.0230000000004</v>
      </c>
      <c r="BY18" s="9">
        <f>+BX18/BX7</f>
        <v>0.14506742225590696</v>
      </c>
      <c r="BZ18" s="6">
        <f>+BY18*100</f>
        <v>14.506742225590695</v>
      </c>
      <c r="CA18" s="6">
        <v>1416.7959999999998</v>
      </c>
      <c r="CB18" s="9">
        <f>+CA18/CA7</f>
        <v>0.12820849032538062</v>
      </c>
      <c r="CC18" s="6">
        <f>+CB18*100</f>
        <v>12.820849032538062</v>
      </c>
    </row>
    <row r="19" spans="2:81" x14ac:dyDescent="0.25">
      <c r="B19" s="784" t="s">
        <v>12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788"/>
      <c r="AE19" s="55"/>
      <c r="AF19" s="53"/>
      <c r="AG19" s="53"/>
      <c r="AH19" s="54"/>
      <c r="AL19" s="9"/>
      <c r="BI19" s="6"/>
      <c r="BK19" s="12"/>
      <c r="BL19" s="6"/>
      <c r="BM19" s="9"/>
      <c r="BO19" s="6"/>
      <c r="BP19" s="9"/>
      <c r="BR19" s="6"/>
      <c r="BS19" s="9"/>
      <c r="BT19" s="6"/>
      <c r="BU19" s="6"/>
      <c r="BV19" s="9"/>
      <c r="BW19" s="6"/>
      <c r="BX19" s="6"/>
      <c r="BY19" s="9"/>
      <c r="BZ19" s="6"/>
      <c r="CA19" s="6"/>
      <c r="CB19" s="9"/>
      <c r="CC19" s="6"/>
    </row>
    <row r="20" spans="2:81" x14ac:dyDescent="0.25">
      <c r="B20" s="28" t="s">
        <v>10</v>
      </c>
      <c r="C20" s="30">
        <v>71.401035479749879</v>
      </c>
      <c r="D20" s="30">
        <v>71.909754259357214</v>
      </c>
      <c r="E20" s="30">
        <v>83.292837049708368</v>
      </c>
      <c r="F20" s="30">
        <v>83.991777620085884</v>
      </c>
      <c r="G20" s="30">
        <v>84.079018267806376</v>
      </c>
      <c r="H20" s="30">
        <v>84.877853294712708</v>
      </c>
      <c r="I20" s="30">
        <v>85.509912472277236</v>
      </c>
      <c r="J20" s="30">
        <v>85.384935101868692</v>
      </c>
      <c r="K20" s="30">
        <v>85.344208260448838</v>
      </c>
      <c r="L20" s="30">
        <v>84.703320066859504</v>
      </c>
      <c r="M20" s="30">
        <v>84.196630040524312</v>
      </c>
      <c r="N20" s="30">
        <v>84.127925683169053</v>
      </c>
      <c r="O20" s="30">
        <v>85.232451654476208</v>
      </c>
      <c r="P20" s="30">
        <v>83.780908879446386</v>
      </c>
      <c r="Q20" s="30">
        <v>84.186056062633781</v>
      </c>
      <c r="R20" s="30">
        <v>84.866387531600651</v>
      </c>
      <c r="S20" s="30">
        <v>84.238268410313907</v>
      </c>
      <c r="T20" s="30">
        <v>85.236501913528599</v>
      </c>
      <c r="U20" s="30">
        <v>87.185557790402598</v>
      </c>
      <c r="V20" s="30">
        <v>86.937242085980103</v>
      </c>
      <c r="W20" s="30">
        <v>87.932077993690356</v>
      </c>
      <c r="X20" s="30">
        <v>89.852115157240604</v>
      </c>
      <c r="Y20" s="30">
        <v>89.847083473506302</v>
      </c>
      <c r="Z20" s="30">
        <v>90.130756958295152</v>
      </c>
      <c r="AA20" s="30">
        <v>90.262113465460175</v>
      </c>
      <c r="AB20" s="30">
        <v>90.367255614516921</v>
      </c>
      <c r="AC20" s="30">
        <v>90.356426327527032</v>
      </c>
      <c r="AD20" s="787">
        <v>90.411981292302173</v>
      </c>
      <c r="AE20" s="55"/>
      <c r="AF20" s="53"/>
      <c r="AG20" s="53"/>
      <c r="AH20" s="54"/>
      <c r="AK20">
        <v>3185.7</v>
      </c>
      <c r="AL20" s="9">
        <f>+AK20/AK7</f>
        <v>0.71401035479749875</v>
      </c>
      <c r="AM20">
        <v>3352.8339999999998</v>
      </c>
      <c r="AN20" s="9">
        <f>+AM20/AM7</f>
        <v>0.71909754259357217</v>
      </c>
      <c r="AO20">
        <v>4324.7690000000002</v>
      </c>
      <c r="AP20" s="9">
        <f>+AO20/AO7</f>
        <v>0.83292837049708368</v>
      </c>
      <c r="AQ20">
        <v>4632.7160000000003</v>
      </c>
      <c r="AR20" s="9">
        <f>+AQ20/AQ7</f>
        <v>0.83991777620085883</v>
      </c>
      <c r="AS20">
        <v>4827.8289999999997</v>
      </c>
      <c r="AT20" s="9">
        <f>+AS20/AS7</f>
        <v>0.84079018267806371</v>
      </c>
      <c r="AU20">
        <v>5148.8509999999997</v>
      </c>
      <c r="AV20" s="9">
        <f>+AU20/AU7</f>
        <v>0.84877853294712702</v>
      </c>
      <c r="AW20">
        <v>5050.8139999999994</v>
      </c>
      <c r="AX20" s="9">
        <f>+AW20/AW7</f>
        <v>0.85509912472277239</v>
      </c>
      <c r="AY20">
        <v>5068.0510000000004</v>
      </c>
      <c r="AZ20" s="9">
        <f>+AY20/AY7</f>
        <v>0.85384935101868698</v>
      </c>
      <c r="BA20">
        <v>5095.1030000000001</v>
      </c>
      <c r="BB20" s="9">
        <f>+BA20/BA7</f>
        <v>0.85344208260448839</v>
      </c>
      <c r="BC20" s="1">
        <v>5096.0216000000028</v>
      </c>
      <c r="BD20" s="9">
        <f>+BC20/BC7</f>
        <v>0.847033200668595</v>
      </c>
      <c r="BE20" s="1">
        <v>5220.6336000000001</v>
      </c>
      <c r="BF20" s="9">
        <f>+BE20/BE7</f>
        <v>0.84196630040524312</v>
      </c>
      <c r="BG20" s="1">
        <v>5415.1837959999993</v>
      </c>
      <c r="BH20" s="9">
        <f>+BG20/BG7</f>
        <v>0.84127925683169047</v>
      </c>
      <c r="BI20" s="25">
        <v>5989.7251999999989</v>
      </c>
      <c r="BJ20" s="9">
        <f>+BI20/BI7</f>
        <v>0.85232451654476205</v>
      </c>
      <c r="BK20" s="12">
        <f>+BJ20*100</f>
        <v>85.232451654476208</v>
      </c>
      <c r="BL20" s="6">
        <v>5996.9830000000029</v>
      </c>
      <c r="BM20" s="9">
        <f>+BL20/BL7</f>
        <v>0.83780908879446381</v>
      </c>
      <c r="BN20" s="6">
        <f>+BM20*100</f>
        <v>83.780908879446386</v>
      </c>
      <c r="BO20" s="6">
        <v>6723.5160000000024</v>
      </c>
      <c r="BP20" s="9">
        <f>+BO20/BO7</f>
        <v>0.84186056062633785</v>
      </c>
      <c r="BQ20" s="6">
        <f>+BP20*100</f>
        <v>84.186056062633781</v>
      </c>
      <c r="BR20" s="6">
        <v>7309.1659999999965</v>
      </c>
      <c r="BS20" s="9">
        <f>+BR20/BR7</f>
        <v>0.84866387531600651</v>
      </c>
      <c r="BT20" s="6">
        <f>+BS20*100</f>
        <v>84.866387531600651</v>
      </c>
      <c r="BU20" s="6">
        <v>7314.2370000000001</v>
      </c>
      <c r="BV20" s="9">
        <f>+BU20/BU7</f>
        <v>0.84155613114871797</v>
      </c>
      <c r="BW20" s="6">
        <f>+BV20*100</f>
        <v>84.155613114871798</v>
      </c>
      <c r="BX20" s="6">
        <v>8267.1709999999985</v>
      </c>
      <c r="BY20" s="9">
        <f>+BX20/BX7</f>
        <v>0.85236501913528639</v>
      </c>
      <c r="BZ20" s="6">
        <f>+BY20*100</f>
        <v>85.236501913528642</v>
      </c>
      <c r="CA20" s="6">
        <v>9634.6309999999994</v>
      </c>
      <c r="CB20" s="9">
        <f>+CA20/CA7</f>
        <v>0.87185557790402579</v>
      </c>
      <c r="CC20" s="6">
        <f>+CB20*100</f>
        <v>87.185557790402584</v>
      </c>
    </row>
    <row r="21" spans="2:81" x14ac:dyDescent="0.25">
      <c r="B21" s="28" t="s">
        <v>11</v>
      </c>
      <c r="C21" s="30">
        <v>28.598964520250131</v>
      </c>
      <c r="D21" s="30">
        <v>28.0902457406428</v>
      </c>
      <c r="E21" s="30">
        <v>16.70716295029165</v>
      </c>
      <c r="F21" s="30">
        <v>16.009128886784183</v>
      </c>
      <c r="G21" s="30">
        <v>15.920981732193615</v>
      </c>
      <c r="H21" s="30">
        <v>15.122146705287292</v>
      </c>
      <c r="I21" s="30">
        <v>14.489969018233531</v>
      </c>
      <c r="J21" s="30">
        <v>14.615064898131299</v>
      </c>
      <c r="K21" s="30">
        <v>14.655791739551157</v>
      </c>
      <c r="L21" s="30">
        <v>15.296679933140503</v>
      </c>
      <c r="M21" s="30">
        <v>15.803369959475694</v>
      </c>
      <c r="N21" s="30">
        <v>15.872074316830956</v>
      </c>
      <c r="O21" s="30">
        <v>14.767548345523803</v>
      </c>
      <c r="P21" s="30">
        <v>16.219091120553625</v>
      </c>
      <c r="Q21" s="30">
        <v>15.813943937366279</v>
      </c>
      <c r="R21" s="30">
        <v>15.133612468399352</v>
      </c>
      <c r="S21" s="30">
        <v>15.761731589686104</v>
      </c>
      <c r="T21" s="30">
        <v>14.763498086471346</v>
      </c>
      <c r="U21" s="30">
        <v>12.814442209597393</v>
      </c>
      <c r="V21" s="30">
        <v>13.062757914019899</v>
      </c>
      <c r="W21" s="30">
        <v>12.067922006309646</v>
      </c>
      <c r="X21" s="30">
        <v>10.147884842759341</v>
      </c>
      <c r="Y21" s="30">
        <v>10.152916526493685</v>
      </c>
      <c r="Z21" s="30">
        <v>9.8692430417048023</v>
      </c>
      <c r="AA21" s="30">
        <v>9.7378865345398076</v>
      </c>
      <c r="AB21" s="30">
        <v>9.6327443854830808</v>
      </c>
      <c r="AC21" s="30">
        <v>9.643573672472975</v>
      </c>
      <c r="AD21" s="787">
        <v>9.5880187076977297</v>
      </c>
      <c r="AE21" s="55"/>
      <c r="AF21" s="53"/>
      <c r="AG21" s="53"/>
      <c r="AH21" s="54"/>
      <c r="AK21">
        <v>1276</v>
      </c>
      <c r="AL21" s="9">
        <f>+AK21/AK7</f>
        <v>0.28598964520250131</v>
      </c>
      <c r="AM21">
        <v>1309.7239999999999</v>
      </c>
      <c r="AN21" s="9">
        <f>+AM21/AM7</f>
        <v>0.280902457406428</v>
      </c>
      <c r="AO21">
        <v>867.47699999999998</v>
      </c>
      <c r="AP21" s="9">
        <f>+AO21/AO7</f>
        <v>0.16707162950291649</v>
      </c>
      <c r="AQ21">
        <v>883.01200000000006</v>
      </c>
      <c r="AR21" s="9">
        <f>+AQ21/AQ7</f>
        <v>0.16009128886784182</v>
      </c>
      <c r="AS21">
        <v>914.18499999999995</v>
      </c>
      <c r="AT21" s="9">
        <f>+AS21/AS7</f>
        <v>0.15920981732193615</v>
      </c>
      <c r="AU21">
        <v>917.33800000000019</v>
      </c>
      <c r="AV21" s="9">
        <f>+AU21/AU7</f>
        <v>0.15122146705287293</v>
      </c>
      <c r="AW21">
        <v>855.87900000000002</v>
      </c>
      <c r="AX21" s="9">
        <f>+AW21/AW7</f>
        <v>0.14489969018233531</v>
      </c>
      <c r="AY21">
        <v>867.48199999999974</v>
      </c>
      <c r="AZ21" s="9">
        <f>+AY21/AY7</f>
        <v>0.146150648981313</v>
      </c>
      <c r="BA21">
        <v>874.96</v>
      </c>
      <c r="BB21" s="9">
        <f>+BA21/BA7</f>
        <v>0.14655791739551158</v>
      </c>
      <c r="BC21" s="1">
        <v>920.29700000000003</v>
      </c>
      <c r="BD21" s="9">
        <f>+BC21/BC7</f>
        <v>0.15296679933140503</v>
      </c>
      <c r="BE21" s="1">
        <v>979.89199999999994</v>
      </c>
      <c r="BF21" s="9">
        <f>+BE21/BE7</f>
        <v>0.15803369959475694</v>
      </c>
      <c r="BG21" s="1">
        <v>1021.66075</v>
      </c>
      <c r="BH21" s="9">
        <f>+BG21/BG7</f>
        <v>0.15872074316830956</v>
      </c>
      <c r="BI21" s="25">
        <v>1037.7920000000006</v>
      </c>
      <c r="BJ21" s="9">
        <f>+BI21/BI7</f>
        <v>0.14767548345523804</v>
      </c>
      <c r="BK21" s="12">
        <f>+BJ21*100</f>
        <v>14.767548345523803</v>
      </c>
      <c r="BL21" s="6">
        <v>1160.9520000000007</v>
      </c>
      <c r="BM21" s="9">
        <f>+BL21/BL7</f>
        <v>0.16219091120553625</v>
      </c>
      <c r="BN21" s="6">
        <f>+BM21*100</f>
        <v>16.219091120553625</v>
      </c>
      <c r="BO21" s="6">
        <v>1262.98</v>
      </c>
      <c r="BP21" s="9">
        <f>+BO21/BO7</f>
        <v>0.15813943937366279</v>
      </c>
      <c r="BQ21" s="6">
        <f>+BP21*100</f>
        <v>15.813943937366279</v>
      </c>
      <c r="BR21" s="6">
        <v>1303.3910000000008</v>
      </c>
      <c r="BS21" s="9">
        <f>+BR21/BR7</f>
        <v>0.15133612468399352</v>
      </c>
      <c r="BT21" s="6">
        <f>+BS21*100</f>
        <v>15.133612468399352</v>
      </c>
      <c r="BU21" s="6">
        <v>1377.087</v>
      </c>
      <c r="BV21" s="9">
        <f>+BU21/BU7</f>
        <v>0.15844386885128203</v>
      </c>
      <c r="BW21" s="6">
        <f>+BV21*100</f>
        <v>15.844386885128204</v>
      </c>
      <c r="BX21" s="6">
        <v>1431.9260000000006</v>
      </c>
      <c r="BY21" s="9">
        <f>+BX21/BX7</f>
        <v>0.14763498086471355</v>
      </c>
      <c r="BZ21" s="6">
        <f>+BY21*100</f>
        <v>14.763498086471355</v>
      </c>
      <c r="CA21" s="6">
        <v>1416.0879999999997</v>
      </c>
      <c r="CB21" s="9">
        <f>+CA21/CA7</f>
        <v>0.12814442209597399</v>
      </c>
      <c r="CC21" s="6">
        <f>+CB21*100</f>
        <v>12.814442209597399</v>
      </c>
    </row>
    <row r="22" spans="2:81" x14ac:dyDescent="0.25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785"/>
      <c r="AE22" s="52"/>
      <c r="AF22" s="53"/>
      <c r="AG22" s="53"/>
      <c r="AH22" s="54"/>
      <c r="BI22" s="24"/>
      <c r="BK22" s="12"/>
      <c r="BL22" s="6"/>
      <c r="BO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</row>
    <row r="23" spans="2:81" ht="14" x14ac:dyDescent="0.3">
      <c r="B23" s="1012" t="s">
        <v>19</v>
      </c>
      <c r="C23" s="1013">
        <v>4075.4080000000004</v>
      </c>
      <c r="D23" s="1013">
        <v>4003.201</v>
      </c>
      <c r="E23" s="1013">
        <v>4581.0190000000002</v>
      </c>
      <c r="F23" s="1013">
        <v>4781.6309999999994</v>
      </c>
      <c r="G23" s="1013">
        <v>5116.1559999999999</v>
      </c>
      <c r="H23" s="1013">
        <v>5554.8460000000005</v>
      </c>
      <c r="I23" s="1013">
        <v>5387.1769999999997</v>
      </c>
      <c r="J23" s="1013">
        <v>5395.6689999999999</v>
      </c>
      <c r="K23" s="1013">
        <v>5421.8069999999998</v>
      </c>
      <c r="L23" s="1013">
        <v>5417.9590700000017</v>
      </c>
      <c r="M23" s="1013">
        <v>5610.9250000000002</v>
      </c>
      <c r="N23" s="1013">
        <v>5873.4</v>
      </c>
      <c r="O23" s="1013">
        <v>6352.0139999999965</v>
      </c>
      <c r="P23" s="1013">
        <v>6348.9440000000004</v>
      </c>
      <c r="Q23" s="1013">
        <v>7256.3469999999979</v>
      </c>
      <c r="R23" s="1013">
        <v>8000.3869999999997</v>
      </c>
      <c r="S23" s="1013">
        <v>8045.5330000000004</v>
      </c>
      <c r="T23" s="1013">
        <v>8939.2570000000014</v>
      </c>
      <c r="U23" s="1013">
        <v>9885.2720000000008</v>
      </c>
      <c r="V23" s="1013">
        <v>10269.342000000006</v>
      </c>
      <c r="W23" s="1013">
        <v>11230.440000000006</v>
      </c>
      <c r="X23" s="1013">
        <v>13642.506100000002</v>
      </c>
      <c r="Y23" s="1013">
        <v>13852.100279999995</v>
      </c>
      <c r="Z23" s="1013">
        <v>14366.256100000006</v>
      </c>
      <c r="AA23" s="1013">
        <v>14378.893099999992</v>
      </c>
      <c r="AB23" s="1013">
        <v>14431.969100000006</v>
      </c>
      <c r="AC23" s="1013">
        <v>14579.392100000006</v>
      </c>
      <c r="AD23" s="1014">
        <v>14976.981099999995</v>
      </c>
      <c r="AE23" s="1015">
        <f>((AD23/AC23)-1)*100</f>
        <v>2.7270615761818329</v>
      </c>
      <c r="AF23" s="1016">
        <f>((AD23/Y23)^(1/5))-1</f>
        <v>1.5738071862674952E-2</v>
      </c>
      <c r="AG23" s="1017">
        <f>((AD23/T23)-1)*100</f>
        <v>67.541677121487751</v>
      </c>
      <c r="AH23" s="1018">
        <f>((AD23/T23)^(1/10))-1</f>
        <v>5.2960999860316438E-2</v>
      </c>
      <c r="AK23" s="3">
        <v>4075.4080000000004</v>
      </c>
      <c r="AM23" s="3">
        <v>4003.201</v>
      </c>
      <c r="AO23" s="3">
        <v>4581.0190000000002</v>
      </c>
      <c r="AQ23" s="3">
        <v>4781.6309999999994</v>
      </c>
      <c r="AS23" s="3">
        <v>5116.1559999999999</v>
      </c>
      <c r="AU23" s="3">
        <v>5554.8460000000005</v>
      </c>
      <c r="AW23" s="3">
        <v>5387.1769999999997</v>
      </c>
      <c r="AY23" s="3">
        <v>5395.6689999999999</v>
      </c>
      <c r="BA23" s="3">
        <v>5421.8069999999998</v>
      </c>
      <c r="BC23" s="3">
        <v>5417.9590700000017</v>
      </c>
      <c r="BE23" s="3">
        <v>5610.9250000000002</v>
      </c>
      <c r="BG23" s="3">
        <v>5796.6394477799995</v>
      </c>
      <c r="BI23" s="26">
        <v>6352.0139999999965</v>
      </c>
      <c r="BK23" s="12"/>
      <c r="BL23" s="38">
        <v>6348.9440000000004</v>
      </c>
      <c r="BM23" s="39"/>
      <c r="BN23" s="7"/>
      <c r="BO23" s="38">
        <v>7256.3469999999979</v>
      </c>
      <c r="BP23" s="39"/>
      <c r="BQ23" s="7"/>
      <c r="BR23" s="26">
        <v>8000.3869999999997</v>
      </c>
      <c r="BS23" s="43"/>
      <c r="BT23" s="37"/>
      <c r="BU23" s="26">
        <v>8045.5330000000004</v>
      </c>
      <c r="BV23" s="43"/>
      <c r="BW23" s="37"/>
      <c r="BX23" s="26">
        <v>8939.2570000000014</v>
      </c>
      <c r="BY23" s="43"/>
      <c r="BZ23" s="37"/>
      <c r="CA23" s="26">
        <v>9885.2720000000008</v>
      </c>
      <c r="CB23" s="43"/>
      <c r="CC23" s="37"/>
    </row>
    <row r="24" spans="2:8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785"/>
      <c r="AE24" s="52"/>
      <c r="AF24" s="53"/>
      <c r="AG24" s="53"/>
      <c r="AH24" s="54"/>
      <c r="BI24" s="24"/>
      <c r="BK24" s="12"/>
      <c r="BL24" s="6"/>
      <c r="BO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</row>
    <row r="25" spans="2:81" x14ac:dyDescent="0.25">
      <c r="B25" s="784" t="s">
        <v>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786"/>
      <c r="AE25" s="52"/>
      <c r="AF25" s="53"/>
      <c r="AG25" s="53"/>
      <c r="AH25" s="54"/>
      <c r="BI25" s="24"/>
      <c r="BK25" s="12"/>
      <c r="BL25" s="6"/>
      <c r="BO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</row>
    <row r="26" spans="2:81" x14ac:dyDescent="0.25">
      <c r="B26" s="28" t="s">
        <v>1</v>
      </c>
      <c r="C26" s="30">
        <v>60.727294052521863</v>
      </c>
      <c r="D26" s="30">
        <v>55.002908922135063</v>
      </c>
      <c r="E26" s="30">
        <v>48.262275271069598</v>
      </c>
      <c r="F26" s="30">
        <v>44.270856534098932</v>
      </c>
      <c r="G26" s="30">
        <v>45.309564446432049</v>
      </c>
      <c r="H26" s="30">
        <v>47.722205080032829</v>
      </c>
      <c r="I26" s="30">
        <v>50.945105386364695</v>
      </c>
      <c r="J26" s="30">
        <v>51.435364178195506</v>
      </c>
      <c r="K26" s="30">
        <v>51.463893864167432</v>
      </c>
      <c r="L26" s="30">
        <v>51.956909117070907</v>
      </c>
      <c r="M26" s="30">
        <v>53.274691784331466</v>
      </c>
      <c r="N26" s="30">
        <v>51</v>
      </c>
      <c r="O26" s="30">
        <v>47.438465973154344</v>
      </c>
      <c r="P26" s="30">
        <v>47.691427109768178</v>
      </c>
      <c r="Q26" s="30">
        <v>42.938519891620395</v>
      </c>
      <c r="R26" s="30">
        <v>41.46605657951298</v>
      </c>
      <c r="S26" s="30">
        <v>41.372324245018945</v>
      </c>
      <c r="T26" s="30">
        <v>37.588537839330492</v>
      </c>
      <c r="U26" s="30">
        <v>34.540354580025706</v>
      </c>
      <c r="V26" s="30">
        <v>34.347750810129803</v>
      </c>
      <c r="W26" s="30">
        <v>35.623828745610929</v>
      </c>
      <c r="X26" s="30">
        <v>37.283025294011047</v>
      </c>
      <c r="Y26" s="30">
        <v>37.237751501464004</v>
      </c>
      <c r="Z26" s="30">
        <v>36.835164034142451</v>
      </c>
      <c r="AA26" s="30">
        <v>37.239660680139544</v>
      </c>
      <c r="AB26" s="30">
        <v>37.214097139384776</v>
      </c>
      <c r="AC26" s="30">
        <v>37.60320706375677</v>
      </c>
      <c r="AD26" s="787">
        <v>36.678206130606647</v>
      </c>
      <c r="AE26" s="55"/>
      <c r="AF26" s="53"/>
      <c r="AG26" s="53"/>
      <c r="AH26" s="54"/>
      <c r="AK26">
        <v>2474.8850000000002</v>
      </c>
      <c r="AL26" s="15">
        <f>+AK26/AK23</f>
        <v>0.60727294052521863</v>
      </c>
      <c r="AM26" s="1">
        <v>2201.877</v>
      </c>
      <c r="AN26" s="15">
        <f>+AM26/AM23</f>
        <v>0.55002908922135063</v>
      </c>
      <c r="AO26" s="1">
        <v>2210.904</v>
      </c>
      <c r="AP26" s="9">
        <f>+AO26/AO23</f>
        <v>0.48262275271069599</v>
      </c>
      <c r="AQ26" s="1">
        <v>2116.8689999999997</v>
      </c>
      <c r="AR26" s="9">
        <f>+AQ26/AQ23</f>
        <v>0.44270856534098929</v>
      </c>
      <c r="AS26" s="1">
        <v>2318.1080000000002</v>
      </c>
      <c r="AT26" s="9">
        <f>+AS26/AS23</f>
        <v>0.45309564446432049</v>
      </c>
      <c r="AU26" s="1">
        <v>2650.8950000000004</v>
      </c>
      <c r="AV26" s="9">
        <f>+AU26/AU23</f>
        <v>0.47722205080032826</v>
      </c>
      <c r="AW26" s="1">
        <v>2744.5029999999997</v>
      </c>
      <c r="AX26" s="9">
        <f>+AW26/AW23</f>
        <v>0.50945105386364697</v>
      </c>
      <c r="AY26" s="1">
        <v>2775.2819999999997</v>
      </c>
      <c r="AZ26" s="9">
        <f>+AY26/AY23</f>
        <v>0.51435364178195508</v>
      </c>
      <c r="BA26" s="1">
        <v>2790.2730000000001</v>
      </c>
      <c r="BB26" s="9">
        <f>+BA26/BA23</f>
        <v>0.51463893864167432</v>
      </c>
      <c r="BC26" s="1">
        <v>2815.0040700000009</v>
      </c>
      <c r="BD26" s="9">
        <f>+BC26/BC23</f>
        <v>0.51956909117070904</v>
      </c>
      <c r="BE26" s="1">
        <v>2989.203</v>
      </c>
      <c r="BF26" s="9">
        <f>+BE26/BE23</f>
        <v>0.53274691784331463</v>
      </c>
      <c r="BG26" s="1">
        <v>3000.1464645799997</v>
      </c>
      <c r="BH26" s="9">
        <f>+BG26/BG23</f>
        <v>0.51756651273678889</v>
      </c>
      <c r="BI26" s="25">
        <v>3013.2979999999984</v>
      </c>
      <c r="BJ26" s="9">
        <f>+BI26/BI23</f>
        <v>0.47438465973154342</v>
      </c>
      <c r="BK26" s="12">
        <f>+BJ26*100</f>
        <v>47.438465973154344</v>
      </c>
      <c r="BL26" s="6">
        <v>3027.9020000000005</v>
      </c>
      <c r="BM26" s="9">
        <f>+BL26/BL23</f>
        <v>0.47691427109768181</v>
      </c>
      <c r="BN26" s="6">
        <f>+BM26*100</f>
        <v>47.691427109768178</v>
      </c>
      <c r="BO26" s="6">
        <v>3115.7679999999991</v>
      </c>
      <c r="BP26" s="9">
        <f>+BO26/BO23</f>
        <v>0.42938519891620397</v>
      </c>
      <c r="BQ26" s="6">
        <f>+BP26*100</f>
        <v>42.938519891620395</v>
      </c>
      <c r="BR26" s="6">
        <v>3317.4450000000006</v>
      </c>
      <c r="BS26" s="9">
        <f>+BR26/BR23</f>
        <v>0.41466056579512978</v>
      </c>
      <c r="BT26" s="6">
        <f>+BS26*100</f>
        <v>41.46605657951298</v>
      </c>
      <c r="BU26" s="6">
        <v>3328.6240000000003</v>
      </c>
      <c r="BV26" s="9">
        <f>+BU26/BU23</f>
        <v>0.41372324245018943</v>
      </c>
      <c r="BW26" s="6">
        <f>+BV26*100</f>
        <v>41.372324245018945</v>
      </c>
      <c r="BX26" s="6">
        <v>3360.136</v>
      </c>
      <c r="BY26" s="9">
        <f>+BX26/BX23</f>
        <v>0.37588537839330488</v>
      </c>
      <c r="BZ26" s="6">
        <f>+BY26*100</f>
        <v>37.588537839330485</v>
      </c>
      <c r="CA26" s="6">
        <v>3414.4079999999994</v>
      </c>
      <c r="CB26" s="9">
        <f>+CA26/CA23</f>
        <v>0.34540354580025712</v>
      </c>
      <c r="CC26" s="6">
        <f>+CB26*100</f>
        <v>34.540354580025713</v>
      </c>
    </row>
    <row r="27" spans="2:81" x14ac:dyDescent="0.25">
      <c r="B27" s="28" t="s">
        <v>2</v>
      </c>
      <c r="C27" s="30">
        <v>39.272705947478137</v>
      </c>
      <c r="D27" s="30">
        <v>44.990846075428145</v>
      </c>
      <c r="E27" s="30">
        <v>51.732267427836462</v>
      </c>
      <c r="F27" s="30">
        <v>55.723915124358193</v>
      </c>
      <c r="G27" s="30">
        <v>54.676753406268297</v>
      </c>
      <c r="H27" s="30">
        <v>52.265193310489607</v>
      </c>
      <c r="I27" s="30">
        <v>49.041900795166008</v>
      </c>
      <c r="J27" s="30">
        <v>48.551662453719835</v>
      </c>
      <c r="K27" s="30">
        <v>48.523195311083562</v>
      </c>
      <c r="L27" s="30">
        <v>48.030170888684829</v>
      </c>
      <c r="M27" s="30">
        <v>46.712832554347095</v>
      </c>
      <c r="N27" s="30">
        <v>49</v>
      </c>
      <c r="O27" s="30">
        <v>52.550513900000858</v>
      </c>
      <c r="P27" s="30">
        <v>52.297547434659997</v>
      </c>
      <c r="Q27" s="30">
        <v>57.051833381176507</v>
      </c>
      <c r="R27" s="30">
        <v>58.5251938437478</v>
      </c>
      <c r="S27" s="30">
        <v>58.61897527485128</v>
      </c>
      <c r="T27" s="30">
        <v>61.508702568904773</v>
      </c>
      <c r="U27" s="30">
        <v>64.643279416084866</v>
      </c>
      <c r="V27" s="30">
        <v>63.327854890800197</v>
      </c>
      <c r="W27" s="30">
        <v>61.420308817589365</v>
      </c>
      <c r="X27" s="30">
        <v>60.254450610067899</v>
      </c>
      <c r="Y27" s="30">
        <v>59.293936904707387</v>
      </c>
      <c r="Z27" s="30">
        <v>58.621314010962145</v>
      </c>
      <c r="AA27" s="30">
        <v>58.189166869875422</v>
      </c>
      <c r="AB27" s="30">
        <v>57.976967952349654</v>
      </c>
      <c r="AC27" s="30">
        <v>57.634543624078837</v>
      </c>
      <c r="AD27" s="787">
        <v>57.818034503629043</v>
      </c>
      <c r="AE27" s="55"/>
      <c r="AF27" s="53"/>
      <c r="AG27" s="53"/>
      <c r="AH27" s="54"/>
      <c r="AK27">
        <v>1600.5229999999999</v>
      </c>
      <c r="AL27" s="15">
        <f>+AK27/AK23</f>
        <v>0.39272705947478137</v>
      </c>
      <c r="AM27" s="1">
        <v>1801.0740000000001</v>
      </c>
      <c r="AN27" s="15">
        <f>+AM27/AM23</f>
        <v>0.44990846075428143</v>
      </c>
      <c r="AO27" s="1">
        <v>2369.8649999999998</v>
      </c>
      <c r="AP27" s="9">
        <f>+AO27/AO23</f>
        <v>0.51732267427836465</v>
      </c>
      <c r="AQ27" s="1">
        <v>2664.5119999999997</v>
      </c>
      <c r="AR27" s="9">
        <f>+AQ27/AQ23</f>
        <v>0.55723915124358192</v>
      </c>
      <c r="AS27" s="1">
        <v>2797.348</v>
      </c>
      <c r="AT27" s="9">
        <f>+AS27/AS23</f>
        <v>0.54676753406268297</v>
      </c>
      <c r="AU27" s="1">
        <v>2903.2510000000002</v>
      </c>
      <c r="AV27" s="9">
        <f>+AU27/AU23</f>
        <v>0.5226519331048961</v>
      </c>
      <c r="AW27" s="1">
        <v>2641.9740000000002</v>
      </c>
      <c r="AX27" s="9">
        <f>+AW27/AW23</f>
        <v>0.4904190079516601</v>
      </c>
      <c r="AY27" s="1">
        <v>2619.6870000000004</v>
      </c>
      <c r="AZ27" s="9">
        <f>+AY27/AY23</f>
        <v>0.48551662453719835</v>
      </c>
      <c r="BA27" s="1">
        <v>2630.8340000000003</v>
      </c>
      <c r="BB27" s="9">
        <f>+BA27/BA23</f>
        <v>0.48523195311083561</v>
      </c>
      <c r="BC27" s="1">
        <v>2602.2550000000001</v>
      </c>
      <c r="BD27" s="9">
        <f>+BC27/BC23</f>
        <v>0.48030170888684831</v>
      </c>
      <c r="BE27" s="1">
        <v>2621.0219999999999</v>
      </c>
      <c r="BF27" s="9">
        <f>+BE27/BE23</f>
        <v>0.46712832554347095</v>
      </c>
      <c r="BG27" s="1">
        <v>2795.7929832</v>
      </c>
      <c r="BH27" s="9">
        <f>+BG27/BG23</f>
        <v>0.48231272763924182</v>
      </c>
      <c r="BI27" s="25">
        <v>3338.0159999999987</v>
      </c>
      <c r="BJ27" s="9">
        <f>+BI27/BI23</f>
        <v>0.52550513900000861</v>
      </c>
      <c r="BK27" s="12">
        <f>+BJ27*100</f>
        <v>52.550513900000858</v>
      </c>
      <c r="BL27" s="6">
        <v>3320.3419999999996</v>
      </c>
      <c r="BM27" s="9">
        <f>+BL27/BL23</f>
        <v>0.52297547434659997</v>
      </c>
      <c r="BN27" s="6">
        <f>+BM27*100</f>
        <v>52.297547434659997</v>
      </c>
      <c r="BO27" s="6">
        <v>4139.878999999999</v>
      </c>
      <c r="BP27" s="9">
        <f>+BO27/BO23</f>
        <v>0.57051833381176509</v>
      </c>
      <c r="BQ27" s="6">
        <f>+BP27*100</f>
        <v>57.051833381176507</v>
      </c>
      <c r="BR27" s="6">
        <v>4682.2419999999993</v>
      </c>
      <c r="BS27" s="9">
        <f>+BR27/BR23</f>
        <v>0.58525193843747803</v>
      </c>
      <c r="BT27" s="6">
        <f>+BS27*100</f>
        <v>58.5251938437478</v>
      </c>
      <c r="BU27" s="6">
        <v>4716.2090000000007</v>
      </c>
      <c r="BV27" s="9">
        <f>+BU27/BU23</f>
        <v>0.58618975274851282</v>
      </c>
      <c r="BW27" s="6">
        <f>+BV27*100</f>
        <v>58.61897527485128</v>
      </c>
      <c r="BX27" s="6">
        <v>5498.4210000000003</v>
      </c>
      <c r="BY27" s="9">
        <f>+BX27/BX23</f>
        <v>0.61508702568904772</v>
      </c>
      <c r="BZ27" s="6">
        <f>+BY27*100</f>
        <v>61.508702568904773</v>
      </c>
      <c r="CA27" s="6">
        <v>6390.1639999999998</v>
      </c>
      <c r="CB27" s="9">
        <f>+CA27/CA23</f>
        <v>0.64643279416084853</v>
      </c>
      <c r="CC27" s="6">
        <f>+CB27*100</f>
        <v>64.643279416084852</v>
      </c>
    </row>
    <row r="28" spans="2:81" x14ac:dyDescent="0.25">
      <c r="B28" s="28" t="s">
        <v>31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>
        <v>0.89492896333554317</v>
      </c>
      <c r="U28" s="30">
        <v>0.80928476221999757</v>
      </c>
      <c r="V28" s="30">
        <v>0.80928476221999801</v>
      </c>
      <c r="W28" s="30">
        <v>0.84503512189628804</v>
      </c>
      <c r="X28" s="30">
        <v>0.70368302785658998</v>
      </c>
      <c r="Y28" s="30">
        <v>1.7360833024520965</v>
      </c>
      <c r="Z28" s="30">
        <v>1.952380620584927</v>
      </c>
      <c r="AA28" s="30">
        <v>1.9823083600225122</v>
      </c>
      <c r="AB28" s="30">
        <v>1.9750180867557421</v>
      </c>
      <c r="AC28" s="30">
        <v>1.9569883164058661</v>
      </c>
      <c r="AD28" s="787">
        <v>1.9049700209610338</v>
      </c>
      <c r="AE28" s="55"/>
      <c r="AF28" s="53"/>
      <c r="AG28" s="53"/>
      <c r="AH28" s="54"/>
      <c r="AL28" s="15"/>
      <c r="AM28" s="1"/>
      <c r="AN28" s="15"/>
      <c r="AO28" s="1"/>
      <c r="AP28" s="9"/>
      <c r="AQ28" s="1"/>
      <c r="AR28" s="9"/>
      <c r="AS28" s="1"/>
      <c r="AT28" s="9"/>
      <c r="AU28" s="1"/>
      <c r="AV28" s="9"/>
      <c r="AW28" s="1"/>
      <c r="AX28" s="9"/>
      <c r="AY28" s="1"/>
      <c r="AZ28" s="9"/>
      <c r="BA28" s="1"/>
      <c r="BB28" s="9"/>
      <c r="BC28" s="1"/>
      <c r="BD28" s="9"/>
      <c r="BE28" s="1"/>
      <c r="BF28" s="9"/>
      <c r="BG28" s="1"/>
      <c r="BH28" s="9"/>
      <c r="BI28" s="25"/>
      <c r="BJ28" s="9"/>
      <c r="BK28" s="12"/>
      <c r="BL28" s="6"/>
      <c r="BM28" s="9"/>
      <c r="BO28" s="6"/>
      <c r="BP28" s="9"/>
      <c r="BR28" s="6"/>
      <c r="BS28" s="9"/>
      <c r="BT28" s="6"/>
      <c r="BU28" s="6"/>
      <c r="BV28" s="9"/>
      <c r="BW28" s="6"/>
      <c r="BX28" s="6">
        <v>80</v>
      </c>
      <c r="BY28" s="9">
        <f>+BX28/BX23</f>
        <v>8.9492896333554332E-3</v>
      </c>
      <c r="BZ28" s="6">
        <f>+BY28*100</f>
        <v>0.89492896333554328</v>
      </c>
      <c r="CA28" s="6">
        <v>80</v>
      </c>
      <c r="CB28" s="9">
        <f>+CA28/CA23</f>
        <v>8.0928476221999758E-3</v>
      </c>
      <c r="CC28" s="6">
        <f>+CB28*100</f>
        <v>0.80928476221999757</v>
      </c>
    </row>
    <row r="29" spans="2:81" x14ac:dyDescent="0.25">
      <c r="B29" s="28" t="s">
        <v>35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>
        <v>1.3895729638763601</v>
      </c>
      <c r="W29" s="30">
        <v>2.1108273149034344</v>
      </c>
      <c r="X29" s="30">
        <v>1.7588410680644662</v>
      </c>
      <c r="Y29" s="30">
        <v>1.7322282913764764</v>
      </c>
      <c r="Z29" s="30">
        <v>2.5911413343104734</v>
      </c>
      <c r="AA29" s="30">
        <v>2.5888640899625308</v>
      </c>
      <c r="AB29" s="30">
        <v>2.8339168215098227</v>
      </c>
      <c r="AC29" s="30">
        <v>2.8052609957585255</v>
      </c>
      <c r="AD29" s="787">
        <v>3.5987893448032744</v>
      </c>
      <c r="AE29" s="55"/>
      <c r="AF29" s="53"/>
      <c r="AG29" s="53"/>
      <c r="AH29" s="54"/>
      <c r="AL29" s="15"/>
      <c r="AM29" s="1"/>
      <c r="AN29" s="15"/>
      <c r="AO29" s="1"/>
      <c r="AP29" s="9"/>
      <c r="AQ29" s="1"/>
      <c r="AR29" s="9"/>
      <c r="AS29" s="1"/>
      <c r="AT29" s="9"/>
      <c r="AU29" s="1"/>
      <c r="AV29" s="9"/>
      <c r="AW29" s="1"/>
      <c r="AX29" s="9"/>
      <c r="AY29" s="1"/>
      <c r="AZ29" s="9"/>
      <c r="BA29" s="1"/>
      <c r="BB29" s="9"/>
      <c r="BC29" s="1"/>
      <c r="BD29" s="9"/>
      <c r="BE29" s="1"/>
      <c r="BF29" s="9"/>
      <c r="BG29" s="1"/>
      <c r="BH29" s="9"/>
      <c r="BI29" s="25"/>
      <c r="BJ29" s="9"/>
      <c r="BK29" s="12"/>
      <c r="BL29" s="6"/>
      <c r="BM29" s="9"/>
      <c r="BO29" s="6"/>
      <c r="BP29" s="9"/>
      <c r="BR29" s="6"/>
      <c r="BS29" s="9"/>
      <c r="BT29" s="6"/>
      <c r="BU29" s="6"/>
      <c r="BV29" s="9"/>
      <c r="BW29" s="6"/>
      <c r="BX29" s="6"/>
      <c r="BY29" s="9"/>
      <c r="BZ29" s="6"/>
      <c r="CA29" s="6"/>
      <c r="CB29" s="9"/>
      <c r="CC29" s="6"/>
    </row>
    <row r="30" spans="2:81" ht="12.75" customHeight="1" x14ac:dyDescent="0.25">
      <c r="B30" s="784" t="s">
        <v>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788"/>
      <c r="AE30" s="55"/>
      <c r="AF30" s="53"/>
      <c r="AG30" s="53"/>
      <c r="AH30" s="54"/>
      <c r="AL30" s="15"/>
      <c r="BI30" s="25"/>
      <c r="BJ30" s="9"/>
      <c r="BK30" s="12"/>
      <c r="BL30" s="6"/>
      <c r="BO30" s="6"/>
      <c r="BR30" s="6"/>
      <c r="BT30" s="6"/>
      <c r="BU30" s="6"/>
      <c r="BW30" s="6"/>
      <c r="BX30" s="6"/>
      <c r="BZ30" s="6"/>
      <c r="CA30" s="6"/>
      <c r="CC30" s="6"/>
    </row>
    <row r="31" spans="2:81" x14ac:dyDescent="0.25">
      <c r="B31" s="28" t="s">
        <v>4</v>
      </c>
      <c r="C31" s="30">
        <v>69.64200884917534</v>
      </c>
      <c r="D31" s="30">
        <v>63.264247785709479</v>
      </c>
      <c r="E31" s="30">
        <v>65.72812730093456</v>
      </c>
      <c r="F31" s="30">
        <v>66.724073856807436</v>
      </c>
      <c r="G31" s="30">
        <v>65.975392462622338</v>
      </c>
      <c r="H31" s="30">
        <v>65.447502955077425</v>
      </c>
      <c r="I31" s="30"/>
      <c r="J31" s="30"/>
      <c r="K31" s="30"/>
      <c r="L31" s="30"/>
      <c r="M31" s="30"/>
      <c r="N31" s="30"/>
      <c r="O31" s="46" t="s">
        <v>32</v>
      </c>
      <c r="P31" s="46" t="s">
        <v>32</v>
      </c>
      <c r="Q31" s="46" t="s">
        <v>32</v>
      </c>
      <c r="R31" s="46" t="s">
        <v>32</v>
      </c>
      <c r="S31" s="46"/>
      <c r="T31" s="46"/>
      <c r="U31" s="30"/>
      <c r="V31" s="30"/>
      <c r="W31" s="30"/>
      <c r="X31" s="30"/>
      <c r="Y31" s="46"/>
      <c r="Z31" s="30"/>
      <c r="AA31" s="30"/>
      <c r="AB31" s="30"/>
      <c r="AC31" s="30"/>
      <c r="AD31" s="787"/>
      <c r="AE31" s="55"/>
      <c r="AF31" s="53"/>
      <c r="AG31" s="53"/>
      <c r="AH31" s="54"/>
      <c r="AK31">
        <v>2838.1959999999999</v>
      </c>
      <c r="AL31" s="15">
        <f>+AK31/AK23</f>
        <v>0.69642008849175341</v>
      </c>
      <c r="AM31" s="1">
        <v>2532.5949999999998</v>
      </c>
      <c r="AN31" s="15">
        <f>+AM31/AM23</f>
        <v>0.63264247785709482</v>
      </c>
      <c r="AO31" s="1">
        <v>3011.0179999999996</v>
      </c>
      <c r="AP31" s="9">
        <f>+AO31/AO23</f>
        <v>0.65728127300934558</v>
      </c>
      <c r="AQ31" s="1">
        <v>3190.4989999999998</v>
      </c>
      <c r="AR31" s="9">
        <f>+AQ31/AQ23</f>
        <v>0.66724073856807442</v>
      </c>
      <c r="AS31" s="1">
        <v>3375.4040000000005</v>
      </c>
      <c r="AT31" s="9">
        <f>+AS31/AS23</f>
        <v>0.6597539246262234</v>
      </c>
      <c r="AU31" s="1">
        <v>3635.5080000000007</v>
      </c>
      <c r="AV31" s="9">
        <f>+AU31/AU23</f>
        <v>0.6544750295507743</v>
      </c>
      <c r="AW31" s="1">
        <v>4519.9249999999993</v>
      </c>
      <c r="BI31" s="25"/>
      <c r="BJ31" s="9"/>
      <c r="BK31" s="12"/>
      <c r="BL31" s="6"/>
      <c r="BO31" s="6"/>
      <c r="BR31" s="6"/>
      <c r="BT31" s="6"/>
      <c r="BU31" s="6"/>
      <c r="BW31" s="6"/>
      <c r="BX31" s="6"/>
      <c r="BZ31" s="6"/>
      <c r="CA31" s="6"/>
      <c r="CC31" s="6"/>
    </row>
    <row r="32" spans="2:81" x14ac:dyDescent="0.25">
      <c r="B32" s="28" t="s">
        <v>5</v>
      </c>
      <c r="C32" s="30">
        <v>15.532432580983302</v>
      </c>
      <c r="D32" s="30">
        <v>24.150473583514788</v>
      </c>
      <c r="E32" s="30">
        <v>15.149031252653614</v>
      </c>
      <c r="F32" s="30">
        <v>13.433491626601887</v>
      </c>
      <c r="G32" s="30">
        <v>14.771324408403498</v>
      </c>
      <c r="H32" s="30">
        <v>17.205841530080221</v>
      </c>
      <c r="I32" s="30"/>
      <c r="J32" s="30"/>
      <c r="K32" s="30"/>
      <c r="L32" s="30"/>
      <c r="M32" s="30"/>
      <c r="N32" s="30"/>
      <c r="O32" s="46" t="s">
        <v>32</v>
      </c>
      <c r="P32" s="46" t="s">
        <v>32</v>
      </c>
      <c r="Q32" s="46" t="s">
        <v>32</v>
      </c>
      <c r="R32" s="46" t="s">
        <v>32</v>
      </c>
      <c r="S32" s="46"/>
      <c r="T32" s="46"/>
      <c r="U32" s="30"/>
      <c r="V32" s="30"/>
      <c r="W32" s="30"/>
      <c r="X32" s="30"/>
      <c r="Y32" s="46"/>
      <c r="Z32" s="30"/>
      <c r="AA32" s="30"/>
      <c r="AB32" s="30"/>
      <c r="AC32" s="30"/>
      <c r="AD32" s="787"/>
      <c r="AE32" s="55"/>
      <c r="AF32" s="53"/>
      <c r="AG32" s="53"/>
      <c r="AH32" s="54"/>
      <c r="AK32">
        <v>633.01</v>
      </c>
      <c r="AL32" s="15">
        <f>+AK32/AK23</f>
        <v>0.15532432580983302</v>
      </c>
      <c r="AM32" s="1">
        <v>966.79199999999992</v>
      </c>
      <c r="AN32" s="15">
        <f>+AM32/AM23</f>
        <v>0.24150473583514789</v>
      </c>
      <c r="AO32" s="1">
        <v>693.98</v>
      </c>
      <c r="AP32" s="9">
        <f>+AO32/AO23</f>
        <v>0.15149031252653614</v>
      </c>
      <c r="AQ32" s="1">
        <v>642.34</v>
      </c>
      <c r="AR32" s="9">
        <f>+AQ32/AQ23</f>
        <v>0.13433491626601887</v>
      </c>
      <c r="AS32" s="1">
        <v>755.72400000000005</v>
      </c>
      <c r="AT32" s="9">
        <f>+AS32/AS23</f>
        <v>0.14771324408403497</v>
      </c>
      <c r="AU32" s="1">
        <v>955.75800000000004</v>
      </c>
      <c r="AV32" s="9">
        <f>+AU32/AU23</f>
        <v>0.17205841530080221</v>
      </c>
      <c r="AW32" s="1">
        <v>867.25200000000007</v>
      </c>
      <c r="BI32" s="25"/>
      <c r="BJ32" s="9"/>
      <c r="BK32" s="12"/>
      <c r="BL32" s="6"/>
      <c r="BO32" s="6"/>
      <c r="BR32" s="6"/>
      <c r="BT32" s="6"/>
      <c r="BU32" s="6"/>
      <c r="BW32" s="6"/>
      <c r="BX32" s="6"/>
      <c r="BZ32" s="6"/>
      <c r="CA32" s="6"/>
      <c r="CC32" s="6"/>
    </row>
    <row r="33" spans="2:81" x14ac:dyDescent="0.25">
      <c r="B33" s="28" t="s">
        <v>17</v>
      </c>
      <c r="C33" s="30"/>
      <c r="D33" s="30"/>
      <c r="E33" s="30"/>
      <c r="F33" s="30"/>
      <c r="G33" s="30"/>
      <c r="H33" s="30"/>
      <c r="I33" s="30">
        <v>83.901549921229616</v>
      </c>
      <c r="J33" s="30">
        <v>84.743763933628983</v>
      </c>
      <c r="K33" s="30">
        <v>84.8043834832188</v>
      </c>
      <c r="L33" s="30">
        <v>85.045051290872891</v>
      </c>
      <c r="M33" s="30">
        <v>84.597744578656801</v>
      </c>
      <c r="N33" s="30">
        <v>84.627987477446808</v>
      </c>
      <c r="O33" s="30">
        <v>86.176132483335252</v>
      </c>
      <c r="P33" s="30">
        <v>84.366943542107165</v>
      </c>
      <c r="Q33" s="30">
        <v>85.286480924906201</v>
      </c>
      <c r="R33" s="30">
        <v>86.091285334071969</v>
      </c>
      <c r="S33" s="30">
        <v>85.649246577301199</v>
      </c>
      <c r="T33" s="30">
        <v>87.004423298267412</v>
      </c>
      <c r="U33" s="30">
        <v>87.784028603360625</v>
      </c>
      <c r="V33" s="30">
        <v>88.123396805754396</v>
      </c>
      <c r="W33" s="30">
        <v>90.056925641381795</v>
      </c>
      <c r="X33" s="30">
        <v>91.760098241773932</v>
      </c>
      <c r="Y33" s="30">
        <v>91.23184155868671</v>
      </c>
      <c r="Z33" s="30">
        <v>91.582037159980686</v>
      </c>
      <c r="AA33" s="30">
        <v>91.636796437411448</v>
      </c>
      <c r="AB33" s="30">
        <v>91.693274204695925</v>
      </c>
      <c r="AC33" s="30">
        <v>91.701285679805494</v>
      </c>
      <c r="AD33" s="787">
        <v>91.667344317244073</v>
      </c>
      <c r="AE33" s="55"/>
      <c r="AF33" s="53"/>
      <c r="AG33" s="53"/>
      <c r="AH33" s="54"/>
      <c r="AI33" s="5"/>
      <c r="AJ33" s="5"/>
      <c r="AL33" s="15"/>
      <c r="AM33" s="1"/>
      <c r="AW33" s="1">
        <v>4519.9249999999993</v>
      </c>
      <c r="AX33" s="9">
        <f>+AW33/AW23</f>
        <v>0.83901549921229612</v>
      </c>
      <c r="AY33" s="1">
        <v>4572.4929999999995</v>
      </c>
      <c r="AZ33" s="9">
        <f>+AY33/AY23</f>
        <v>0.84743763933628979</v>
      </c>
      <c r="BA33" s="1">
        <v>4597.93</v>
      </c>
      <c r="BB33" s="9">
        <f>+BA33/BA23</f>
        <v>0.84804383483218793</v>
      </c>
      <c r="BC33" s="1">
        <v>4607.7060700000011</v>
      </c>
      <c r="BD33" s="9">
        <f>+BC33/BC23</f>
        <v>0.85045051290872886</v>
      </c>
      <c r="BE33" s="1">
        <v>4746.7159999999994</v>
      </c>
      <c r="BF33" s="9">
        <f>+BE33/BE23</f>
        <v>0.84597744578656808</v>
      </c>
      <c r="BG33" s="1">
        <v>4905.5793059799998</v>
      </c>
      <c r="BH33" s="9">
        <f>+BG33/BG23</f>
        <v>0.84627987477446809</v>
      </c>
      <c r="BI33" s="25">
        <v>5473.92</v>
      </c>
      <c r="BJ33" s="9">
        <f>+BI33/BI23</f>
        <v>0.86176132483335255</v>
      </c>
      <c r="BK33" s="12">
        <f>+BJ33*100</f>
        <v>86.176132483335252</v>
      </c>
      <c r="BL33" s="6">
        <v>5356.4100000000008</v>
      </c>
      <c r="BM33" s="9">
        <f>+BL33/BL23</f>
        <v>0.84366943542107165</v>
      </c>
      <c r="BN33" s="12">
        <f>+BM33*100</f>
        <v>84.366943542107165</v>
      </c>
      <c r="BO33" s="6">
        <v>6188.6830000000009</v>
      </c>
      <c r="BP33" s="9">
        <f>+BO33/BO23</f>
        <v>0.85286480924906194</v>
      </c>
      <c r="BQ33" s="12">
        <f>+BP33*100</f>
        <v>85.286480924906201</v>
      </c>
      <c r="BR33" s="6">
        <v>6887.6359999999995</v>
      </c>
      <c r="BS33" s="9">
        <f>+BR33/BR23</f>
        <v>0.86091285334071965</v>
      </c>
      <c r="BT33" s="12">
        <f>+BS33*100</f>
        <v>86.091285334071969</v>
      </c>
      <c r="BU33" s="6">
        <v>6888.4620000000004</v>
      </c>
      <c r="BV33" s="9">
        <f>+BU33/BU23</f>
        <v>0.85618466793933978</v>
      </c>
      <c r="BW33" s="1">
        <f>+BV33*100</f>
        <v>85.618466793933976</v>
      </c>
      <c r="BX33" s="6">
        <v>7777.549</v>
      </c>
      <c r="BY33" s="9">
        <f>+BX33/BX23</f>
        <v>0.87004423298267397</v>
      </c>
      <c r="BZ33" s="1">
        <f>+BY33*100</f>
        <v>87.004423298267398</v>
      </c>
      <c r="CA33" s="6">
        <v>8677.6899999999987</v>
      </c>
      <c r="CB33" s="9">
        <f>+CA33/CA23</f>
        <v>0.8778402860336062</v>
      </c>
      <c r="CC33" s="1">
        <f>+CB33*100</f>
        <v>87.784028603360625</v>
      </c>
    </row>
    <row r="34" spans="2:81" x14ac:dyDescent="0.25">
      <c r="B34" s="28" t="s">
        <v>6</v>
      </c>
      <c r="C34" s="30">
        <v>14.825558569841348</v>
      </c>
      <c r="D34" s="30">
        <v>12.585278630775724</v>
      </c>
      <c r="E34" s="30">
        <v>19.122841446411812</v>
      </c>
      <c r="F34" s="30">
        <v>19.842434516590679</v>
      </c>
      <c r="G34" s="30">
        <v>19.253283128974175</v>
      </c>
      <c r="H34" s="30">
        <v>17.346655514842354</v>
      </c>
      <c r="I34" s="30">
        <v>16.098450078770384</v>
      </c>
      <c r="J34" s="30">
        <v>15.25623606637102</v>
      </c>
      <c r="K34" s="30">
        <v>15.195616516781218</v>
      </c>
      <c r="L34" s="30">
        <v>14.954948709127109</v>
      </c>
      <c r="M34" s="30">
        <v>15.402255421343188</v>
      </c>
      <c r="N34" s="30">
        <v>15.372012522553193</v>
      </c>
      <c r="O34" s="30">
        <v>13.823867516664793</v>
      </c>
      <c r="P34" s="30">
        <v>15.633056457892838</v>
      </c>
      <c r="Q34" s="30">
        <v>14.713519075093867</v>
      </c>
      <c r="R34" s="30">
        <v>13.908714665928054</v>
      </c>
      <c r="S34" s="30">
        <v>14.350753422698796</v>
      </c>
      <c r="T34" s="30">
        <v>12.995576701732597</v>
      </c>
      <c r="U34" s="30">
        <v>12.215971396639381</v>
      </c>
      <c r="V34" s="30">
        <v>11.8766031942456</v>
      </c>
      <c r="W34" s="30">
        <v>9.9430743586182011</v>
      </c>
      <c r="X34" s="30">
        <v>8.2399017582260914</v>
      </c>
      <c r="Y34" s="30">
        <v>8.768158441313286</v>
      </c>
      <c r="Z34" s="30">
        <v>8.4179628400192659</v>
      </c>
      <c r="AA34" s="30">
        <v>8.3632035625885752</v>
      </c>
      <c r="AB34" s="30">
        <v>8.3067257953039828</v>
      </c>
      <c r="AC34" s="30">
        <v>8.2987143201944757</v>
      </c>
      <c r="AD34" s="787">
        <v>8.3326556827559344</v>
      </c>
      <c r="AE34" s="55"/>
      <c r="AF34" s="53"/>
      <c r="AG34" s="53"/>
      <c r="AH34" s="54"/>
      <c r="AI34" s="5"/>
      <c r="AJ34" s="5"/>
      <c r="AK34">
        <v>604.202</v>
      </c>
      <c r="AL34" s="15">
        <f>+AK34/AK23</f>
        <v>0.14825558569841349</v>
      </c>
      <c r="AM34" s="1">
        <v>503.81400000000002</v>
      </c>
      <c r="AN34" s="15">
        <f>+AM34/AM23</f>
        <v>0.12585278630775723</v>
      </c>
      <c r="AO34" s="1">
        <v>876.02099999999996</v>
      </c>
      <c r="AP34" s="9">
        <f>+AO34/AO23</f>
        <v>0.19122841446411812</v>
      </c>
      <c r="AQ34" s="1">
        <v>948.79199999999992</v>
      </c>
      <c r="AR34" s="9">
        <f>+AQ34/AQ23</f>
        <v>0.19842434516590679</v>
      </c>
      <c r="AS34" s="1">
        <v>985.02800000000002</v>
      </c>
      <c r="AT34" s="9">
        <f>+AS34/AS23</f>
        <v>0.19253283128974175</v>
      </c>
      <c r="AU34" s="1">
        <v>963.58</v>
      </c>
      <c r="AV34" s="9">
        <f>+AU34/AU23</f>
        <v>0.17346655514842355</v>
      </c>
      <c r="AW34" s="1">
        <v>867.25200000000007</v>
      </c>
      <c r="AX34" s="9">
        <f>+AW34/AW23</f>
        <v>0.16098450078770385</v>
      </c>
      <c r="AY34" s="1">
        <v>823.17600000000061</v>
      </c>
      <c r="AZ34" s="9">
        <f>+AY34/AY23</f>
        <v>0.15256236066371021</v>
      </c>
      <c r="BA34" s="1">
        <v>823.87700000000029</v>
      </c>
      <c r="BB34" s="9">
        <f>+BA34/BA23</f>
        <v>0.15195616516781218</v>
      </c>
      <c r="BC34" s="1">
        <v>810.25300000000038</v>
      </c>
      <c r="BD34" s="9">
        <f>+BC34/BC23</f>
        <v>0.14954948709127108</v>
      </c>
      <c r="BE34" s="1">
        <v>864.20900000000029</v>
      </c>
      <c r="BF34" s="9">
        <f>+BE34/BE23</f>
        <v>0.15402255421343189</v>
      </c>
      <c r="BG34" s="1">
        <v>891.06014179999988</v>
      </c>
      <c r="BH34" s="9">
        <f>+BG34/BG23</f>
        <v>0.15372012522553194</v>
      </c>
      <c r="BI34" s="25">
        <v>878.09399999999937</v>
      </c>
      <c r="BJ34" s="9">
        <f>+BI34/BI23</f>
        <v>0.13823867516664792</v>
      </c>
      <c r="BK34" s="12">
        <f>+BJ34*100</f>
        <v>13.823867516664793</v>
      </c>
      <c r="BL34" s="6">
        <v>992.53399999999988</v>
      </c>
      <c r="BM34" s="9">
        <f>+BL34/BL23</f>
        <v>0.15633056457892838</v>
      </c>
      <c r="BN34" s="12">
        <f>+BM34*100</f>
        <v>15.633056457892838</v>
      </c>
      <c r="BO34" s="6">
        <v>1067.6640000000014</v>
      </c>
      <c r="BP34" s="9">
        <f>+BO34/BO23</f>
        <v>0.14713519075093867</v>
      </c>
      <c r="BQ34" s="12">
        <f>+BP34*100</f>
        <v>14.713519075093867</v>
      </c>
      <c r="BR34" s="6">
        <v>1112.7510000000013</v>
      </c>
      <c r="BS34" s="9">
        <f>+BR34/BR23</f>
        <v>0.13908714665928054</v>
      </c>
      <c r="BT34" s="12">
        <f>+BS34*100</f>
        <v>13.908714665928054</v>
      </c>
      <c r="BU34" s="6">
        <v>1157.0709999999999</v>
      </c>
      <c r="BV34" s="9">
        <f>+BU34/BU23</f>
        <v>0.14381533206066022</v>
      </c>
      <c r="BW34" s="1">
        <f>+BV34*100</f>
        <v>14.381533206066022</v>
      </c>
      <c r="BX34" s="6">
        <v>1161.7080000000001</v>
      </c>
      <c r="BY34" s="9">
        <f>+BX34/BX23</f>
        <v>0.12995576701732592</v>
      </c>
      <c r="BZ34" s="1">
        <f>+BY34*100</f>
        <v>12.995576701732592</v>
      </c>
      <c r="CA34" s="6">
        <v>1207.5820000000001</v>
      </c>
      <c r="CB34" s="9">
        <f>+CA34/CA23</f>
        <v>0.12215971396639363</v>
      </c>
      <c r="CC34" s="1">
        <f>+CB34*100</f>
        <v>12.215971396639363</v>
      </c>
    </row>
    <row r="35" spans="2:81" x14ac:dyDescent="0.25">
      <c r="B35" s="784" t="s">
        <v>12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788"/>
      <c r="AE35" s="55"/>
      <c r="AF35" s="53"/>
      <c r="AG35" s="53"/>
      <c r="AH35" s="54"/>
      <c r="AI35" s="5"/>
      <c r="AJ35" s="5"/>
      <c r="AL35" s="15"/>
      <c r="BI35" s="25"/>
      <c r="BJ35" s="9"/>
      <c r="BK35" s="12"/>
      <c r="BL35" s="6"/>
      <c r="BM35" s="9"/>
      <c r="BN35" s="12"/>
      <c r="BO35" s="6"/>
      <c r="BP35" s="9"/>
      <c r="BQ35" s="12"/>
      <c r="BR35" s="6"/>
      <c r="BS35" s="9"/>
      <c r="BT35" s="12"/>
      <c r="BU35" s="6"/>
      <c r="BV35" s="9"/>
      <c r="BW35" s="1"/>
      <c r="BX35" s="6"/>
      <c r="BY35" s="9"/>
      <c r="BZ35" s="1"/>
      <c r="CA35" s="6"/>
      <c r="CB35" s="9"/>
      <c r="CC35" s="1"/>
    </row>
    <row r="36" spans="2:81" x14ac:dyDescent="0.25">
      <c r="B36" s="28" t="s">
        <v>10</v>
      </c>
      <c r="C36" s="30">
        <v>78.406677319178826</v>
      </c>
      <c r="D36" s="30">
        <v>71.929963047071581</v>
      </c>
      <c r="E36" s="30">
        <v>83.536719668702517</v>
      </c>
      <c r="F36" s="30">
        <v>84.089529284045554</v>
      </c>
      <c r="G36" s="30">
        <v>84.397915153486309</v>
      </c>
      <c r="H36" s="30">
        <v>85.977811086031906</v>
      </c>
      <c r="I36" s="30">
        <v>86.168767055546908</v>
      </c>
      <c r="J36" s="30">
        <v>86.325291636681186</v>
      </c>
      <c r="K36" s="30">
        <v>86.436016626929003</v>
      </c>
      <c r="L36" s="30">
        <v>85.960691282963111</v>
      </c>
      <c r="M36" s="30">
        <v>85.523563405320857</v>
      </c>
      <c r="N36" s="30">
        <v>86</v>
      </c>
      <c r="O36" s="30">
        <v>87.103948448476402</v>
      </c>
      <c r="P36" s="30">
        <v>85.74994518773515</v>
      </c>
      <c r="Q36" s="30">
        <v>86.082005174228854</v>
      </c>
      <c r="R36" s="30">
        <v>85.933817951556591</v>
      </c>
      <c r="S36" s="30">
        <v>85.392726011267456</v>
      </c>
      <c r="T36" s="30">
        <v>86.751113655195283</v>
      </c>
      <c r="U36" s="30">
        <v>87.81165556193092</v>
      </c>
      <c r="V36" s="30">
        <v>88.445783576007102</v>
      </c>
      <c r="W36" s="30">
        <v>89.295557431409634</v>
      </c>
      <c r="X36" s="30">
        <v>91.264082337481909</v>
      </c>
      <c r="Y36" s="30">
        <v>91.186577664596669</v>
      </c>
      <c r="Z36" s="30">
        <v>91.503283169231381</v>
      </c>
      <c r="AA36" s="30">
        <v>91.517802576889565</v>
      </c>
      <c r="AB36" s="30">
        <v>91.532235888725594</v>
      </c>
      <c r="AC36" s="30">
        <v>91.492840774890766</v>
      </c>
      <c r="AD36" s="787">
        <v>91.462350847194443</v>
      </c>
      <c r="AE36" s="55"/>
      <c r="AF36" s="53"/>
      <c r="AG36" s="53"/>
      <c r="AH36" s="54"/>
      <c r="AI36" s="5"/>
      <c r="AJ36" s="5"/>
      <c r="AK36">
        <v>3195.3919999999998</v>
      </c>
      <c r="AL36" s="9">
        <f>+AK36/AK23</f>
        <v>0.7840667731917883</v>
      </c>
      <c r="AM36">
        <v>2879.5010000000002</v>
      </c>
      <c r="AN36" s="9">
        <f>+AM36/AM23</f>
        <v>0.71929963047071588</v>
      </c>
      <c r="AO36">
        <v>3826.8329999999996</v>
      </c>
      <c r="AP36" s="9">
        <f>+AO36/AO23</f>
        <v>0.83536719668702519</v>
      </c>
      <c r="AQ36">
        <v>4020.8509999999997</v>
      </c>
      <c r="AR36" s="9">
        <f>+AQ36/AQ23</f>
        <v>0.8408952928404555</v>
      </c>
      <c r="AS36">
        <v>4317.9289999999992</v>
      </c>
      <c r="AT36" s="9">
        <f>+AS36/AS23</f>
        <v>0.84397915153486314</v>
      </c>
      <c r="AU36">
        <v>4775.9350000000004</v>
      </c>
      <c r="AV36" s="9">
        <f>+AU36/AU23</f>
        <v>0.85977811086031908</v>
      </c>
      <c r="AW36">
        <v>4642.0639999999994</v>
      </c>
      <c r="AX36" s="9">
        <f>+AW36/AW23</f>
        <v>0.86168767055546902</v>
      </c>
      <c r="AY36">
        <v>4657.8269999999993</v>
      </c>
      <c r="AZ36" s="9">
        <f>+AY36/AY23</f>
        <v>0.8632529163668119</v>
      </c>
      <c r="BA36">
        <v>4686.3940000000002</v>
      </c>
      <c r="BB36" s="9">
        <f>+BA36/BA23</f>
        <v>0.86436016626929002</v>
      </c>
      <c r="BC36" s="1">
        <v>4657.3150700000006</v>
      </c>
      <c r="BD36" s="9">
        <f>+BC36/BC23</f>
        <v>0.85960691282963109</v>
      </c>
      <c r="BE36" s="1">
        <v>4798.6629999999996</v>
      </c>
      <c r="BF36" s="9">
        <f>+BE36/BE23</f>
        <v>0.85523563405320857</v>
      </c>
      <c r="BG36" s="1">
        <v>4955.0986219799997</v>
      </c>
      <c r="BH36" s="9">
        <f>+BG36/BG23</f>
        <v>0.85482263760215527</v>
      </c>
      <c r="BI36" s="25">
        <v>5532.8550000000005</v>
      </c>
      <c r="BJ36" s="9">
        <f>+BI36/BI23</f>
        <v>0.87103948448476398</v>
      </c>
      <c r="BK36" s="12">
        <f>+BJ36*100</f>
        <v>87.103948448476402</v>
      </c>
      <c r="BL36" s="6">
        <v>5444.2159999999994</v>
      </c>
      <c r="BM36" s="9">
        <f>+BL36/BL23</f>
        <v>0.85749945187735144</v>
      </c>
      <c r="BN36" s="12">
        <f>+BM36*100</f>
        <v>85.74994518773515</v>
      </c>
      <c r="BO36" s="6">
        <v>6246.4089999999978</v>
      </c>
      <c r="BP36" s="9">
        <f>+BO36/BO23</f>
        <v>0.86082005174228848</v>
      </c>
      <c r="BQ36" s="12">
        <f>+BP36*100</f>
        <v>86.082005174228854</v>
      </c>
      <c r="BR36" s="6">
        <v>6875.0379999999996</v>
      </c>
      <c r="BS36" s="9">
        <f>+BR36/BR23</f>
        <v>0.8593381795155659</v>
      </c>
      <c r="BT36" s="12">
        <f>+BS36*100</f>
        <v>85.933817951556591</v>
      </c>
      <c r="BU36" s="6">
        <v>6867.8209999999999</v>
      </c>
      <c r="BV36" s="9">
        <f>+BU36/BU23</f>
        <v>0.85361914493421376</v>
      </c>
      <c r="BW36" s="1">
        <f>+BV36*100</f>
        <v>85.361914493421381</v>
      </c>
      <c r="BX36" s="6">
        <v>7754.9049999999997</v>
      </c>
      <c r="BY36" s="9">
        <f>BX36/BX23</f>
        <v>0.86751113655195267</v>
      </c>
      <c r="BZ36" s="1">
        <f>+BY36*100</f>
        <v>86.751113655195269</v>
      </c>
      <c r="CA36" s="6">
        <v>8680.4209999999985</v>
      </c>
      <c r="CB36" s="9">
        <f>+CA36/CA23</f>
        <v>0.87811655561930901</v>
      </c>
      <c r="CC36" s="1">
        <f>+CB36*100</f>
        <v>87.811655561930905</v>
      </c>
    </row>
    <row r="37" spans="2:81" x14ac:dyDescent="0.25">
      <c r="B37" s="28" t="s">
        <v>11</v>
      </c>
      <c r="C37" s="30">
        <v>21.593322680821156</v>
      </c>
      <c r="D37" s="30">
        <v>28.070036952928419</v>
      </c>
      <c r="E37" s="30">
        <v>16.463280331297465</v>
      </c>
      <c r="F37" s="30">
        <v>15.911516384263031</v>
      </c>
      <c r="G37" s="30">
        <v>15.602084846513673</v>
      </c>
      <c r="H37" s="30">
        <v>14.022188913968092</v>
      </c>
      <c r="I37" s="30">
        <v>13.831232944453099</v>
      </c>
      <c r="J37" s="30">
        <v>13.674708363318814</v>
      </c>
      <c r="K37" s="30">
        <v>13.563983373071014</v>
      </c>
      <c r="L37" s="30">
        <v>14.039308717036878</v>
      </c>
      <c r="M37" s="30">
        <v>14.476436594679134</v>
      </c>
      <c r="N37" s="30">
        <v>14</v>
      </c>
      <c r="O37" s="30">
        <v>12.896051551523657</v>
      </c>
      <c r="P37" s="30">
        <v>14.250054812264842</v>
      </c>
      <c r="Q37" s="30">
        <v>13.917994825771164</v>
      </c>
      <c r="R37" s="30">
        <v>14.066182048443412</v>
      </c>
      <c r="S37" s="30">
        <v>14.607273988732544</v>
      </c>
      <c r="T37" s="30">
        <v>13.248886344804726</v>
      </c>
      <c r="U37" s="30">
        <v>12.188344438069077</v>
      </c>
      <c r="V37" s="30">
        <v>11.5542164239929</v>
      </c>
      <c r="W37" s="30">
        <v>10.704442568590361</v>
      </c>
      <c r="X37" s="30">
        <v>8.7359176625180357</v>
      </c>
      <c r="Y37" s="30">
        <v>8.8134223354034322</v>
      </c>
      <c r="Z37" s="30">
        <v>8.4967168307684595</v>
      </c>
      <c r="AA37" s="30">
        <v>8.4821974231104171</v>
      </c>
      <c r="AB37" s="30">
        <v>8.4677641112743256</v>
      </c>
      <c r="AC37" s="30">
        <v>8.5071592251092589</v>
      </c>
      <c r="AD37" s="787">
        <v>8.5377159219356979</v>
      </c>
      <c r="AE37" s="55"/>
      <c r="AF37" s="53"/>
      <c r="AG37" s="53"/>
      <c r="AH37" s="54"/>
      <c r="AI37" s="5"/>
      <c r="AJ37" s="5"/>
      <c r="AK37">
        <v>880.01599999999996</v>
      </c>
      <c r="AL37" s="9">
        <f>+AK37/AK23</f>
        <v>0.21593322680821156</v>
      </c>
      <c r="AM37">
        <v>1123.7</v>
      </c>
      <c r="AN37" s="9">
        <f>+AM37/AM23</f>
        <v>0.28070036952928418</v>
      </c>
      <c r="AO37">
        <v>754.18599999999992</v>
      </c>
      <c r="AP37" s="9">
        <f>+AO37/AO23</f>
        <v>0.16463280331297467</v>
      </c>
      <c r="AQ37">
        <v>760.83</v>
      </c>
      <c r="AR37" s="9">
        <f>+AQ37/AQ23</f>
        <v>0.1591151638426303</v>
      </c>
      <c r="AS37">
        <v>798.22699999999998</v>
      </c>
      <c r="AT37" s="9">
        <f>+AS37/AS23</f>
        <v>0.15602084846513672</v>
      </c>
      <c r="AU37">
        <v>778.91100000000006</v>
      </c>
      <c r="AV37" s="9">
        <f>+AU37/AU23</f>
        <v>0.14022188913968092</v>
      </c>
      <c r="AW37">
        <v>745.11300000000006</v>
      </c>
      <c r="AX37" s="9">
        <f>+AW37/AW23</f>
        <v>0.13831232944453098</v>
      </c>
      <c r="AY37">
        <v>737.84200000000055</v>
      </c>
      <c r="AZ37" s="9">
        <f>+AY37/AY23</f>
        <v>0.13674708363318813</v>
      </c>
      <c r="BA37">
        <v>735.41300000000035</v>
      </c>
      <c r="BB37" s="9">
        <f>+BA37/BA23</f>
        <v>0.13563983373071015</v>
      </c>
      <c r="BC37" s="1">
        <v>760.64400000000035</v>
      </c>
      <c r="BD37" s="9">
        <f>+BC37/BC23</f>
        <v>0.14039308717036877</v>
      </c>
      <c r="BE37" s="1">
        <v>812.26200000000028</v>
      </c>
      <c r="BF37" s="9">
        <f>+BE37/BE23</f>
        <v>0.14476436594679135</v>
      </c>
      <c r="BG37" s="1">
        <v>841.54082579999999</v>
      </c>
      <c r="BH37" s="9">
        <f>+BG37/BG23</f>
        <v>0.14517736239784482</v>
      </c>
      <c r="BI37" s="25">
        <v>819.15899999999942</v>
      </c>
      <c r="BJ37" s="9">
        <f>+BI37/BI23</f>
        <v>0.12896051551523657</v>
      </c>
      <c r="BK37" s="12">
        <f>+BJ37*100</f>
        <v>12.896051551523657</v>
      </c>
      <c r="BL37" s="6">
        <v>904.72799999999995</v>
      </c>
      <c r="BM37" s="9">
        <f>+BL37/BL23</f>
        <v>0.14250054812264842</v>
      </c>
      <c r="BN37" s="12">
        <f>+BM37*100</f>
        <v>14.250054812264842</v>
      </c>
      <c r="BO37" s="6">
        <v>1009.9380000000007</v>
      </c>
      <c r="BP37" s="9">
        <f>+BO37/BO23</f>
        <v>0.13917994825771163</v>
      </c>
      <c r="BQ37" s="12">
        <f>+BP37*100</f>
        <v>13.917994825771164</v>
      </c>
      <c r="BR37" s="6">
        <v>1125.3490000000004</v>
      </c>
      <c r="BS37" s="9">
        <f>+BR37/BR23</f>
        <v>0.14066182048443412</v>
      </c>
      <c r="BT37" s="12">
        <f>+BS37*100</f>
        <v>14.066182048443412</v>
      </c>
      <c r="BU37" s="6">
        <v>1177.712</v>
      </c>
      <c r="BV37" s="9">
        <f>+BU37/BU23</f>
        <v>0.14638085506578619</v>
      </c>
      <c r="BW37" s="1">
        <f>+BV37*100</f>
        <v>14.638085506578619</v>
      </c>
      <c r="BX37" s="6">
        <v>1184.3520000000001</v>
      </c>
      <c r="BY37" s="9">
        <f>+BX37/BX23</f>
        <v>0.13248886344804719</v>
      </c>
      <c r="BZ37" s="1">
        <f>+BY37*100</f>
        <v>13.248886344804719</v>
      </c>
      <c r="CA37" s="6">
        <v>1204.8510000000001</v>
      </c>
      <c r="CB37" s="9">
        <f>+CA37/CA23</f>
        <v>0.12188344438069079</v>
      </c>
      <c r="CC37" s="1">
        <f>+CB37*100</f>
        <v>12.188344438069079</v>
      </c>
    </row>
    <row r="38" spans="2:81" x14ac:dyDescent="0.25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785"/>
      <c r="AE38" s="52"/>
      <c r="AF38" s="53"/>
      <c r="AG38" s="53"/>
      <c r="AH38" s="54"/>
      <c r="AI38" s="5"/>
      <c r="AJ38" s="5"/>
      <c r="AL38" s="9"/>
      <c r="BI38" s="25"/>
      <c r="BJ38" s="9"/>
      <c r="BK38" s="12"/>
      <c r="BL38" s="6"/>
      <c r="BO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2:81" ht="13" x14ac:dyDescent="0.3">
      <c r="B39" s="1012" t="s">
        <v>20</v>
      </c>
      <c r="C39" s="1013">
        <v>2052.1</v>
      </c>
      <c r="D39" s="1013">
        <v>2024.93</v>
      </c>
      <c r="E39" s="1013">
        <v>2400.9</v>
      </c>
      <c r="F39" s="1013">
        <v>2520.6</v>
      </c>
      <c r="G39" s="1013">
        <v>2580.3000000000002</v>
      </c>
      <c r="H39" s="1013">
        <v>2620.6999999999998</v>
      </c>
      <c r="I39" s="1013">
        <v>2792.22</v>
      </c>
      <c r="J39" s="1013">
        <v>2908.2</v>
      </c>
      <c r="K39" s="1013">
        <v>2964.7548999999999</v>
      </c>
      <c r="L39" s="1013">
        <v>3130.8466199999993</v>
      </c>
      <c r="M39" s="1013">
        <v>3305.0140500000002</v>
      </c>
      <c r="N39" s="1013">
        <v>3580</v>
      </c>
      <c r="O39" s="1013">
        <v>3965.6038100000005</v>
      </c>
      <c r="P39" s="1013">
        <v>4198.6589700000004</v>
      </c>
      <c r="Q39" s="1013">
        <v>4322.3748300000007</v>
      </c>
      <c r="R39" s="1013">
        <v>4578.9431199999999</v>
      </c>
      <c r="S39" s="1013">
        <v>4961.1929899999996</v>
      </c>
      <c r="T39" s="1013">
        <v>5291</v>
      </c>
      <c r="U39" s="1013">
        <v>5575.2435699999996</v>
      </c>
      <c r="V39" s="1013">
        <v>5737.27</v>
      </c>
      <c r="W39" s="1013">
        <v>6275</v>
      </c>
      <c r="X39" s="1013">
        <v>6492.4099800000004</v>
      </c>
      <c r="Y39" s="1013">
        <v>6559.0633399999997</v>
      </c>
      <c r="Z39" s="1013">
        <v>6884.5910000000003</v>
      </c>
      <c r="AA39" s="1013">
        <v>7017.5709999999999</v>
      </c>
      <c r="AB39" s="1013">
        <v>7125.2993800000004</v>
      </c>
      <c r="AC39" s="1013">
        <v>7173.03</v>
      </c>
      <c r="AD39" s="1014">
        <v>7467.4497399999982</v>
      </c>
      <c r="AE39" s="1015">
        <f>((AD39/AC39)-1)*100</f>
        <v>4.1045379707041363</v>
      </c>
      <c r="AF39" s="1016">
        <f>((AD39/Y39)^(1/5))-1</f>
        <v>2.6280546260255333E-2</v>
      </c>
      <c r="AG39" s="1017">
        <f>((AD39/T39)-1)*100</f>
        <v>41.134941220941187</v>
      </c>
      <c r="AH39" s="1018">
        <f>((AD39/T39)^(1/10))-1</f>
        <v>3.5055064447080175E-2</v>
      </c>
      <c r="AI39" s="5"/>
      <c r="AJ39" s="5"/>
      <c r="AL39" s="9"/>
      <c r="BI39" s="25"/>
      <c r="BJ39" s="9"/>
      <c r="BK39" s="12"/>
      <c r="BL39" s="6"/>
      <c r="BO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2:81" x14ac:dyDescent="0.25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785"/>
      <c r="AE40" s="52"/>
      <c r="AF40" s="53"/>
      <c r="AG40" s="53"/>
      <c r="AH40" s="54"/>
      <c r="AI40" s="5"/>
      <c r="AJ40" s="5"/>
      <c r="AL40" s="9"/>
      <c r="BI40" s="25"/>
      <c r="BJ40" s="9"/>
      <c r="BK40" s="12"/>
      <c r="BL40" s="6"/>
      <c r="BO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2:81" ht="14" x14ac:dyDescent="0.3">
      <c r="B41" s="1012" t="s">
        <v>217</v>
      </c>
      <c r="C41" s="1013">
        <v>16880.114601000001</v>
      </c>
      <c r="D41" s="1013">
        <v>17279.812292999999</v>
      </c>
      <c r="E41" s="1013">
        <v>17953.407575000001</v>
      </c>
      <c r="F41" s="1013">
        <v>18582.538846000003</v>
      </c>
      <c r="G41" s="1013">
        <v>19049.617396999998</v>
      </c>
      <c r="H41" s="1013">
        <v>19922.697338000002</v>
      </c>
      <c r="I41" s="1013">
        <v>20785.725534999998</v>
      </c>
      <c r="J41" s="1013">
        <v>21982.323172000008</v>
      </c>
      <c r="K41" s="1013">
        <v>22923.353873999997</v>
      </c>
      <c r="L41" s="1013">
        <v>24267.012071000005</v>
      </c>
      <c r="M41" s="1013">
        <v>25509.736815000004</v>
      </c>
      <c r="N41" s="1013">
        <v>27369.828727579996</v>
      </c>
      <c r="O41" s="1013">
        <v>29943.047142000003</v>
      </c>
      <c r="P41" s="1013">
        <v>32463.106282999997</v>
      </c>
      <c r="Q41" s="1013">
        <v>32944.735820999995</v>
      </c>
      <c r="R41" s="1013">
        <v>35908.007941199998</v>
      </c>
      <c r="S41" s="1013">
        <v>38806.461244008911</v>
      </c>
      <c r="T41" s="1013">
        <v>41035.983073207899</v>
      </c>
      <c r="U41" s="1013">
        <v>43330.17796048538</v>
      </c>
      <c r="V41" s="1013">
        <v>45549.819572254804</v>
      </c>
      <c r="W41" s="1013">
        <v>48270.411515715838</v>
      </c>
      <c r="X41" s="1013">
        <v>51699.973931207227</v>
      </c>
      <c r="Y41" s="1013">
        <v>52700.053320272818</v>
      </c>
      <c r="Z41" s="1013">
        <v>54893.157159426497</v>
      </c>
      <c r="AA41" s="1013">
        <v>56968.504122236824</v>
      </c>
      <c r="AB41" s="1013">
        <v>52743.710685599595</v>
      </c>
      <c r="AC41" s="1013">
        <v>57397.015803761678</v>
      </c>
      <c r="AD41" s="1014">
        <v>59712.573961987255</v>
      </c>
      <c r="AE41" s="1015">
        <f>((AD41/AC41)-1)*100</f>
        <v>4.0342831866771345</v>
      </c>
      <c r="AF41" s="1016">
        <f>((AD41/Y41)^(1/5))-1</f>
        <v>2.5299976738813346E-2</v>
      </c>
      <c r="AG41" s="1017">
        <f>((AD41/T41)-1)*100</f>
        <v>45.512717108447106</v>
      </c>
      <c r="AH41" s="1018">
        <f>((AD41/T41)^(1/10))-1</f>
        <v>3.8221683604584777E-2</v>
      </c>
      <c r="AI41" s="5"/>
      <c r="AJ41" s="5"/>
      <c r="AK41" s="3">
        <v>16880.099999999999</v>
      </c>
      <c r="AM41" s="3">
        <v>17279.808000000001</v>
      </c>
      <c r="AO41" s="3">
        <v>17953.41</v>
      </c>
      <c r="AQ41" s="3">
        <v>18582.5</v>
      </c>
      <c r="AS41" s="3">
        <v>19049.599999999999</v>
      </c>
      <c r="AU41" s="3">
        <v>19922.514233000005</v>
      </c>
      <c r="AW41" s="3">
        <v>20785.5</v>
      </c>
      <c r="AY41" s="3">
        <v>21982.296772000005</v>
      </c>
      <c r="BA41" s="3">
        <v>22923.327473999998</v>
      </c>
      <c r="BC41" s="3">
        <v>24267.012071000008</v>
      </c>
      <c r="BE41" s="3">
        <v>25509.736815000004</v>
      </c>
      <c r="BG41" s="3">
        <v>26713.006349770003</v>
      </c>
      <c r="BI41" s="27">
        <v>29943.047141999996</v>
      </c>
      <c r="BJ41" s="9"/>
      <c r="BK41" s="12"/>
      <c r="BL41" s="38">
        <v>32463.106282999997</v>
      </c>
      <c r="BM41" s="36"/>
      <c r="BN41" s="38"/>
      <c r="BO41" s="38">
        <v>32944.735821000009</v>
      </c>
      <c r="BP41" s="36"/>
      <c r="BQ41" s="38"/>
      <c r="BR41" s="26">
        <v>35908.007941999997</v>
      </c>
      <c r="BS41" s="43"/>
      <c r="BT41" s="37"/>
      <c r="BU41" s="26">
        <v>38806.461244008911</v>
      </c>
      <c r="BV41" s="43"/>
      <c r="BW41" s="37"/>
      <c r="BX41" s="26">
        <v>41035.983073207899</v>
      </c>
      <c r="BY41" s="43"/>
      <c r="BZ41" s="37"/>
      <c r="CA41" s="26">
        <v>43330.17796048538</v>
      </c>
      <c r="CB41" s="43"/>
      <c r="CC41" s="37"/>
    </row>
    <row r="42" spans="2:81" x14ac:dyDescent="0.25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785"/>
      <c r="AE42" s="52"/>
      <c r="AF42" s="57"/>
      <c r="AG42" s="57"/>
      <c r="AH42" s="58"/>
      <c r="AI42" s="5"/>
      <c r="AJ42" s="5"/>
      <c r="BI42" s="25"/>
      <c r="BJ42" s="9"/>
      <c r="BK42" s="12"/>
      <c r="BL42" s="6"/>
      <c r="BO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2:81" x14ac:dyDescent="0.25">
      <c r="B43" s="784" t="s">
        <v>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786"/>
      <c r="AE43" s="52"/>
      <c r="AF43" s="53"/>
      <c r="AG43" s="53"/>
      <c r="AH43" s="54"/>
      <c r="AI43" s="5"/>
      <c r="AJ43" s="5"/>
      <c r="BI43" s="25"/>
      <c r="BJ43" s="9"/>
      <c r="BK43" s="12"/>
      <c r="BL43" s="6"/>
      <c r="BO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</row>
    <row r="44" spans="2:81" x14ac:dyDescent="0.25">
      <c r="B44" s="28" t="s">
        <v>1</v>
      </c>
      <c r="C44" s="30">
        <v>76.644095710333488</v>
      </c>
      <c r="D44" s="30">
        <v>77.105023389148769</v>
      </c>
      <c r="E44" s="30">
        <v>73.604568714244266</v>
      </c>
      <c r="F44" s="30">
        <v>74.312928830889277</v>
      </c>
      <c r="G44" s="30">
        <v>76.332311439610294</v>
      </c>
      <c r="H44" s="30">
        <v>81.193909924310688</v>
      </c>
      <c r="I44" s="30">
        <v>84.745134829568684</v>
      </c>
      <c r="J44" s="30">
        <v>82.066619799158786</v>
      </c>
      <c r="K44" s="30">
        <v>80.850918707248042</v>
      </c>
      <c r="L44" s="30">
        <v>72.218775470686992</v>
      </c>
      <c r="M44" s="30">
        <v>70.471104685914796</v>
      </c>
      <c r="N44" s="30">
        <v>71</v>
      </c>
      <c r="O44" s="30">
        <v>65.286548584361171</v>
      </c>
      <c r="P44" s="30">
        <v>58.71162661652307</v>
      </c>
      <c r="Q44" s="30">
        <v>60.415650355018833</v>
      </c>
      <c r="R44" s="30">
        <v>55.843056828407121</v>
      </c>
      <c r="S44" s="30">
        <v>55.555384230247931</v>
      </c>
      <c r="T44" s="30">
        <v>53.69476538563115</v>
      </c>
      <c r="U44" s="30">
        <v>51.510436542967661</v>
      </c>
      <c r="V44" s="30">
        <v>48.761245810562002</v>
      </c>
      <c r="W44" s="30">
        <v>49.137733109282152</v>
      </c>
      <c r="X44" s="30">
        <v>46.753771641985423</v>
      </c>
      <c r="Y44" s="30">
        <v>55.169799015044454</v>
      </c>
      <c r="Z44" s="30">
        <v>55.995062408447751</v>
      </c>
      <c r="AA44" s="30">
        <v>55.227162547584932</v>
      </c>
      <c r="AB44" s="30">
        <v>57.846336189724248</v>
      </c>
      <c r="AC44" s="30">
        <v>55.622544985880026</v>
      </c>
      <c r="AD44" s="787">
        <v>49.811627602265283</v>
      </c>
      <c r="AE44" s="55"/>
      <c r="AF44" s="53"/>
      <c r="AG44" s="53"/>
      <c r="AH44" s="54"/>
      <c r="AI44" s="5"/>
      <c r="AJ44" s="5"/>
      <c r="AK44">
        <v>12937.6</v>
      </c>
      <c r="AL44" s="9">
        <f>+AK44/AK41</f>
        <v>0.76644095710333482</v>
      </c>
      <c r="AM44" s="1">
        <v>13323.6</v>
      </c>
      <c r="AN44" s="9">
        <f>+AM44/AM41</f>
        <v>0.77105023389148764</v>
      </c>
      <c r="AO44" s="1">
        <v>13214.53</v>
      </c>
      <c r="AP44" s="9">
        <f>+AO44/AO41</f>
        <v>0.73604568714244267</v>
      </c>
      <c r="AQ44" s="1">
        <v>13809.2</v>
      </c>
      <c r="AR44" s="9">
        <f>+AQ44/AQ41</f>
        <v>0.7431292883088928</v>
      </c>
      <c r="AS44" s="1">
        <v>14541</v>
      </c>
      <c r="AT44" s="9">
        <f>+AS44/AS41</f>
        <v>0.7633231143961029</v>
      </c>
      <c r="AU44" s="1">
        <v>16175.868261000001</v>
      </c>
      <c r="AV44" s="9">
        <f>+AU44/AU41</f>
        <v>0.81193909924310692</v>
      </c>
      <c r="AW44" s="1">
        <v>17614.7</v>
      </c>
      <c r="AX44" s="9">
        <f>+AW44/AW41</f>
        <v>0.84745134829568691</v>
      </c>
      <c r="AY44" s="1">
        <v>18040.127915000001</v>
      </c>
      <c r="AZ44" s="9">
        <f>+AY44/AY41</f>
        <v>0.82066619799158791</v>
      </c>
      <c r="BA44" s="1">
        <v>18533.720860999994</v>
      </c>
      <c r="BB44" s="9">
        <f>+BA44/BA41</f>
        <v>0.80850918707248043</v>
      </c>
      <c r="BC44" s="1">
        <v>17525.338961000005</v>
      </c>
      <c r="BD44" s="9">
        <f>+BC44/BC41</f>
        <v>0.72218775470686991</v>
      </c>
      <c r="BE44" s="1">
        <v>17976.993336</v>
      </c>
      <c r="BF44" s="9">
        <f>+BE44/BE41</f>
        <v>0.70471104685914798</v>
      </c>
      <c r="BG44" s="1">
        <v>18419.197389629997</v>
      </c>
      <c r="BH44" s="9">
        <f>+BG44/BG41</f>
        <v>0.68952169398142582</v>
      </c>
      <c r="BI44" s="25">
        <v>19548.782019999995</v>
      </c>
      <c r="BJ44" s="9">
        <f>+BI44/BI41</f>
        <v>0.6528654858436117</v>
      </c>
      <c r="BK44" s="12">
        <f>+BJ44*100</f>
        <v>65.286548584361171</v>
      </c>
      <c r="BL44" s="6">
        <v>19059.617749000001</v>
      </c>
      <c r="BM44" s="9">
        <f>+BL44/BL41</f>
        <v>0.58711626616523072</v>
      </c>
      <c r="BN44" s="12">
        <f>+BM44*100</f>
        <v>58.71162661652307</v>
      </c>
      <c r="BO44" s="6">
        <v>19903.776404000011</v>
      </c>
      <c r="BP44" s="9">
        <f>+BO44/BO41</f>
        <v>0.60415650355018835</v>
      </c>
      <c r="BQ44" s="12">
        <f>+BP44*100</f>
        <v>60.415650355018833</v>
      </c>
      <c r="BR44" s="6">
        <v>20052.129281000001</v>
      </c>
      <c r="BS44" s="9">
        <f>+BR44/BR41</f>
        <v>0.55843056828407123</v>
      </c>
      <c r="BT44" s="12">
        <f>+BS44*100</f>
        <v>55.843056828407121</v>
      </c>
      <c r="BU44" s="6">
        <v>21557.326716785243</v>
      </c>
      <c r="BV44" s="9">
        <f>+BU44/BU41</f>
        <v>0.55550869689550331</v>
      </c>
      <c r="BW44" s="12">
        <f>+BV44*100</f>
        <v>55.550869689550332</v>
      </c>
      <c r="BX44" s="6">
        <v>22031.93804599997</v>
      </c>
      <c r="BY44" s="9">
        <f>+BX44/BX41</f>
        <v>0.53689314586895975</v>
      </c>
      <c r="BZ44" s="12">
        <f>+BY44*100</f>
        <v>53.689314586895975</v>
      </c>
      <c r="CA44" s="6">
        <v>22319.562549983006</v>
      </c>
      <c r="CB44" s="9">
        <f>+CA44/CA41</f>
        <v>0.5151043360665899</v>
      </c>
      <c r="CC44" s="12">
        <f>+CB44*100</f>
        <v>51.510433606658992</v>
      </c>
    </row>
    <row r="45" spans="2:81" x14ac:dyDescent="0.25">
      <c r="B45" s="28" t="s">
        <v>2</v>
      </c>
      <c r="C45" s="30">
        <v>23.355904289666533</v>
      </c>
      <c r="D45" s="30">
        <v>22.892615473505263</v>
      </c>
      <c r="E45" s="30">
        <v>26.392312101155156</v>
      </c>
      <c r="F45" s="30">
        <v>25.684380465491728</v>
      </c>
      <c r="G45" s="30">
        <v>23.664538887955654</v>
      </c>
      <c r="H45" s="30">
        <v>18.801845129543892</v>
      </c>
      <c r="I45" s="30">
        <v>15.249091915036924</v>
      </c>
      <c r="J45" s="30">
        <v>17.927921262621748</v>
      </c>
      <c r="K45" s="30">
        <v>19.143846450640307</v>
      </c>
      <c r="L45" s="30">
        <v>27.776170755093037</v>
      </c>
      <c r="M45" s="30">
        <v>29.524087738025539</v>
      </c>
      <c r="N45" s="30">
        <v>29</v>
      </c>
      <c r="O45" s="30">
        <v>34.709355640101407</v>
      </c>
      <c r="P45" s="30">
        <v>41.284595556459067</v>
      </c>
      <c r="Q45" s="30">
        <v>39.580627047214207</v>
      </c>
      <c r="R45" s="30">
        <v>44.153527777450222</v>
      </c>
      <c r="S45" s="30">
        <v>44.441455214451537</v>
      </c>
      <c r="T45" s="30">
        <v>46.169772222164113</v>
      </c>
      <c r="U45" s="30">
        <v>48.032251023475482</v>
      </c>
      <c r="V45" s="30">
        <v>50.235799054132301</v>
      </c>
      <c r="W45" s="30">
        <v>49.151635425130749</v>
      </c>
      <c r="X45" s="30">
        <v>50.722363169721262</v>
      </c>
      <c r="Y45" s="30">
        <v>42.248358035516659</v>
      </c>
      <c r="Z45" s="30">
        <v>39.910003315339523</v>
      </c>
      <c r="AA45" s="30">
        <v>40.528215498130457</v>
      </c>
      <c r="AB45" s="30">
        <v>37.238749401897273</v>
      </c>
      <c r="AC45" s="30">
        <v>39.805314101825338</v>
      </c>
      <c r="AD45" s="787">
        <v>45.578191802015525</v>
      </c>
      <c r="AE45" s="55"/>
      <c r="AF45" s="53"/>
      <c r="AG45" s="53"/>
      <c r="AH45" s="54"/>
      <c r="AI45" s="5"/>
      <c r="AJ45" s="5"/>
      <c r="AK45">
        <v>3942.5</v>
      </c>
      <c r="AL45" s="9">
        <f>+AK45/AK41</f>
        <v>0.23355904289666532</v>
      </c>
      <c r="AM45" s="1">
        <v>3955.8</v>
      </c>
      <c r="AN45" s="9">
        <f>+AM45/AM41</f>
        <v>0.22892615473505262</v>
      </c>
      <c r="AO45" s="1">
        <v>4738.32</v>
      </c>
      <c r="AP45" s="9">
        <f>+AO45/AO41</f>
        <v>0.26392312101155158</v>
      </c>
      <c r="AQ45" s="1">
        <v>4772.8</v>
      </c>
      <c r="AR45" s="9">
        <f>+AQ45/AQ41</f>
        <v>0.2568438046549173</v>
      </c>
      <c r="AS45" s="1">
        <v>4508</v>
      </c>
      <c r="AT45" s="9">
        <f>+AS45/AS41</f>
        <v>0.23664538887955655</v>
      </c>
      <c r="AU45" s="1">
        <v>3745.8002720000004</v>
      </c>
      <c r="AV45" s="9">
        <f>+AU45/AU41</f>
        <v>0.18801845129543893</v>
      </c>
      <c r="AW45" s="1">
        <v>3169.6</v>
      </c>
      <c r="AX45" s="9">
        <f>+AW45/AW41</f>
        <v>0.15249091915036925</v>
      </c>
      <c r="AY45" s="1">
        <v>3940.9688570000035</v>
      </c>
      <c r="AZ45" s="9">
        <f>+AY45/AY41</f>
        <v>0.17927921262621749</v>
      </c>
      <c r="BA45" s="1">
        <v>4388.4066130000028</v>
      </c>
      <c r="BB45" s="9">
        <f>+BA45/BA41</f>
        <v>0.19143846450640306</v>
      </c>
      <c r="BC45" s="1">
        <v>6740.4467100000011</v>
      </c>
      <c r="BD45" s="9">
        <f>+BC45/BC41</f>
        <v>0.27776170755093038</v>
      </c>
      <c r="BE45" s="1">
        <v>7531.5170790000029</v>
      </c>
      <c r="BF45" s="9">
        <f>+BE45/BE41</f>
        <v>0.2952408773802554</v>
      </c>
      <c r="BG45" s="1">
        <v>8292.5825601400047</v>
      </c>
      <c r="BH45" s="9">
        <f>+BG45/BG41</f>
        <v>0.31043239579851345</v>
      </c>
      <c r="BI45" s="25">
        <v>10393.038721999999</v>
      </c>
      <c r="BJ45" s="9">
        <f>+BI45/BI41</f>
        <v>0.34709355640101408</v>
      </c>
      <c r="BK45" s="12">
        <f>+BJ45*100</f>
        <v>34.709355640101407</v>
      </c>
      <c r="BL45" s="6">
        <v>13402.262134000001</v>
      </c>
      <c r="BM45" s="9">
        <f>+BL45/BL41</f>
        <v>0.41284595556459064</v>
      </c>
      <c r="BN45" s="12">
        <f>+BM45*100</f>
        <v>41.284595556459067</v>
      </c>
      <c r="BO45" s="6">
        <v>13039.733016999997</v>
      </c>
      <c r="BP45" s="9">
        <f>+BO45/BO41</f>
        <v>0.39580627047214206</v>
      </c>
      <c r="BQ45" s="12">
        <f>+BP45*100</f>
        <v>39.580627047214207</v>
      </c>
      <c r="BR45" s="6">
        <v>15854.652260999999</v>
      </c>
      <c r="BS45" s="9">
        <f>+BR45/BR41</f>
        <v>0.44153527777450219</v>
      </c>
      <c r="BT45" s="12">
        <f>+BS45*100</f>
        <v>44.153527777450222</v>
      </c>
      <c r="BU45" s="6">
        <v>17247.908127223669</v>
      </c>
      <c r="BV45" s="9">
        <f>+BU45/BU41</f>
        <v>0.44445970011982133</v>
      </c>
      <c r="BW45" s="12">
        <f>+BV45*100</f>
        <v>44.445970011982133</v>
      </c>
      <c r="BX45" s="6">
        <v>18943.135640407931</v>
      </c>
      <c r="BY45" s="9">
        <f>+BX45/BX41</f>
        <v>0.4616225619991487</v>
      </c>
      <c r="BZ45" s="12">
        <f>+BY45*100</f>
        <v>46.162256199914872</v>
      </c>
      <c r="CA45" s="6">
        <v>20812.461130502368</v>
      </c>
      <c r="CB45" s="9">
        <f>+CA45/CA41</f>
        <v>0.48032253985852841</v>
      </c>
      <c r="CC45" s="12">
        <f>+CB45*100</f>
        <v>48.03225398585284</v>
      </c>
    </row>
    <row r="46" spans="2:81" x14ac:dyDescent="0.25">
      <c r="B46" s="28" t="s">
        <v>31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44">
        <v>0.13546239220473305</v>
      </c>
      <c r="U46" s="44">
        <v>0.45448207345304287</v>
      </c>
      <c r="V46" s="44">
        <v>0.43755079343264203</v>
      </c>
      <c r="W46" s="44">
        <v>0.47693798279176042</v>
      </c>
      <c r="X46" s="44">
        <v>0.46616766058855197</v>
      </c>
      <c r="Y46" s="44">
        <v>0.54497163646989921</v>
      </c>
      <c r="Z46" s="44">
        <v>1.3579115841982443</v>
      </c>
      <c r="AA46" s="44">
        <v>1.3394394881120835</v>
      </c>
      <c r="AB46" s="44">
        <v>1.4754482039362284</v>
      </c>
      <c r="AC46" s="44">
        <v>1.396758074916254</v>
      </c>
      <c r="AD46" s="789">
        <v>1.3749000428664107</v>
      </c>
      <c r="AE46" s="55"/>
      <c r="AF46" s="53"/>
      <c r="AG46" s="53"/>
      <c r="AH46" s="54"/>
      <c r="AI46" s="5"/>
      <c r="AJ46" s="5"/>
      <c r="AL46" s="9"/>
      <c r="AM46" s="1"/>
      <c r="AN46" s="9"/>
      <c r="AO46" s="1"/>
      <c r="AP46" s="9"/>
      <c r="AQ46" s="1"/>
      <c r="AR46" s="9"/>
      <c r="AS46" s="1"/>
      <c r="AT46" s="9"/>
      <c r="AU46" s="1"/>
      <c r="AV46" s="9"/>
      <c r="AW46" s="1"/>
      <c r="AX46" s="9"/>
      <c r="AY46" s="1"/>
      <c r="AZ46" s="9"/>
      <c r="BA46" s="1"/>
      <c r="BB46" s="9"/>
      <c r="BC46" s="1"/>
      <c r="BD46" s="9"/>
      <c r="BE46" s="1"/>
      <c r="BF46" s="9"/>
      <c r="BG46" s="1"/>
      <c r="BH46" s="9"/>
      <c r="BI46" s="25"/>
      <c r="BJ46" s="9"/>
      <c r="BK46" s="12"/>
      <c r="BL46" s="6"/>
      <c r="BM46" s="9"/>
      <c r="BN46" s="12"/>
      <c r="BO46" s="6"/>
      <c r="BP46" s="9"/>
      <c r="BQ46" s="12"/>
      <c r="BR46" s="6"/>
      <c r="BS46" s="9"/>
      <c r="BT46" s="12"/>
      <c r="BU46" s="6"/>
      <c r="BV46" s="9"/>
      <c r="BW46" s="12"/>
      <c r="BX46" s="6">
        <v>55.58336679956399</v>
      </c>
      <c r="BY46" s="9">
        <f>+BX46/BX41</f>
        <v>1.3545031125586455E-3</v>
      </c>
      <c r="BZ46" s="12">
        <f>+BY46*100</f>
        <v>0.13545031125586454</v>
      </c>
      <c r="CA46" s="6">
        <v>196.92788000000002</v>
      </c>
      <c r="CB46" s="9">
        <f>+CA46/CA41</f>
        <v>4.5448204754567787E-3</v>
      </c>
      <c r="CC46" s="12">
        <f>+CB46*100</f>
        <v>0.45448204754567789</v>
      </c>
    </row>
    <row r="47" spans="2:81" x14ac:dyDescent="0.25">
      <c r="B47" s="28" t="s">
        <v>35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4"/>
      <c r="U47" s="44"/>
      <c r="V47" s="44">
        <v>0.56540434187312005</v>
      </c>
      <c r="W47" s="44">
        <v>1.2336934827953454</v>
      </c>
      <c r="X47" s="44">
        <v>2.0576975277047551</v>
      </c>
      <c r="Y47" s="44">
        <v>2.0368713129689939</v>
      </c>
      <c r="Z47" s="44">
        <v>2.7370226920144662</v>
      </c>
      <c r="AA47" s="44">
        <v>2.9051824661725316</v>
      </c>
      <c r="AB47" s="44">
        <v>3.4394662044422604</v>
      </c>
      <c r="AC47" s="44">
        <v>3.175382837378371</v>
      </c>
      <c r="AD47" s="789">
        <v>3.2352805528527697</v>
      </c>
      <c r="AE47" s="55"/>
      <c r="AF47" s="53"/>
      <c r="AG47" s="53"/>
      <c r="AH47" s="54"/>
      <c r="AI47" s="5"/>
      <c r="AJ47" s="5"/>
      <c r="AL47" s="9"/>
      <c r="AM47" s="1"/>
      <c r="AN47" s="9"/>
      <c r="AO47" s="1"/>
      <c r="AP47" s="9"/>
      <c r="AQ47" s="1"/>
      <c r="AR47" s="9"/>
      <c r="AS47" s="1"/>
      <c r="AT47" s="9"/>
      <c r="AU47" s="1"/>
      <c r="AV47" s="9"/>
      <c r="AW47" s="1"/>
      <c r="AX47" s="9"/>
      <c r="AY47" s="1"/>
      <c r="AZ47" s="9"/>
      <c r="BA47" s="1"/>
      <c r="BB47" s="9"/>
      <c r="BC47" s="1"/>
      <c r="BD47" s="9"/>
      <c r="BE47" s="1"/>
      <c r="BF47" s="9"/>
      <c r="BG47" s="1"/>
      <c r="BH47" s="9"/>
      <c r="BI47" s="25"/>
      <c r="BJ47" s="9"/>
      <c r="BK47" s="12"/>
      <c r="BL47" s="6"/>
      <c r="BM47" s="9"/>
      <c r="BN47" s="12"/>
      <c r="BO47" s="6"/>
      <c r="BP47" s="9"/>
      <c r="BQ47" s="12"/>
      <c r="BR47" s="6"/>
      <c r="BS47" s="9"/>
      <c r="BT47" s="12"/>
      <c r="BU47" s="6"/>
      <c r="BV47" s="9"/>
      <c r="BW47" s="12"/>
      <c r="BX47" s="6"/>
      <c r="BY47" s="9"/>
      <c r="BZ47" s="12"/>
      <c r="CA47" s="6"/>
      <c r="CB47" s="9"/>
      <c r="CC47" s="12"/>
    </row>
    <row r="48" spans="2:81" x14ac:dyDescent="0.25">
      <c r="B48" s="784" t="s">
        <v>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788"/>
      <c r="AE48" s="55"/>
      <c r="AF48" s="53"/>
      <c r="AG48" s="53"/>
      <c r="AH48" s="54"/>
      <c r="AI48" s="5"/>
      <c r="AJ48" s="5"/>
      <c r="BC48" s="1"/>
      <c r="BI48" s="25"/>
      <c r="BJ48" s="9"/>
      <c r="BK48" s="12"/>
      <c r="BL48" s="6"/>
      <c r="BO48" s="6"/>
      <c r="BR48" s="6"/>
      <c r="BT48" s="6"/>
      <c r="BU48" s="6"/>
      <c r="BW48" s="6"/>
      <c r="BX48" s="6"/>
      <c r="BZ48" s="6"/>
      <c r="CA48" s="6"/>
      <c r="CC48" s="6"/>
    </row>
    <row r="49" spans="2:81" x14ac:dyDescent="0.25">
      <c r="B49" s="28" t="s">
        <v>4</v>
      </c>
      <c r="C49" s="30">
        <v>73.16539822038969</v>
      </c>
      <c r="D49" s="30">
        <v>72.596126392145095</v>
      </c>
      <c r="E49" s="30">
        <v>73.089561258836056</v>
      </c>
      <c r="F49" s="30">
        <v>73.854972813130644</v>
      </c>
      <c r="G49" s="30">
        <v>73.578406444229799</v>
      </c>
      <c r="H49" s="30">
        <v>74.059561250358357</v>
      </c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787"/>
      <c r="AE49" s="55"/>
      <c r="AF49" s="53"/>
      <c r="AG49" s="53"/>
      <c r="AH49" s="54"/>
      <c r="AI49" s="5"/>
      <c r="AJ49" s="5"/>
      <c r="AK49" s="1">
        <v>12350.392384999999</v>
      </c>
      <c r="AL49" s="9">
        <f>+AK49/AK41</f>
        <v>0.73165398220389688</v>
      </c>
      <c r="AM49" s="1">
        <v>12544.471256000001</v>
      </c>
      <c r="AN49" s="9">
        <f>+AM49/AM41</f>
        <v>0.72596126392145099</v>
      </c>
      <c r="AO49" s="1">
        <v>13122.068599999999</v>
      </c>
      <c r="AP49" s="9">
        <f>+AO49/AO41</f>
        <v>0.73089561258836055</v>
      </c>
      <c r="AQ49" s="1">
        <v>13724.100323000002</v>
      </c>
      <c r="AR49" s="9">
        <f>+AQ49/AQ41</f>
        <v>0.73854972813130648</v>
      </c>
      <c r="AS49" s="1">
        <v>14016.392114</v>
      </c>
      <c r="AT49" s="9">
        <f>+AS49/AS41</f>
        <v>0.73578406444229805</v>
      </c>
      <c r="AU49" s="1">
        <v>14754.526630999999</v>
      </c>
      <c r="AV49" s="9">
        <f>+AU49/AU41</f>
        <v>0.74059561250358352</v>
      </c>
      <c r="AW49" s="1"/>
      <c r="AX49" s="9"/>
      <c r="AY49" s="1"/>
      <c r="AZ49" s="1"/>
      <c r="BA49" s="1"/>
      <c r="BB49" s="1"/>
      <c r="BC49" s="1"/>
      <c r="BD49" s="1"/>
      <c r="BI49" s="25"/>
      <c r="BJ49" s="9"/>
      <c r="BK49" s="12"/>
      <c r="BL49" s="6"/>
      <c r="BO49" s="6"/>
      <c r="BR49" s="6"/>
      <c r="BT49" s="6"/>
      <c r="BU49" s="6"/>
      <c r="BW49" s="6"/>
      <c r="BX49" s="6"/>
      <c r="BZ49" s="6"/>
      <c r="CA49" s="6"/>
      <c r="CC49" s="6"/>
    </row>
    <row r="50" spans="2:81" x14ac:dyDescent="0.25">
      <c r="B50" s="28" t="s">
        <v>5</v>
      </c>
      <c r="C50" s="30">
        <v>13.176215265312411</v>
      </c>
      <c r="D50" s="30">
        <f>14.5327457862958-0.05</f>
        <v>14.4827457862958</v>
      </c>
      <c r="E50" s="30">
        <f>15.1620682811789</f>
        <v>15.1620682811789</v>
      </c>
      <c r="F50" s="30">
        <f>14.5466937118256-0.05</f>
        <v>14.4966937118256</v>
      </c>
      <c r="G50" s="30">
        <v>15.413174570594659</v>
      </c>
      <c r="H50" s="30">
        <v>15.642660989233583</v>
      </c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787"/>
      <c r="AE50" s="55"/>
      <c r="AF50" s="53"/>
      <c r="AG50" s="53"/>
      <c r="AH50" s="54"/>
      <c r="AI50" s="5"/>
      <c r="AJ50" s="5"/>
      <c r="AK50" s="1">
        <v>2224.1583129999999</v>
      </c>
      <c r="AL50" s="9">
        <f>+AK50/AK41</f>
        <v>0.1317621526531241</v>
      </c>
      <c r="AM50" s="1">
        <v>2511.2305689999998</v>
      </c>
      <c r="AN50" s="14">
        <f>+AM50/AM41</f>
        <v>0.14532745786295773</v>
      </c>
      <c r="AO50" s="1">
        <v>2722.108283</v>
      </c>
      <c r="AP50" s="9">
        <f>+AO50/AO41</f>
        <v>0.15162068281178895</v>
      </c>
      <c r="AQ50" s="1">
        <v>2703.1393589999998</v>
      </c>
      <c r="AR50" s="14">
        <f>+AQ50/AQ41</f>
        <v>0.14546693711825642</v>
      </c>
      <c r="AS50" s="1">
        <v>2936.148103</v>
      </c>
      <c r="AT50" s="9">
        <f>+AS50/AS41</f>
        <v>0.15413174570594659</v>
      </c>
      <c r="AU50" s="1">
        <v>3116.4113620000003</v>
      </c>
      <c r="AV50" s="9">
        <f>+AU50/AU41</f>
        <v>0.15642660989233584</v>
      </c>
      <c r="AW50" s="1"/>
      <c r="AX50" s="9"/>
      <c r="AY50" s="1"/>
      <c r="AZ50" s="1"/>
      <c r="BA50" s="1"/>
      <c r="BB50" s="1"/>
      <c r="BC50" s="1"/>
      <c r="BD50" s="1"/>
      <c r="BI50" s="25"/>
      <c r="BJ50" s="9"/>
      <c r="BK50" s="12"/>
      <c r="BL50" s="6"/>
      <c r="BO50" s="6"/>
      <c r="BR50" s="6"/>
      <c r="BT50" s="6"/>
      <c r="BU50" s="6"/>
      <c r="BW50" s="6"/>
      <c r="BX50" s="6"/>
      <c r="BZ50" s="6"/>
      <c r="CA50" s="6"/>
      <c r="CC50" s="6"/>
    </row>
    <row r="51" spans="2:81" x14ac:dyDescent="0.25">
      <c r="B51" s="28" t="s">
        <v>17</v>
      </c>
      <c r="C51" s="30"/>
      <c r="D51" s="30"/>
      <c r="E51" s="30"/>
      <c r="F51" s="30"/>
      <c r="G51" s="30"/>
      <c r="H51" s="30"/>
      <c r="I51" s="30">
        <v>90.229162608549203</v>
      </c>
      <c r="J51" s="30">
        <v>91.063648874478943</v>
      </c>
      <c r="K51" s="30">
        <v>91.604430315874311</v>
      </c>
      <c r="L51" s="30">
        <v>91.844778008887985</v>
      </c>
      <c r="M51" s="30">
        <v>91.861432879310541</v>
      </c>
      <c r="N51" s="30">
        <v>92.039650363657728</v>
      </c>
      <c r="O51" s="30">
        <v>92.863670324311315</v>
      </c>
      <c r="P51" s="30">
        <v>92.731715750086408</v>
      </c>
      <c r="Q51" s="30">
        <v>92.558237111626113</v>
      </c>
      <c r="R51" s="30">
        <v>92.810736061522064</v>
      </c>
      <c r="S51" s="30">
        <v>92.971999004061288</v>
      </c>
      <c r="T51" s="30">
        <v>92.971999004061288</v>
      </c>
      <c r="U51" s="30">
        <v>93.426232673940063</v>
      </c>
      <c r="V51" s="30">
        <v>93.577578161787201</v>
      </c>
      <c r="W51" s="30">
        <v>94.236950343111275</v>
      </c>
      <c r="X51" s="30">
        <v>95.269854014636365</v>
      </c>
      <c r="Y51" s="30">
        <v>95.417439657341703</v>
      </c>
      <c r="Z51" s="30">
        <v>95.435438625007791</v>
      </c>
      <c r="AA51" s="30">
        <v>95.656570581453238</v>
      </c>
      <c r="AB51" s="30">
        <v>96.089997157472936</v>
      </c>
      <c r="AC51" s="30">
        <v>96.762495001282119</v>
      </c>
      <c r="AD51" s="787">
        <v>96.810135325199965</v>
      </c>
      <c r="AE51" s="55"/>
      <c r="AF51" s="53"/>
      <c r="AG51" s="53"/>
      <c r="AH51" s="54"/>
      <c r="AI51" s="5"/>
      <c r="AJ51" s="5"/>
      <c r="AK51" s="1">
        <v>2305.5639030000002</v>
      </c>
      <c r="AL51" s="9">
        <f>+AK51/AK41</f>
        <v>0.13658473012600639</v>
      </c>
      <c r="AM51" s="1">
        <v>2224.1104679999999</v>
      </c>
      <c r="AN51" s="9">
        <f>+AM51/AM41</f>
        <v>0.12871152665585173</v>
      </c>
      <c r="AO51" s="1">
        <v>2109.2306920000001</v>
      </c>
      <c r="AP51" s="9">
        <f>+AO51/AO41</f>
        <v>0.11748356952801725</v>
      </c>
      <c r="AQ51" s="1">
        <v>2155.299164</v>
      </c>
      <c r="AR51" s="9">
        <f>+AQ51/AQ41</f>
        <v>0.11598542521189291</v>
      </c>
      <c r="AS51" s="1">
        <v>2097.0771800000002</v>
      </c>
      <c r="AT51" s="9">
        <f>+AS51/AS41</f>
        <v>0.1100851030992777</v>
      </c>
      <c r="AU51" s="1">
        <v>2051.7593449999995</v>
      </c>
      <c r="AV51" s="9">
        <f>+AU51/AU41</f>
        <v>0.10298696846211454</v>
      </c>
      <c r="AW51" s="1">
        <v>18754.582593999996</v>
      </c>
      <c r="AX51" s="9">
        <f>+AW51/AW41</f>
        <v>0.90229162608549207</v>
      </c>
      <c r="AY51" s="1">
        <v>20017.881547000005</v>
      </c>
      <c r="AZ51" s="9">
        <f>+AY51/AY41</f>
        <v>0.91063648874478942</v>
      </c>
      <c r="BA51" s="1">
        <v>20998.783541999997</v>
      </c>
      <c r="BB51" s="9">
        <f>+BA51/BA41</f>
        <v>0.91604430315874308</v>
      </c>
      <c r="BC51" s="1">
        <v>22287.983366000008</v>
      </c>
      <c r="BD51" s="9">
        <f>+BC51/BC41</f>
        <v>0.91844778008887984</v>
      </c>
      <c r="BE51" s="1">
        <v>23433.609762</v>
      </c>
      <c r="BF51" s="9">
        <f>+BE51/BE41</f>
        <v>0.91861432879310545</v>
      </c>
      <c r="BG51" s="1">
        <v>24586.557645950001</v>
      </c>
      <c r="BH51" s="9">
        <f>+BG51/BG41</f>
        <v>0.92039650363657732</v>
      </c>
      <c r="BI51" s="25">
        <v>27806.212583</v>
      </c>
      <c r="BJ51" s="9">
        <f>+BI51/BI41</f>
        <v>0.9286367032431132</v>
      </c>
      <c r="BK51" s="12">
        <f>+BJ51*100</f>
        <v>92.863670324311315</v>
      </c>
      <c r="BL51" s="6">
        <v>30103.595441999998</v>
      </c>
      <c r="BM51" s="9">
        <f>+BL51/BL41</f>
        <v>0.92731715750086408</v>
      </c>
      <c r="BN51" s="12">
        <f>+BM51*100</f>
        <v>92.731715750086408</v>
      </c>
      <c r="BO51" s="6">
        <v>30493.066697000009</v>
      </c>
      <c r="BP51" s="9">
        <f>+BO51/BO41</f>
        <v>0.92558237111626107</v>
      </c>
      <c r="BQ51" s="12">
        <f>+BP51*100</f>
        <v>92.558237111626113</v>
      </c>
      <c r="BR51" s="6">
        <v>33326.486475999998</v>
      </c>
      <c r="BS51" s="9">
        <f>+BR51/BR41</f>
        <v>0.9281073606152207</v>
      </c>
      <c r="BT51" s="12">
        <f>+BS51*100</f>
        <v>92.810736061522064</v>
      </c>
      <c r="BU51" s="6">
        <v>36076.406376599989</v>
      </c>
      <c r="BV51" s="9">
        <f>+BU51/BU41</f>
        <v>0.92964947640438622</v>
      </c>
      <c r="BW51" s="12">
        <f>+BV51*100</f>
        <v>92.964947640438623</v>
      </c>
      <c r="BX51" s="6">
        <v>38195.564596089513</v>
      </c>
      <c r="BY51" s="9">
        <f>+BX51/BX41</f>
        <v>0.93078224854389136</v>
      </c>
      <c r="BZ51" s="12">
        <f>+BY51*100</f>
        <v>93.078224854389134</v>
      </c>
      <c r="CA51" s="6">
        <v>40481.748241767418</v>
      </c>
      <c r="CB51" s="9">
        <f>+CA51/CA41</f>
        <v>0.93426221970942369</v>
      </c>
      <c r="CC51" s="12">
        <f>+CB51*100</f>
        <v>93.426221970942365</v>
      </c>
    </row>
    <row r="52" spans="2:81" x14ac:dyDescent="0.25">
      <c r="B52" s="28" t="s">
        <v>6</v>
      </c>
      <c r="C52" s="30">
        <v>13.65847301260064</v>
      </c>
      <c r="D52" s="30">
        <v>12.871152665585173</v>
      </c>
      <c r="E52" s="30">
        <v>11.748356952801725</v>
      </c>
      <c r="F52" s="30">
        <v>11.598542521189291</v>
      </c>
      <c r="G52" s="30">
        <v>11.00851030992777</v>
      </c>
      <c r="H52" s="30">
        <v>10.298696846211454</v>
      </c>
      <c r="I52" s="30">
        <v>9.7719224507469136</v>
      </c>
      <c r="J52" s="30">
        <v>8.9364712221618952</v>
      </c>
      <c r="K52" s="30">
        <v>8.3956848506521666</v>
      </c>
      <c r="L52" s="30">
        <v>8.1552219911120165</v>
      </c>
      <c r="M52" s="30">
        <v>8.1385671206894532</v>
      </c>
      <c r="N52" s="30">
        <v>7.9603496363422694</v>
      </c>
      <c r="O52" s="30">
        <v>7.1363296756886907</v>
      </c>
      <c r="P52" s="30">
        <v>7.2682842499135978</v>
      </c>
      <c r="Q52" s="30">
        <v>7.4417628883738969</v>
      </c>
      <c r="R52" s="30">
        <v>7.1892639384779411</v>
      </c>
      <c r="S52" s="30">
        <v>7.0280009959387195</v>
      </c>
      <c r="T52" s="30">
        <v>7.0280009959387195</v>
      </c>
      <c r="U52" s="30">
        <v>6.573767326059933</v>
      </c>
      <c r="V52" s="30">
        <v>6.42242183821282</v>
      </c>
      <c r="W52" s="30">
        <v>5.7630496568887208</v>
      </c>
      <c r="X52" s="30">
        <v>4.7301459853636123</v>
      </c>
      <c r="Y52" s="30">
        <v>4.5825603426583656</v>
      </c>
      <c r="Z52" s="30">
        <v>4.5645613749921594</v>
      </c>
      <c r="AA52" s="30">
        <v>4.3434294185466991</v>
      </c>
      <c r="AB52" s="30">
        <v>3.9100028425270534</v>
      </c>
      <c r="AC52" s="30">
        <v>3.2375049987178697</v>
      </c>
      <c r="AD52" s="787">
        <v>3.1898646748000368</v>
      </c>
      <c r="AE52" s="55"/>
      <c r="AF52" s="53"/>
      <c r="AG52" s="53"/>
      <c r="AH52" s="54"/>
      <c r="AI52" s="5"/>
      <c r="AJ52" s="5"/>
      <c r="AN52" s="11"/>
      <c r="AW52" s="1">
        <v>2031.1429409999996</v>
      </c>
      <c r="AX52" s="9">
        <f>+AW52/AW41</f>
        <v>9.771922450746913E-2</v>
      </c>
      <c r="AY52" s="1">
        <v>1964.4416250000036</v>
      </c>
      <c r="AZ52" s="9">
        <f>+AY52/AY41</f>
        <v>8.9364712221618944E-2</v>
      </c>
      <c r="BA52" s="1">
        <v>1924.5703320000036</v>
      </c>
      <c r="BB52" s="9">
        <f>+BA52/BA41</f>
        <v>8.3956848506521659E-2</v>
      </c>
      <c r="BC52" s="1">
        <v>1979.0287050000002</v>
      </c>
      <c r="BD52" s="9">
        <f>+BC52/BC41</f>
        <v>8.1552219911120161E-2</v>
      </c>
      <c r="BE52" s="1">
        <v>2076.1270530000033</v>
      </c>
      <c r="BF52" s="9">
        <f>+BE52/BE41</f>
        <v>8.1385671206894536E-2</v>
      </c>
      <c r="BG52" s="1">
        <v>2126.4487038200036</v>
      </c>
      <c r="BH52" s="9">
        <f>+BG52/BG41</f>
        <v>7.9603496363422691E-2</v>
      </c>
      <c r="BI52" s="25">
        <v>2136.8345589999999</v>
      </c>
      <c r="BJ52" s="9">
        <f>+BI52/BI41</f>
        <v>7.1363296756886907E-2</v>
      </c>
      <c r="BK52" s="12">
        <f>+BJ52*100</f>
        <v>7.1363296756886907</v>
      </c>
      <c r="BL52" s="6">
        <v>2359.5108410000003</v>
      </c>
      <c r="BM52" s="9">
        <f>+BL52/BL41</f>
        <v>7.268284249913598E-2</v>
      </c>
      <c r="BN52" s="12">
        <f>+BM52*100</f>
        <v>7.2682842499135978</v>
      </c>
      <c r="BO52" s="6">
        <v>2451.669124</v>
      </c>
      <c r="BP52" s="9">
        <f>+BO52/BO41</f>
        <v>7.441762888373897E-2</v>
      </c>
      <c r="BQ52" s="12">
        <f>+BP52*100</f>
        <v>7.4417628883738969</v>
      </c>
      <c r="BR52" s="6">
        <v>2581.5214660000011</v>
      </c>
      <c r="BS52" s="9">
        <f>+BR52/BR41</f>
        <v>7.1892639384779411E-2</v>
      </c>
      <c r="BT52" s="12">
        <f>+BS52*100</f>
        <v>7.1892639384779411</v>
      </c>
      <c r="BU52" s="6">
        <v>2706.7744833988495</v>
      </c>
      <c r="BV52" s="9">
        <f>+BU52/BU41</f>
        <v>6.9750613599603384E-2</v>
      </c>
      <c r="BW52" s="12">
        <f>+BV52*100</f>
        <v>6.9750613599603382</v>
      </c>
      <c r="BX52" s="6">
        <v>2753.1330149999999</v>
      </c>
      <c r="BY52" s="9">
        <f>+BX52/BX41</f>
        <v>6.7090704518725203E-2</v>
      </c>
      <c r="BZ52" s="12">
        <f>+BY52*100</f>
        <v>6.7090704518725204</v>
      </c>
      <c r="CA52" s="6">
        <v>2848.4297187179518</v>
      </c>
      <c r="CB52" s="9">
        <f>+CA52/CA41</f>
        <v>6.5737780290576128E-2</v>
      </c>
      <c r="CC52" s="12">
        <f>+CB52*100</f>
        <v>6.5737780290576131</v>
      </c>
    </row>
    <row r="53" spans="2:81" x14ac:dyDescent="0.25">
      <c r="B53" s="784" t="s">
        <v>12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788"/>
      <c r="AE53" s="55"/>
      <c r="AF53" s="53"/>
      <c r="AG53" s="53"/>
      <c r="AH53" s="54"/>
      <c r="AI53" s="5"/>
      <c r="AJ53" s="5"/>
      <c r="BC53" s="1"/>
      <c r="BI53" s="25"/>
      <c r="BJ53" s="9"/>
      <c r="BK53" s="12"/>
      <c r="BL53" s="6"/>
      <c r="BM53" s="9"/>
      <c r="BN53" s="12"/>
      <c r="BO53" s="6"/>
      <c r="BP53" s="9"/>
      <c r="BQ53" s="12"/>
      <c r="BR53" s="6"/>
      <c r="BS53" s="9"/>
      <c r="BT53" s="12"/>
      <c r="BU53" s="6"/>
      <c r="BV53" s="9"/>
      <c r="BW53" s="12"/>
      <c r="BX53" s="6"/>
      <c r="BY53" s="9"/>
      <c r="BZ53" s="12"/>
      <c r="CA53" s="6"/>
      <c r="CB53" s="9"/>
      <c r="CC53" s="12"/>
    </row>
    <row r="54" spans="2:81" x14ac:dyDescent="0.25">
      <c r="B54" s="28" t="s">
        <v>10</v>
      </c>
      <c r="C54" s="30">
        <v>77.643497372645896</v>
      </c>
      <c r="D54" s="30">
        <v>77.011897354415055</v>
      </c>
      <c r="E54" s="30">
        <v>85.491057130650944</v>
      </c>
      <c r="F54" s="30">
        <v>90.493205973362052</v>
      </c>
      <c r="G54" s="30">
        <v>91.165168822442467</v>
      </c>
      <c r="H54" s="30">
        <v>91.994988180967908</v>
      </c>
      <c r="I54" s="30">
        <v>92.44088427028457</v>
      </c>
      <c r="J54" s="30">
        <v>92.890696931220546</v>
      </c>
      <c r="K54" s="30">
        <v>93.186571426981985</v>
      </c>
      <c r="L54" s="30">
        <v>93.30306942921041</v>
      </c>
      <c r="M54" s="30">
        <v>93.340339484771533</v>
      </c>
      <c r="N54" s="30">
        <v>93.523452583848425</v>
      </c>
      <c r="O54" s="30">
        <v>94.180431793076352</v>
      </c>
      <c r="P54" s="30">
        <v>94.182950298909333</v>
      </c>
      <c r="Q54" s="30">
        <v>93.859920295033646</v>
      </c>
      <c r="R54" s="30">
        <v>93.421545027461534</v>
      </c>
      <c r="S54" s="30">
        <v>93.416088442847453</v>
      </c>
      <c r="T54" s="30">
        <v>93.480862126692855</v>
      </c>
      <c r="U54" s="30">
        <v>93.848376931010321</v>
      </c>
      <c r="V54" s="30">
        <v>94.064582761200199</v>
      </c>
      <c r="W54" s="30">
        <v>94.698581397266921</v>
      </c>
      <c r="X54" s="30">
        <v>95.810649685621684</v>
      </c>
      <c r="Y54" s="30">
        <v>95.530951133610571</v>
      </c>
      <c r="Z54" s="30">
        <v>95.3896574660901</v>
      </c>
      <c r="AA54" s="30">
        <v>95.576657308403171</v>
      </c>
      <c r="AB54" s="30">
        <v>96.043719148813011</v>
      </c>
      <c r="AC54" s="30">
        <v>96.760702800092588</v>
      </c>
      <c r="AD54" s="787">
        <v>96.82124592646835</v>
      </c>
      <c r="AE54" s="55"/>
      <c r="AF54" s="53"/>
      <c r="AG54" s="53"/>
      <c r="AH54" s="54"/>
      <c r="AI54" s="5"/>
      <c r="AJ54" s="5"/>
      <c r="AK54">
        <v>13106.3</v>
      </c>
      <c r="AL54" s="9">
        <f>+AK54/AK41</f>
        <v>0.77643497372645898</v>
      </c>
      <c r="AM54">
        <v>13307.508</v>
      </c>
      <c r="AN54" s="9">
        <f>+AM54/AM41</f>
        <v>0.77011897354415049</v>
      </c>
      <c r="AO54">
        <v>15348.56</v>
      </c>
      <c r="AP54" s="9">
        <f>+AO54/AO41</f>
        <v>0.85491057130650949</v>
      </c>
      <c r="AQ54">
        <v>16815.900000000001</v>
      </c>
      <c r="AR54" s="9">
        <f>+AQ54/AQ41</f>
        <v>0.90493205973362045</v>
      </c>
      <c r="AS54">
        <v>17366.599999999999</v>
      </c>
      <c r="AT54" s="9">
        <f>+AS54/AS41</f>
        <v>0.91165168822442466</v>
      </c>
      <c r="AU54">
        <v>18327.714614000004</v>
      </c>
      <c r="AV54" s="9">
        <f>+AU54/AU41</f>
        <v>0.91994988180967907</v>
      </c>
      <c r="AW54">
        <v>19214.3</v>
      </c>
      <c r="AX54" s="9">
        <f>+AW54/AW41</f>
        <v>0.92440884270284573</v>
      </c>
      <c r="AY54">
        <v>20419.508673</v>
      </c>
      <c r="AZ54" s="9">
        <f>+AY54/AY41</f>
        <v>0.9289069693122054</v>
      </c>
      <c r="BA54">
        <v>21361.462929999994</v>
      </c>
      <c r="BB54" s="9">
        <f>+BA54/BA41</f>
        <v>0.9318657142698199</v>
      </c>
      <c r="BC54" s="1">
        <v>22641.867121000007</v>
      </c>
      <c r="BD54" s="9">
        <f>+BC54/BC41</f>
        <v>0.93303069429210406</v>
      </c>
      <c r="BE54" s="1">
        <v>23810.874944792748</v>
      </c>
      <c r="BF54" s="9">
        <f>+BE54/BE41</f>
        <v>0.93340339484771528</v>
      </c>
      <c r="BG54" s="1">
        <v>24982.925827247567</v>
      </c>
      <c r="BH54" s="9">
        <f>+BG54/BG41</f>
        <v>0.93523452583848421</v>
      </c>
      <c r="BI54" s="25">
        <v>28200.491090340001</v>
      </c>
      <c r="BJ54" s="9">
        <f>+BI54/BI41</f>
        <v>0.94180431793076347</v>
      </c>
      <c r="BK54" s="12">
        <f>+BJ54*100</f>
        <v>94.180431793076352</v>
      </c>
      <c r="BL54" s="6">
        <v>30574.711255999999</v>
      </c>
      <c r="BM54" s="9">
        <f>+BL54/BL41</f>
        <v>0.94182950298909329</v>
      </c>
      <c r="BN54" s="12">
        <f>+BM54*100</f>
        <v>94.182950298909333</v>
      </c>
      <c r="BO54" s="6">
        <v>30921.902783000009</v>
      </c>
      <c r="BP54" s="9">
        <f>+BO54/BO41</f>
        <v>0.9385992029503365</v>
      </c>
      <c r="BQ54" s="12">
        <f>+BP54*100</f>
        <v>93.859920295033646</v>
      </c>
      <c r="BR54" s="6">
        <v>33545.815807999992</v>
      </c>
      <c r="BS54" s="9">
        <f>+BR54/BR41</f>
        <v>0.93421545027461539</v>
      </c>
      <c r="BT54" s="12">
        <f>+BS54*100</f>
        <v>93.421545027461534</v>
      </c>
      <c r="BU54" s="6">
        <v>36248.532290235235</v>
      </c>
      <c r="BV54" s="9">
        <f>+BU54/BU41</f>
        <v>0.93408497266241763</v>
      </c>
      <c r="BW54" s="12">
        <f>+BV54*100</f>
        <v>93.408497266241767</v>
      </c>
      <c r="BX54" s="6">
        <v>38370.155348089495</v>
      </c>
      <c r="BY54" s="9">
        <f>+BX54/BX41</f>
        <v>0.93503682559858292</v>
      </c>
      <c r="BZ54" s="12">
        <f>+BY54*100</f>
        <v>93.503682559858291</v>
      </c>
      <c r="CA54" s="6">
        <v>40664.66641917896</v>
      </c>
      <c r="CB54" s="9">
        <f>+CA54/CA41</f>
        <v>0.93848371581263268</v>
      </c>
      <c r="CC54" s="12">
        <f>+CB54*100</f>
        <v>93.848371581263265</v>
      </c>
    </row>
    <row r="55" spans="2:81" x14ac:dyDescent="0.25">
      <c r="B55" s="28" t="s">
        <v>11</v>
      </c>
      <c r="C55" s="30">
        <v>22.356502627354104</v>
      </c>
      <c r="D55" s="30">
        <v>22.988102645584952</v>
      </c>
      <c r="E55" s="30">
        <v>14.508942869349054</v>
      </c>
      <c r="F55" s="30">
        <v>9.5067940266379658</v>
      </c>
      <c r="G55" s="30">
        <v>8.8348311775575361</v>
      </c>
      <c r="H55" s="30">
        <v>8.0050118190320863</v>
      </c>
      <c r="I55" s="30">
        <v>7.5591157297154261</v>
      </c>
      <c r="J55" s="30">
        <v>7.1094231654202824</v>
      </c>
      <c r="K55" s="30">
        <v>6.8135437395444658</v>
      </c>
      <c r="L55" s="30">
        <v>6.6969305707895925</v>
      </c>
      <c r="M55" s="30">
        <v>6.6596605152284587</v>
      </c>
      <c r="N55" s="30">
        <v>6.4765474161515719</v>
      </c>
      <c r="O55" s="30">
        <v>5.8195682069236758</v>
      </c>
      <c r="P55" s="30">
        <v>5.817049701090677</v>
      </c>
      <c r="Q55" s="30">
        <v>6.1400797049663467</v>
      </c>
      <c r="R55" s="30">
        <v>6.5784549725384514</v>
      </c>
      <c r="S55" s="30">
        <v>6.5839115571525726</v>
      </c>
      <c r="T55" s="30">
        <v>6.5191378733071321</v>
      </c>
      <c r="U55" s="30">
        <v>6.1516230689896734</v>
      </c>
      <c r="V55" s="30">
        <v>5.9354172387997597</v>
      </c>
      <c r="W55" s="30">
        <v>5.3014186027330803</v>
      </c>
      <c r="X55" s="30">
        <v>4.1893503143782986</v>
      </c>
      <c r="Y55" s="30">
        <v>4.4690488663894827</v>
      </c>
      <c r="Z55" s="30">
        <v>4.610342533909896</v>
      </c>
      <c r="AA55" s="30">
        <v>4.4233426915968499</v>
      </c>
      <c r="AB55" s="30">
        <v>3.9562808511869605</v>
      </c>
      <c r="AC55" s="30">
        <v>3.2392971999074178</v>
      </c>
      <c r="AD55" s="787">
        <v>3.1787540735316617</v>
      </c>
      <c r="AE55" s="55"/>
      <c r="AF55" s="53"/>
      <c r="AG55" s="53"/>
      <c r="AH55" s="54"/>
      <c r="AI55" s="5"/>
      <c r="AJ55" s="5"/>
      <c r="AK55">
        <v>3773.8</v>
      </c>
      <c r="AL55" s="9">
        <f>+AK55/AK41</f>
        <v>0.22356502627354105</v>
      </c>
      <c r="AM55">
        <v>3972.3</v>
      </c>
      <c r="AN55" s="9">
        <f>+AM55/AM41</f>
        <v>0.22988102645584951</v>
      </c>
      <c r="AO55">
        <v>2604.85</v>
      </c>
      <c r="AP55" s="9">
        <f>+AO55/AO41</f>
        <v>0.14508942869349054</v>
      </c>
      <c r="AQ55">
        <v>1766.6</v>
      </c>
      <c r="AR55" s="9">
        <f>+AQ55/AQ41</f>
        <v>9.5067940266379658E-2</v>
      </c>
      <c r="AS55">
        <v>1683</v>
      </c>
      <c r="AT55" s="9">
        <f>+AS55/AS41</f>
        <v>8.8348311775575353E-2</v>
      </c>
      <c r="AU55">
        <v>1594.7996189999999</v>
      </c>
      <c r="AV55" s="9">
        <f>+AU55/AU41</f>
        <v>8.005011819032086E-2</v>
      </c>
      <c r="AW55">
        <v>1571.2</v>
      </c>
      <c r="AX55" s="9">
        <f>+AW55/AW41</f>
        <v>7.5591157297154266E-2</v>
      </c>
      <c r="AY55">
        <v>1562.8144990000035</v>
      </c>
      <c r="AZ55" s="9">
        <f>+AY55/AY41</f>
        <v>7.1094231654202825E-2</v>
      </c>
      <c r="BA55">
        <v>1561.8909440000034</v>
      </c>
      <c r="BB55" s="9">
        <f>+BA55/BA41</f>
        <v>6.8135437395444656E-2</v>
      </c>
      <c r="BC55" s="1">
        <v>1625.1449500000001</v>
      </c>
      <c r="BD55" s="9">
        <f>+BC55/BC41</f>
        <v>6.6969305707895929E-2</v>
      </c>
      <c r="BE55" s="1">
        <v>1698.8618702072531</v>
      </c>
      <c r="BF55" s="9">
        <f>+BE55/BE41</f>
        <v>6.6596605152284591E-2</v>
      </c>
      <c r="BG55" s="1">
        <v>1730.0805225224344</v>
      </c>
      <c r="BH55" s="9">
        <f>+BG55/BG41</f>
        <v>6.4765474161515721E-2</v>
      </c>
      <c r="BI55" s="25">
        <v>1742.5560516600001</v>
      </c>
      <c r="BJ55" s="9">
        <f>+BI55/BI41</f>
        <v>5.8195682069236761E-2</v>
      </c>
      <c r="BK55" s="12">
        <f>+BJ55*100</f>
        <v>5.8195682069236758</v>
      </c>
      <c r="BL55" s="6">
        <v>1888.395027</v>
      </c>
      <c r="BM55" s="9">
        <f>+BL55/BL41</f>
        <v>5.817049701090677E-2</v>
      </c>
      <c r="BN55" s="12">
        <f>+BM55*100</f>
        <v>5.817049701090677</v>
      </c>
      <c r="BO55" s="6">
        <v>2022.8330379999998</v>
      </c>
      <c r="BP55" s="9">
        <f>+BO55/BO41</f>
        <v>6.1400797049663468E-2</v>
      </c>
      <c r="BQ55" s="12">
        <f>+BP55*100</f>
        <v>6.1400797049663467</v>
      </c>
      <c r="BR55" s="6">
        <v>2362.1921340000008</v>
      </c>
      <c r="BS55" s="9">
        <f>+BR55/BR41</f>
        <v>6.5784549725384514E-2</v>
      </c>
      <c r="BT55" s="12">
        <f>+BS55*100</f>
        <v>6.5784549725384514</v>
      </c>
      <c r="BU55" s="6">
        <v>2534.6485697636094</v>
      </c>
      <c r="BV55" s="9">
        <f>+BU55/BU41</f>
        <v>6.5315117341572027E-2</v>
      </c>
      <c r="BW55" s="12">
        <f>+BV55*100</f>
        <v>6.5315117341572027</v>
      </c>
      <c r="BX55" s="6">
        <v>2578.5422630000003</v>
      </c>
      <c r="BY55" s="9">
        <f>+BX55/BX41</f>
        <v>6.2836127464033192E-2</v>
      </c>
      <c r="BZ55" s="12">
        <f>+BY55*100</f>
        <v>6.2836127464033193</v>
      </c>
      <c r="CA55" s="6">
        <v>2665.5115413064068</v>
      </c>
      <c r="CB55" s="9">
        <f>+CA55/CA41</f>
        <v>6.1516284187367043E-2</v>
      </c>
      <c r="CC55" s="12">
        <f>+CB55*100</f>
        <v>6.1516284187367045</v>
      </c>
    </row>
    <row r="56" spans="2:81" x14ac:dyDescent="0.25"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785"/>
      <c r="AE56" s="52"/>
      <c r="AF56" s="53"/>
      <c r="AG56" s="53"/>
      <c r="AH56" s="54"/>
      <c r="AI56" s="5"/>
      <c r="AJ56" s="5"/>
      <c r="BI56" s="25"/>
      <c r="BJ56" s="9"/>
      <c r="BK56" s="12"/>
    </row>
    <row r="57" spans="2:81" ht="13" x14ac:dyDescent="0.3">
      <c r="B57" s="1012" t="s">
        <v>9</v>
      </c>
      <c r="C57" s="1013">
        <v>2491835</v>
      </c>
      <c r="D57" s="1013">
        <v>2775713</v>
      </c>
      <c r="E57" s="1013">
        <v>2964315</v>
      </c>
      <c r="F57" s="1013">
        <v>3057320</v>
      </c>
      <c r="G57" s="1013">
        <v>3217058</v>
      </c>
      <c r="H57" s="1013">
        <v>3352209</v>
      </c>
      <c r="I57" s="1013">
        <v>3462851</v>
      </c>
      <c r="J57" s="1013">
        <v>3614484</v>
      </c>
      <c r="K57" s="1013">
        <v>3727266</v>
      </c>
      <c r="L57" s="1013">
        <v>3860515</v>
      </c>
      <c r="M57" s="1013">
        <v>3977100</v>
      </c>
      <c r="N57" s="1013">
        <v>4165274</v>
      </c>
      <c r="O57" s="1013">
        <v>4359862</v>
      </c>
      <c r="P57" s="1013">
        <v>4624792</v>
      </c>
      <c r="Q57" s="1013">
        <v>4878964</v>
      </c>
      <c r="R57" s="1013">
        <v>5170896</v>
      </c>
      <c r="S57" s="1013">
        <v>5495222</v>
      </c>
      <c r="T57" s="1013">
        <v>5834887</v>
      </c>
      <c r="U57" s="1013">
        <v>6156315</v>
      </c>
      <c r="V57" s="1013">
        <v>6432743</v>
      </c>
      <c r="W57" s="1013">
        <v>6682028</v>
      </c>
      <c r="X57" s="1013">
        <v>6936508</v>
      </c>
      <c r="Y57" s="1013">
        <v>7167734</v>
      </c>
      <c r="Z57" s="1013">
        <v>7376937.9999999925</v>
      </c>
      <c r="AA57" s="1013">
        <v>7566035.9999999637</v>
      </c>
      <c r="AB57" s="1013">
        <v>7779027.9999999981</v>
      </c>
      <c r="AC57" s="1013">
        <v>8144091.9999999981</v>
      </c>
      <c r="AD57" s="1014">
        <v>8349663</v>
      </c>
      <c r="AE57" s="1015">
        <f>((AD57/AC57)-1)*100</f>
        <v>2.5241733516762954</v>
      </c>
      <c r="AF57" s="1016">
        <f>((AD57/Y57)^(1/5))-1</f>
        <v>3.0997028246520841E-2</v>
      </c>
      <c r="AG57" s="1017">
        <f>((AD57/T57)-1)*100</f>
        <v>43.098966612378263</v>
      </c>
      <c r="AH57" s="1018">
        <f>((AD57/T57)^(1/10))-1</f>
        <v>3.6486499693493046E-2</v>
      </c>
      <c r="AI57" s="5"/>
      <c r="AJ57" s="5"/>
      <c r="BI57" s="25"/>
      <c r="BJ57" s="9"/>
      <c r="BK57" s="12"/>
    </row>
    <row r="58" spans="2:81" x14ac:dyDescent="0.25"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785"/>
      <c r="AE58" s="52"/>
      <c r="AF58" s="53"/>
      <c r="AG58" s="53"/>
      <c r="AH58" s="54"/>
      <c r="AI58" s="5"/>
      <c r="AJ58" s="5"/>
      <c r="BI58" s="25"/>
      <c r="BJ58" s="9"/>
      <c r="BK58" s="12"/>
    </row>
    <row r="59" spans="2:81" ht="14" x14ac:dyDescent="0.3">
      <c r="B59" s="1012" t="s">
        <v>216</v>
      </c>
      <c r="C59" s="1013">
        <v>9849.2561280000045</v>
      </c>
      <c r="D59" s="1013">
        <v>10330.839597999991</v>
      </c>
      <c r="E59" s="1013">
        <v>12451.230159999992</v>
      </c>
      <c r="F59" s="1013">
        <v>14008.576822999998</v>
      </c>
      <c r="G59" s="1013">
        <v>14591.891559000011</v>
      </c>
      <c r="H59" s="1013">
        <v>15545.595392000014</v>
      </c>
      <c r="I59" s="1013">
        <v>16628.754544999989</v>
      </c>
      <c r="J59" s="1013">
        <v>17605.325913847999</v>
      </c>
      <c r="K59" s="1013">
        <v>18375.33541</v>
      </c>
      <c r="L59" s="1013">
        <v>19640.651109999999</v>
      </c>
      <c r="M59" s="1013">
        <v>20701.382880222223</v>
      </c>
      <c r="N59" s="1013">
        <v>22290.061152999995</v>
      </c>
      <c r="O59" s="1013">
        <v>24721.748553000001</v>
      </c>
      <c r="P59" s="1013">
        <v>26964.414596000002</v>
      </c>
      <c r="Q59" s="1013">
        <v>27087.005776999995</v>
      </c>
      <c r="R59" s="1013">
        <v>29436.175124000001</v>
      </c>
      <c r="S59" s="1013">
        <v>31820.350805251099</v>
      </c>
      <c r="T59" s="1013">
        <v>33648.185931</v>
      </c>
      <c r="U59" s="1013">
        <v>35612.750662286002</v>
      </c>
      <c r="V59" s="1013">
        <v>37325.801058198398</v>
      </c>
      <c r="W59" s="1013">
        <v>39774.7499828</v>
      </c>
      <c r="X59" s="1013">
        <v>43366.999110699988</v>
      </c>
      <c r="Y59" s="1013">
        <v>44223.252817270113</v>
      </c>
      <c r="Z59" s="1013">
        <v>45867.787842190075</v>
      </c>
      <c r="AA59" s="1013">
        <v>47420.737918980019</v>
      </c>
      <c r="AB59" s="1013">
        <v>43751.06936815002</v>
      </c>
      <c r="AC59" s="1013">
        <v>48053.743993019976</v>
      </c>
      <c r="AD59" s="1014">
        <v>50433.079999999994</v>
      </c>
      <c r="AE59" s="1015">
        <f>((AD59/AC59)-1)*100</f>
        <v>4.9514060909086055</v>
      </c>
      <c r="AF59" s="1016">
        <f>((AD59/Y59)^(1/5))-1</f>
        <v>2.6627661220739895E-2</v>
      </c>
      <c r="AG59" s="1017">
        <f>((AD59/T59)-1)*100</f>
        <v>49.883503685516992</v>
      </c>
      <c r="AH59" s="1018">
        <f>((AD59/T59)^(1/10))-1</f>
        <v>4.1298837777787201E-2</v>
      </c>
      <c r="AI59" s="5"/>
      <c r="AJ59" s="5"/>
      <c r="AK59" s="3">
        <v>9849.2561280000045</v>
      </c>
      <c r="AM59" s="3">
        <v>10330.839597999991</v>
      </c>
      <c r="AO59" s="3">
        <v>12451.230159999992</v>
      </c>
      <c r="AQ59" s="3">
        <v>14008.576822999998</v>
      </c>
      <c r="AS59" s="3">
        <v>14591.991559000011</v>
      </c>
      <c r="AU59" s="3">
        <v>15545.595392000014</v>
      </c>
      <c r="AW59" s="3">
        <v>16628.8</v>
      </c>
      <c r="AY59" s="3">
        <v>17605.325913847999</v>
      </c>
      <c r="BA59" s="3">
        <v>18375.33541</v>
      </c>
      <c r="BC59" s="3">
        <v>19640.651109999999</v>
      </c>
      <c r="BE59" s="3">
        <v>20701.382880222223</v>
      </c>
      <c r="BG59" s="3">
        <v>21639.57411178889</v>
      </c>
      <c r="BI59" s="27">
        <v>24721.748553000001</v>
      </c>
      <c r="BJ59" s="9"/>
      <c r="BK59" s="12"/>
      <c r="BL59" s="38">
        <v>26964.414596000002</v>
      </c>
      <c r="BM59" s="36"/>
      <c r="BN59" s="38"/>
      <c r="BO59" s="38">
        <v>27087.005777000002</v>
      </c>
      <c r="BP59" s="36"/>
      <c r="BQ59" s="38"/>
      <c r="BR59" s="38">
        <v>29436.175124000001</v>
      </c>
      <c r="BS59" s="43"/>
      <c r="BU59" s="38">
        <v>31817.953050000007</v>
      </c>
      <c r="BV59" s="43"/>
      <c r="BX59" s="38">
        <v>33615.142484000011</v>
      </c>
      <c r="BY59" s="43"/>
      <c r="CA59" s="38">
        <f>CA62+CA63</f>
        <v>35612.750660286001</v>
      </c>
      <c r="CB59" s="43"/>
    </row>
    <row r="60" spans="2:81" x14ac:dyDescent="0.25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785"/>
      <c r="AE60" s="52"/>
      <c r="AF60" s="53"/>
      <c r="AG60" s="53"/>
      <c r="AH60" s="54"/>
      <c r="AI60" s="5"/>
      <c r="AJ60" s="5"/>
      <c r="BI60" s="25"/>
      <c r="BJ60" s="9"/>
      <c r="BK60" s="12"/>
    </row>
    <row r="61" spans="2:81" x14ac:dyDescent="0.25">
      <c r="B61" s="784" t="s">
        <v>13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786"/>
      <c r="AE61" s="52"/>
      <c r="AF61" s="53"/>
      <c r="AG61" s="53"/>
      <c r="AH61" s="54"/>
      <c r="AI61" s="5"/>
      <c r="AJ61" s="5"/>
      <c r="BI61" s="25"/>
      <c r="BJ61" s="9"/>
      <c r="BK61" s="12"/>
    </row>
    <row r="62" spans="2:81" x14ac:dyDescent="0.25">
      <c r="B62" s="28" t="s">
        <v>15</v>
      </c>
      <c r="C62" s="30">
        <v>88.06460076047685</v>
      </c>
      <c r="D62" s="30">
        <v>84.897366306006205</v>
      </c>
      <c r="E62" s="30">
        <v>75.317013335170699</v>
      </c>
      <c r="F62" s="30">
        <v>70.518666512794553</v>
      </c>
      <c r="G62" s="30">
        <v>69.894441658373239</v>
      </c>
      <c r="H62" s="30">
        <v>69.236777360994139</v>
      </c>
      <c r="I62" s="30">
        <v>63.278016002357283</v>
      </c>
      <c r="J62" s="30">
        <v>63.126051840132682</v>
      </c>
      <c r="K62" s="30">
        <v>61.515141469736037</v>
      </c>
      <c r="L62" s="30">
        <v>61.104416797514219</v>
      </c>
      <c r="M62" s="30">
        <v>62.383696175970591</v>
      </c>
      <c r="N62" s="30">
        <v>63.46632025579634</v>
      </c>
      <c r="O62" s="30">
        <v>60.805492066117786</v>
      </c>
      <c r="P62" s="30">
        <v>60.439571150258097</v>
      </c>
      <c r="Q62" s="30">
        <v>62.763172441287438</v>
      </c>
      <c r="R62" s="30">
        <v>61.812803536302262</v>
      </c>
      <c r="S62" s="30">
        <v>62.076753393276206</v>
      </c>
      <c r="T62" s="30">
        <v>62.253862426536188</v>
      </c>
      <c r="U62" s="30">
        <v>61.59981581904055</v>
      </c>
      <c r="V62" s="30">
        <v>61.032222725019977</v>
      </c>
      <c r="W62" s="30">
        <v>59.067659984421361</v>
      </c>
      <c r="X62" s="30">
        <v>52.773613169727525</v>
      </c>
      <c r="Y62" s="30">
        <v>50.651053055560283</v>
      </c>
      <c r="Z62" s="30">
        <v>48.125004123451852</v>
      </c>
      <c r="AA62" s="30">
        <v>47.141874307154083</v>
      </c>
      <c r="AB62" s="30">
        <v>47.755086552832857</v>
      </c>
      <c r="AC62" s="30">
        <v>45.697384039024108</v>
      </c>
      <c r="AD62" s="787">
        <v>44.91815689226199</v>
      </c>
      <c r="AE62" s="55"/>
      <c r="AF62" s="53"/>
      <c r="AG62" s="53"/>
      <c r="AH62" s="54"/>
      <c r="AI62" s="5"/>
      <c r="AJ62" s="5"/>
      <c r="AK62">
        <v>8673.7080870000045</v>
      </c>
      <c r="AL62" s="9">
        <f>+AK62/AK59</f>
        <v>0.88064600760476852</v>
      </c>
      <c r="AM62">
        <v>8770.6107359999914</v>
      </c>
      <c r="AN62" s="9">
        <f>+AM62/AM59</f>
        <v>0.84897366306006206</v>
      </c>
      <c r="AO62">
        <v>9377.8946799999903</v>
      </c>
      <c r="AP62" s="9">
        <f>+AO62/AO59</f>
        <v>0.75317013335170702</v>
      </c>
      <c r="AQ62">
        <v>9878.6615729999976</v>
      </c>
      <c r="AR62" s="9">
        <f>+AQ62/AQ59</f>
        <v>0.70518666512794548</v>
      </c>
      <c r="AS62">
        <v>10198.991027000011</v>
      </c>
      <c r="AT62" s="9">
        <f>+AS62/AS59</f>
        <v>0.69894441658373241</v>
      </c>
      <c r="AU62">
        <v>10763.269271000014</v>
      </c>
      <c r="AV62" s="9">
        <f>+AU62/AU59</f>
        <v>0.69236777360994139</v>
      </c>
      <c r="AW62">
        <v>10522.374724999987</v>
      </c>
      <c r="AX62" s="9">
        <f>+AW62/AW59</f>
        <v>0.63278016002357285</v>
      </c>
      <c r="AY62">
        <v>11113.547163000001</v>
      </c>
      <c r="AZ62" s="9">
        <f>+AY62/AY59</f>
        <v>0.6312605184013268</v>
      </c>
      <c r="BA62">
        <v>11303.613573000001</v>
      </c>
      <c r="BB62" s="9">
        <f>+BA62/BA59</f>
        <v>0.61515141469736034</v>
      </c>
      <c r="BC62" s="1">
        <v>12001.305316000002</v>
      </c>
      <c r="BD62" s="9">
        <f>+BC62/BC59</f>
        <v>0.61104416797514216</v>
      </c>
      <c r="BE62" s="21">
        <v>12914.287800222222</v>
      </c>
      <c r="BF62" s="9">
        <f>+BE62/BE59</f>
        <v>0.62383696175970593</v>
      </c>
      <c r="BG62" s="1">
        <v>13733.841407778333</v>
      </c>
      <c r="BH62" s="9">
        <f>+BG62/BG59</f>
        <v>0.63466320255796338</v>
      </c>
      <c r="BI62" s="25">
        <v>15032.180855000002</v>
      </c>
      <c r="BJ62" s="9">
        <f>+BI62/BI59</f>
        <v>0.60805492066117783</v>
      </c>
      <c r="BK62" s="12">
        <f>+BJ62*100</f>
        <v>60.805492066117786</v>
      </c>
      <c r="BL62" s="6">
        <v>16297.176545</v>
      </c>
      <c r="BM62" s="9">
        <f>+BL62/BL59</f>
        <v>0.60439571150258098</v>
      </c>
      <c r="BN62" s="12">
        <f>+BM62*100</f>
        <v>60.439571150258097</v>
      </c>
      <c r="BO62" s="6">
        <v>17000.664145000002</v>
      </c>
      <c r="BP62" s="9">
        <f>+BO62/BO59</f>
        <v>0.6276317244128744</v>
      </c>
      <c r="BQ62" s="12">
        <f>+BP62*100</f>
        <v>62.763172441287438</v>
      </c>
      <c r="BR62" s="6">
        <v>18195.325098000001</v>
      </c>
      <c r="BS62" s="9">
        <f>+BR62/BR59</f>
        <v>0.61812803536302263</v>
      </c>
      <c r="BT62" s="12">
        <f>+BS62*100</f>
        <v>61.812803536302262</v>
      </c>
      <c r="BU62" s="6">
        <v>19750.64294300001</v>
      </c>
      <c r="BV62" s="9">
        <f>+BU62/BU59</f>
        <v>0.62073895551869906</v>
      </c>
      <c r="BW62" s="12">
        <f>+BV62*100</f>
        <v>62.07389555186991</v>
      </c>
      <c r="BX62" s="6">
        <v>20926.750973000002</v>
      </c>
      <c r="BY62" s="9">
        <f>+BX62/BX59</f>
        <v>0.62253941011734892</v>
      </c>
      <c r="BZ62" s="12">
        <f>+BY62*100</f>
        <v>62.253941011734895</v>
      </c>
      <c r="CA62" s="6">
        <v>21938.578439286001</v>
      </c>
      <c r="CB62" s="9">
        <f>+CA62/CA59</f>
        <v>0.61603156264340675</v>
      </c>
      <c r="CC62" s="12">
        <f>+CB62*100</f>
        <v>61.603156264340676</v>
      </c>
    </row>
    <row r="63" spans="2:81" x14ac:dyDescent="0.25">
      <c r="B63" s="28" t="s">
        <v>14</v>
      </c>
      <c r="C63" s="30">
        <v>11.935399239523152</v>
      </c>
      <c r="D63" s="30">
        <v>15.102633693993797</v>
      </c>
      <c r="E63" s="30">
        <v>24.682986664829283</v>
      </c>
      <c r="F63" s="30">
        <v>29.481333487205458</v>
      </c>
      <c r="G63" s="30">
        <v>30.105558341626761</v>
      </c>
      <c r="H63" s="30">
        <v>30.763222639005861</v>
      </c>
      <c r="I63" s="30">
        <v>36.721710646589052</v>
      </c>
      <c r="J63" s="30">
        <v>36.873948159867325</v>
      </c>
      <c r="K63" s="30">
        <v>38.484858530263971</v>
      </c>
      <c r="L63" s="30">
        <v>38.895583202485795</v>
      </c>
      <c r="M63" s="30">
        <v>37.616303824029409</v>
      </c>
      <c r="N63" s="30">
        <v>37.057720140621008</v>
      </c>
      <c r="O63" s="30">
        <v>39.194507933882221</v>
      </c>
      <c r="P63" s="30">
        <v>39.560428849741896</v>
      </c>
      <c r="Q63" s="30">
        <v>37.236827558712562</v>
      </c>
      <c r="R63" s="30">
        <v>38.187196463697731</v>
      </c>
      <c r="S63" s="30">
        <v>37.923246606723801</v>
      </c>
      <c r="T63" s="30">
        <v>37.746137573463805</v>
      </c>
      <c r="U63" s="30">
        <v>38.40018418095945</v>
      </c>
      <c r="V63" s="30">
        <v>38.967777274980037</v>
      </c>
      <c r="W63" s="30">
        <v>40.932340015578625</v>
      </c>
      <c r="X63" s="30">
        <v>47.22638683027246</v>
      </c>
      <c r="Y63" s="30">
        <v>49.348946944439717</v>
      </c>
      <c r="Z63" s="30">
        <v>51.874995876548148</v>
      </c>
      <c r="AA63" s="30">
        <v>52.858125692845924</v>
      </c>
      <c r="AB63" s="30">
        <v>52.24491344716715</v>
      </c>
      <c r="AC63" s="30">
        <v>54.302615960975899</v>
      </c>
      <c r="AD63" s="787">
        <v>55.081843107738017</v>
      </c>
      <c r="AE63" s="55"/>
      <c r="AF63" s="53"/>
      <c r="AG63" s="53"/>
      <c r="AH63" s="54"/>
      <c r="AI63" s="5"/>
      <c r="AJ63" s="5"/>
      <c r="AK63">
        <v>1175.548041</v>
      </c>
      <c r="AL63" s="9">
        <f>+AK63/AK59</f>
        <v>0.11935399239523152</v>
      </c>
      <c r="AM63">
        <v>1560.2288619999999</v>
      </c>
      <c r="AN63" s="9">
        <f>+AM63/AM59</f>
        <v>0.15102633693993797</v>
      </c>
      <c r="AO63">
        <v>3073.3354799999997</v>
      </c>
      <c r="AP63" s="9">
        <f>+AO63/AO59</f>
        <v>0.24682986664829282</v>
      </c>
      <c r="AQ63">
        <v>4129.9152500000009</v>
      </c>
      <c r="AR63" s="9">
        <f>+AQ63/AQ59</f>
        <v>0.29481333487205458</v>
      </c>
      <c r="AS63">
        <v>4393.000532</v>
      </c>
      <c r="AT63" s="9">
        <f>+AS63/AS59</f>
        <v>0.30105558341626759</v>
      </c>
      <c r="AU63">
        <v>4782.3261210000001</v>
      </c>
      <c r="AV63" s="9">
        <f>+AU63/AU59</f>
        <v>0.30763222639005861</v>
      </c>
      <c r="AW63">
        <v>6106.3798200000001</v>
      </c>
      <c r="AX63" s="9">
        <f>+AW63/AW59</f>
        <v>0.36721710646589051</v>
      </c>
      <c r="AY63">
        <v>6491.7787508479996</v>
      </c>
      <c r="AZ63" s="9">
        <f>+AY63/AY59</f>
        <v>0.36873948159867326</v>
      </c>
      <c r="BA63">
        <v>7071.721837000001</v>
      </c>
      <c r="BB63" s="9">
        <f>+BA63/BA59</f>
        <v>0.38484858530263971</v>
      </c>
      <c r="BC63" s="1">
        <v>7639.3457939999998</v>
      </c>
      <c r="BD63" s="9">
        <f>+BC63/BC59</f>
        <v>0.38895583202485795</v>
      </c>
      <c r="BE63" s="21">
        <v>7787.095080000001</v>
      </c>
      <c r="BF63" s="9">
        <f>+BE63/BE59</f>
        <v>0.37616303824029407</v>
      </c>
      <c r="BG63" s="1">
        <v>8019.1328139690013</v>
      </c>
      <c r="BH63" s="9">
        <f>+BG63/BG59</f>
        <v>0.37057720140621009</v>
      </c>
      <c r="BI63" s="25">
        <v>9689.5676979999989</v>
      </c>
      <c r="BJ63" s="9">
        <f>+BI63/BI59</f>
        <v>0.39194507933882222</v>
      </c>
      <c r="BK63" s="12">
        <f>+BJ63*100</f>
        <v>39.194507933882221</v>
      </c>
      <c r="BL63" s="6">
        <v>10667.238051</v>
      </c>
      <c r="BM63" s="9">
        <f>+BL63/BL59</f>
        <v>0.39560428849741897</v>
      </c>
      <c r="BN63" s="12">
        <f>+BM63*100</f>
        <v>39.560428849741896</v>
      </c>
      <c r="BO63" s="6">
        <v>10086.341632000001</v>
      </c>
      <c r="BP63" s="9">
        <f>+BO63/BO59</f>
        <v>0.37236827558712565</v>
      </c>
      <c r="BQ63" s="12">
        <f>+BP63*100</f>
        <v>37.236827558712562</v>
      </c>
      <c r="BR63" s="6">
        <v>11240.850026</v>
      </c>
      <c r="BS63" s="9">
        <f>+BR63/BR59</f>
        <v>0.38187196463697731</v>
      </c>
      <c r="BT63" s="12">
        <f>+BS63*100</f>
        <v>38.187196463697731</v>
      </c>
      <c r="BU63" s="6">
        <v>12067.310106999999</v>
      </c>
      <c r="BV63" s="9">
        <f>+BU63/BU59</f>
        <v>0.37926104448130099</v>
      </c>
      <c r="BW63" s="12">
        <f>+BV63*100</f>
        <v>37.926104448130097</v>
      </c>
      <c r="BX63" s="6">
        <v>12688.391510999998</v>
      </c>
      <c r="BY63" s="9">
        <f>+BX63/BX59</f>
        <v>0.37746058988265074</v>
      </c>
      <c r="BZ63" s="12">
        <f>+BY63*100</f>
        <v>37.746058988265077</v>
      </c>
      <c r="CA63" s="6">
        <v>13674.172221000001</v>
      </c>
      <c r="CB63" s="9">
        <f>+CA63/CA59</f>
        <v>0.38396843735659325</v>
      </c>
      <c r="CC63" s="12">
        <f>+CB63*100</f>
        <v>38.396843735659324</v>
      </c>
    </row>
    <row r="64" spans="2:81" x14ac:dyDescent="0.25">
      <c r="B64" s="784" t="s">
        <v>16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788"/>
      <c r="AE64" s="55"/>
      <c r="AF64" s="53"/>
      <c r="AG64" s="53"/>
      <c r="AH64" s="54"/>
      <c r="AI64" s="5"/>
      <c r="AJ64" s="5"/>
      <c r="BC64" s="1"/>
      <c r="BI64" s="25"/>
      <c r="BJ64" s="9"/>
      <c r="BK64" s="12"/>
      <c r="BL64" s="6"/>
      <c r="BM64" s="9"/>
      <c r="BN64" s="12"/>
      <c r="BO64" s="6"/>
      <c r="BP64" s="9"/>
      <c r="BQ64" s="12"/>
      <c r="BR64" s="6"/>
      <c r="BU64" s="6"/>
      <c r="BX64" s="6"/>
      <c r="CA64" s="6"/>
    </row>
    <row r="65" spans="2:81" x14ac:dyDescent="0.25">
      <c r="B65" s="28" t="s">
        <v>7</v>
      </c>
      <c r="C65" s="30">
        <v>65.288025597378407</v>
      </c>
      <c r="D65" s="30">
        <v>65.646318265486613</v>
      </c>
      <c r="E65" s="30">
        <v>58.561679033326911</v>
      </c>
      <c r="F65" s="30">
        <v>55.364925359627293</v>
      </c>
      <c r="G65" s="30">
        <v>55.317831718600473</v>
      </c>
      <c r="H65" s="30">
        <v>54.07820072511511</v>
      </c>
      <c r="I65" s="30">
        <v>52.04765226594823</v>
      </c>
      <c r="J65" s="30">
        <v>52.381244471857499</v>
      </c>
      <c r="K65" s="30">
        <v>52.302665908181098</v>
      </c>
      <c r="L65" s="30">
        <v>52.709613876950542</v>
      </c>
      <c r="M65" s="30">
        <v>53.861652193655431</v>
      </c>
      <c r="N65" s="30">
        <v>55.034949002463605</v>
      </c>
      <c r="O65" s="30">
        <v>53.985600736888138</v>
      </c>
      <c r="P65" s="30">
        <v>54.032117115426956</v>
      </c>
      <c r="Q65" s="30">
        <v>56.132836892996671</v>
      </c>
      <c r="R65" s="30">
        <v>55.818565081179806</v>
      </c>
      <c r="S65" s="30">
        <v>56.226773339967622</v>
      </c>
      <c r="T65" s="30">
        <v>56.226773339967622</v>
      </c>
      <c r="U65" s="30">
        <v>55.829793032689814</v>
      </c>
      <c r="V65" s="30">
        <v>55.623710336236698</v>
      </c>
      <c r="W65" s="30">
        <v>54.036731075451527</v>
      </c>
      <c r="X65" s="30">
        <v>48.113088313394215</v>
      </c>
      <c r="Y65" s="30">
        <v>44.017599308114185</v>
      </c>
      <c r="Z65" s="30">
        <v>41.750362800722662</v>
      </c>
      <c r="AA65" s="30">
        <v>40.357766523536483</v>
      </c>
      <c r="AB65" s="30">
        <v>40.899185153806293</v>
      </c>
      <c r="AC65" s="30">
        <v>38.232272322398877</v>
      </c>
      <c r="AD65" s="787">
        <v>36.956319146084276</v>
      </c>
      <c r="AE65" s="55"/>
      <c r="AF65" s="53"/>
      <c r="AG65" s="53"/>
      <c r="AH65" s="54"/>
      <c r="AI65" s="5"/>
      <c r="AJ65" s="5"/>
      <c r="AK65" s="1">
        <v>6430.3848620000044</v>
      </c>
      <c r="AL65" s="9">
        <f>+AK65/AK59</f>
        <v>0.65288025597378407</v>
      </c>
      <c r="AM65" s="1">
        <v>6781.8158419999918</v>
      </c>
      <c r="AN65" s="9">
        <f>+AM65/AM59</f>
        <v>0.65646318265486614</v>
      </c>
      <c r="AO65" s="1">
        <v>7291.6494419999917</v>
      </c>
      <c r="AP65" s="9">
        <f>+AO65/AO59</f>
        <v>0.58561679033326908</v>
      </c>
      <c r="AQ65" s="1">
        <v>7755.838101999997</v>
      </c>
      <c r="AR65" s="9">
        <f>+AQ65/AQ59</f>
        <v>0.55364925359627293</v>
      </c>
      <c r="AS65" s="1">
        <v>8071.9733350000115</v>
      </c>
      <c r="AT65" s="9">
        <f>+AS65/AS59</f>
        <v>0.55317831718600474</v>
      </c>
      <c r="AU65" s="1">
        <v>8406.7782800000132</v>
      </c>
      <c r="AV65" s="9">
        <f>+AU65/AU59</f>
        <v>0.54078200725115111</v>
      </c>
      <c r="AW65" s="1">
        <v>8654.9</v>
      </c>
      <c r="AX65" s="9">
        <f>+AW65/AW59</f>
        <v>0.5204765226594823</v>
      </c>
      <c r="AY65" s="1">
        <v>9221.8888070000012</v>
      </c>
      <c r="AZ65" s="9">
        <f>+AY65/AY59</f>
        <v>0.52381244471857502</v>
      </c>
      <c r="BA65" s="1">
        <v>9610.7902890000005</v>
      </c>
      <c r="BB65" s="9">
        <f>+BA65/BA59</f>
        <v>0.52302665908181101</v>
      </c>
      <c r="BC65" s="1">
        <v>10352.511363000001</v>
      </c>
      <c r="BD65" s="9">
        <f>+BC65/BC59</f>
        <v>0.52709613876950545</v>
      </c>
      <c r="BE65">
        <v>11150.106846222223</v>
      </c>
      <c r="BF65" s="9">
        <f>+BE65/BE59</f>
        <v>0.53861652193655429</v>
      </c>
      <c r="BG65" s="1">
        <v>11909.328576773332</v>
      </c>
      <c r="BH65" s="9">
        <f>+BG65/BG59</f>
        <v>0.55034949002463607</v>
      </c>
      <c r="BI65" s="25">
        <v>13346.184469000002</v>
      </c>
      <c r="BJ65" s="9">
        <f>+BI65/BI59</f>
        <v>0.5398560073688814</v>
      </c>
      <c r="BK65" s="12">
        <f>+BJ65*100</f>
        <v>53.985600736888138</v>
      </c>
      <c r="BL65" s="6">
        <v>14569.444074000001</v>
      </c>
      <c r="BM65" s="9">
        <f>+BL65/BL59</f>
        <v>0.54032117115426959</v>
      </c>
      <c r="BN65" s="12">
        <f>+BM65*100</f>
        <v>54.032117115426956</v>
      </c>
      <c r="BO65" s="6">
        <v>15204.704772000001</v>
      </c>
      <c r="BP65" s="9">
        <f>+BO65/BO59</f>
        <v>0.56132836892996685</v>
      </c>
      <c r="BQ65" s="12">
        <f>+BP65*100</f>
        <v>56.132836892996686</v>
      </c>
      <c r="BR65" s="6">
        <v>16430.850569000002</v>
      </c>
      <c r="BS65" s="9">
        <f>+BR65/BR59</f>
        <v>0.55818565081179805</v>
      </c>
      <c r="BT65" s="12">
        <f>+BS65*100</f>
        <v>55.818565081179806</v>
      </c>
      <c r="BU65" s="6">
        <v>17889.158767999994</v>
      </c>
      <c r="BV65" s="9">
        <f>+BU65/BU59</f>
        <v>0.56223474652465077</v>
      </c>
      <c r="BW65" s="12">
        <f>+BV65*100</f>
        <v>56.223474652465079</v>
      </c>
      <c r="BX65" s="6">
        <v>18945.138251000011</v>
      </c>
      <c r="BY65" s="9">
        <f>+BX65/BX59</f>
        <v>0.56358940795855428</v>
      </c>
      <c r="BZ65" s="12">
        <f>+BY65*100</f>
        <v>56.358940795855425</v>
      </c>
      <c r="CA65" s="6">
        <v>19883.276369286003</v>
      </c>
      <c r="CB65" s="9">
        <f>+CA65/CA59</f>
        <v>0.55831902901729757</v>
      </c>
      <c r="CC65" s="12">
        <f>+CB65*100</f>
        <v>55.831902901729755</v>
      </c>
    </row>
    <row r="66" spans="2:81" x14ac:dyDescent="0.25">
      <c r="B66" s="28" t="s">
        <v>8</v>
      </c>
      <c r="C66" s="30">
        <v>34.711974402621586</v>
      </c>
      <c r="D66" s="30">
        <v>34.353681734513394</v>
      </c>
      <c r="E66" s="30">
        <v>41.438320966673089</v>
      </c>
      <c r="F66" s="30">
        <v>44.635074640372707</v>
      </c>
      <c r="G66" s="30">
        <v>44.682168281399527</v>
      </c>
      <c r="H66" s="30">
        <v>45.921799274884883</v>
      </c>
      <c r="I66" s="30">
        <v>47.952347734051763</v>
      </c>
      <c r="J66" s="30">
        <v>47.618755528142508</v>
      </c>
      <c r="K66" s="30">
        <v>47.697334091818902</v>
      </c>
      <c r="L66" s="30">
        <v>47.290386123049458</v>
      </c>
      <c r="M66" s="30">
        <v>46.138347806344569</v>
      </c>
      <c r="N66" s="30">
        <v>45.489091393953743</v>
      </c>
      <c r="O66" s="30">
        <v>46.014399263111862</v>
      </c>
      <c r="P66" s="30">
        <v>45.967882884573044</v>
      </c>
      <c r="Q66" s="30">
        <v>43.867163107003329</v>
      </c>
      <c r="R66" s="30">
        <v>44.181434918820187</v>
      </c>
      <c r="S66" s="30">
        <v>43.773226660032371</v>
      </c>
      <c r="T66" s="30">
        <v>43.773226660032371</v>
      </c>
      <c r="U66" s="30">
        <v>44.170206967310186</v>
      </c>
      <c r="V66" s="30">
        <v>44.376289663763302</v>
      </c>
      <c r="W66" s="30">
        <v>45.963268924548473</v>
      </c>
      <c r="X66" s="30">
        <v>51.886911686605771</v>
      </c>
      <c r="Y66" s="30">
        <v>55.982400691885829</v>
      </c>
      <c r="Z66" s="30">
        <v>58.249637199277352</v>
      </c>
      <c r="AA66" s="30">
        <v>59.642233476463517</v>
      </c>
      <c r="AB66" s="30">
        <v>59.100814846193693</v>
      </c>
      <c r="AC66" s="30">
        <v>61.767727677601123</v>
      </c>
      <c r="AD66" s="787">
        <v>63.043680853915717</v>
      </c>
      <c r="AE66" s="55"/>
      <c r="AF66" s="53"/>
      <c r="AG66" s="53"/>
      <c r="AH66" s="54"/>
      <c r="AI66" s="5"/>
      <c r="AJ66" s="5"/>
      <c r="AK66" s="1">
        <v>3418.8712659999997</v>
      </c>
      <c r="AL66" s="9">
        <f>+AK66/AK59</f>
        <v>0.34711974402621587</v>
      </c>
      <c r="AM66" s="1">
        <v>3549.0237560000005</v>
      </c>
      <c r="AN66" s="9">
        <f>+AM66/AM59</f>
        <v>0.34353681734513397</v>
      </c>
      <c r="AO66" s="1">
        <v>5159.5807179999993</v>
      </c>
      <c r="AP66" s="9">
        <f>+AO66/AO59</f>
        <v>0.41438320966673087</v>
      </c>
      <c r="AQ66" s="1">
        <v>6252.7387210000006</v>
      </c>
      <c r="AR66" s="9">
        <f>+AQ66/AQ59</f>
        <v>0.44635074640372707</v>
      </c>
      <c r="AS66" s="1">
        <v>6520.0182239999995</v>
      </c>
      <c r="AT66" s="9">
        <f>+AS66/AS59</f>
        <v>0.44682168281399526</v>
      </c>
      <c r="AU66" s="1">
        <v>7138.8171120000006</v>
      </c>
      <c r="AV66" s="9">
        <f>+AU66/AU59</f>
        <v>0.45921799274884884</v>
      </c>
      <c r="AW66" s="1">
        <v>7973.9</v>
      </c>
      <c r="AX66" s="9">
        <f>+AW66/AW59</f>
        <v>0.47952347734051765</v>
      </c>
      <c r="AY66" s="1">
        <v>8383.4371068479995</v>
      </c>
      <c r="AZ66" s="9">
        <f>+AY66/AY59</f>
        <v>0.47618755528142509</v>
      </c>
      <c r="BA66" s="1">
        <v>8764.545121000001</v>
      </c>
      <c r="BB66" s="9">
        <f>+BA66/BA59</f>
        <v>0.47697334091818905</v>
      </c>
      <c r="BC66" s="1">
        <v>9288.1397469999993</v>
      </c>
      <c r="BD66" s="9">
        <f>+BC66/BC59</f>
        <v>0.4729038612304946</v>
      </c>
      <c r="BE66">
        <v>9551.2760340000004</v>
      </c>
      <c r="BF66" s="9">
        <f>+BE66/BE59</f>
        <v>0.46138347806344571</v>
      </c>
      <c r="BG66" s="1">
        <v>9843.6456449740017</v>
      </c>
      <c r="BH66" s="9">
        <f>+BG66/BG59</f>
        <v>0.4548909139395374</v>
      </c>
      <c r="BI66" s="25">
        <v>11375.564084</v>
      </c>
      <c r="BJ66" s="9">
        <f>+BI66/BI59</f>
        <v>0.4601439926311186</v>
      </c>
      <c r="BK66" s="12">
        <f>+BJ66*100</f>
        <v>46.014399263111862</v>
      </c>
      <c r="BL66" s="6">
        <v>12394.970522</v>
      </c>
      <c r="BM66" s="9">
        <f>+BL66/BL59</f>
        <v>0.45967882884573041</v>
      </c>
      <c r="BN66" s="12">
        <f>+BM66*100</f>
        <v>45.967882884573044</v>
      </c>
      <c r="BO66" s="6">
        <v>11882.301005000001</v>
      </c>
      <c r="BP66" s="9">
        <f>+BO66/BO59</f>
        <v>0.43867163107003315</v>
      </c>
      <c r="BQ66" s="12">
        <f>+BP66*100</f>
        <v>43.867163107003314</v>
      </c>
      <c r="BR66" s="6">
        <v>13005.324554999999</v>
      </c>
      <c r="BS66" s="9">
        <f>+BR66/BR59</f>
        <v>0.44181434918820189</v>
      </c>
      <c r="BT66" s="12">
        <f>+BS66*100</f>
        <v>44.181434918820187</v>
      </c>
      <c r="BU66" s="6">
        <v>13928.794281999999</v>
      </c>
      <c r="BV66" s="9">
        <f>+BU66/BU59</f>
        <v>0.43776525347534873</v>
      </c>
      <c r="BW66" s="12">
        <f>+BV66*100</f>
        <v>43.776525347534871</v>
      </c>
      <c r="BX66" s="6">
        <v>14670.004232999998</v>
      </c>
      <c r="BY66" s="9">
        <f>+BX66/BX59</f>
        <v>0.43641059204144567</v>
      </c>
      <c r="BZ66" s="12">
        <f>+BY66*100</f>
        <v>43.641059204144568</v>
      </c>
      <c r="CA66" s="6">
        <v>15729.474291</v>
      </c>
      <c r="CB66" s="9">
        <f>+CA66/CA59</f>
        <v>0.44168097098270248</v>
      </c>
      <c r="CC66" s="12">
        <f>+CB66*100</f>
        <v>44.168097098270245</v>
      </c>
    </row>
    <row r="67" spans="2:81" x14ac:dyDescent="0.25">
      <c r="B67" s="784" t="s">
        <v>3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788"/>
      <c r="AE67" s="55"/>
      <c r="AF67" s="53"/>
      <c r="AG67" s="53"/>
      <c r="AH67" s="54"/>
      <c r="AI67" s="5"/>
      <c r="AJ67" s="5"/>
      <c r="BI67" s="25"/>
      <c r="BJ67" s="9"/>
      <c r="BK67" s="12"/>
      <c r="BL67" s="6"/>
      <c r="BM67" s="9"/>
      <c r="BN67" s="12"/>
      <c r="BO67" s="6"/>
      <c r="BP67" s="9"/>
      <c r="BQ67" s="12"/>
      <c r="BR67" s="6"/>
      <c r="BU67" s="6"/>
      <c r="BX67" s="6"/>
      <c r="CA67" s="6"/>
    </row>
    <row r="68" spans="2:81" x14ac:dyDescent="0.25">
      <c r="B68" s="28" t="s">
        <v>4</v>
      </c>
      <c r="C68" s="30">
        <v>85.361358855302925</v>
      </c>
      <c r="D68" s="30">
        <v>85.102012944834101</v>
      </c>
      <c r="E68" s="30">
        <f>80.5201220214213-0.05</f>
        <v>80.470122021421304</v>
      </c>
      <c r="F68" s="30">
        <v>80.710376199219724</v>
      </c>
      <c r="G68" s="30">
        <v>79.918814658354833</v>
      </c>
      <c r="H68" s="30">
        <v>79.680001593083972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787"/>
      <c r="AE68" s="55"/>
      <c r="AF68" s="53"/>
      <c r="AG68" s="53"/>
      <c r="AH68" s="54"/>
      <c r="AI68" s="5"/>
      <c r="AJ68" s="5"/>
      <c r="AK68" s="1">
        <v>8407.4588679999979</v>
      </c>
      <c r="AL68" s="9">
        <f>+AK68/AK59</f>
        <v>0.85361358855302927</v>
      </c>
      <c r="AM68" s="1">
        <v>8791.7524520000006</v>
      </c>
      <c r="AN68" s="9">
        <f>+AM68/AM59</f>
        <v>0.85102012944834105</v>
      </c>
      <c r="AO68" s="1">
        <v>10025.745718000002</v>
      </c>
      <c r="AP68" s="14">
        <f>+AO68/AO59</f>
        <v>0.80520122021421281</v>
      </c>
      <c r="AQ68" s="1">
        <v>11306.375054</v>
      </c>
      <c r="AR68" s="15">
        <f>+AQ68/AQ59</f>
        <v>0.80710376199219724</v>
      </c>
      <c r="AS68" s="1">
        <v>11661.746689</v>
      </c>
      <c r="AT68" s="9">
        <f>+AS68/AS59</f>
        <v>0.79918814658354831</v>
      </c>
      <c r="AU68" s="1">
        <v>12386.730656</v>
      </c>
      <c r="AV68" s="9">
        <f>+AU68/AU59</f>
        <v>0.79680001593083971</v>
      </c>
      <c r="BI68" s="25"/>
      <c r="BJ68" s="9"/>
      <c r="BK68" s="12"/>
      <c r="BM68" s="9"/>
      <c r="BN68" s="12"/>
      <c r="BP68" s="9"/>
      <c r="BQ68" s="12"/>
      <c r="BR68" s="6"/>
      <c r="BU68" s="6"/>
      <c r="BX68" s="6"/>
      <c r="CA68" s="6"/>
    </row>
    <row r="69" spans="2:81" x14ac:dyDescent="0.25">
      <c r="B69" s="28" t="s">
        <v>5</v>
      </c>
      <c r="C69" s="30">
        <v>10.60635344866523</v>
      </c>
      <c r="D69" s="30">
        <v>12.00624642589675</v>
      </c>
      <c r="E69" s="30">
        <v>16.584800172065901</v>
      </c>
      <c r="F69" s="30">
        <v>16.325212888472738</v>
      </c>
      <c r="G69" s="30">
        <v>16.922858391299854</v>
      </c>
      <c r="H69" s="30">
        <v>17.380843678656817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787"/>
      <c r="AE69" s="55"/>
      <c r="AF69" s="53"/>
      <c r="AG69" s="53"/>
      <c r="AH69" s="54"/>
      <c r="AI69" s="5"/>
      <c r="AJ69" s="5"/>
      <c r="AK69" s="1">
        <v>1044.646917</v>
      </c>
      <c r="AL69" s="9">
        <f>+AK69/AK59</f>
        <v>0.1060635344866523</v>
      </c>
      <c r="AM69" s="1">
        <v>1240.3460600000001</v>
      </c>
      <c r="AN69" s="9">
        <f>+AM69/AM59</f>
        <v>0.12006246425896749</v>
      </c>
      <c r="AO69" s="1">
        <v>2065.0116410000001</v>
      </c>
      <c r="AP69" s="9">
        <f>+AO69/AO59</f>
        <v>0.165848001720659</v>
      </c>
      <c r="AQ69" s="1">
        <v>2286.9299890000002</v>
      </c>
      <c r="AR69" s="15">
        <f>+AQ69/AQ59</f>
        <v>0.16325212888472737</v>
      </c>
      <c r="AS69" s="1">
        <v>2469.3820679999999</v>
      </c>
      <c r="AT69" s="9">
        <f>+AS69/AS59</f>
        <v>0.16922858391299855</v>
      </c>
      <c r="AU69" s="1">
        <v>2701.9556339999999</v>
      </c>
      <c r="AV69" s="9">
        <f>+AU69/AU59</f>
        <v>0.17380843678656818</v>
      </c>
      <c r="BI69" s="25"/>
      <c r="BJ69" s="9"/>
      <c r="BK69" s="12"/>
      <c r="BM69" s="9"/>
      <c r="BN69" s="12"/>
      <c r="BP69" s="9"/>
      <c r="BQ69" s="12"/>
      <c r="BR69" s="6"/>
      <c r="BU69" s="6"/>
      <c r="BX69" s="6"/>
      <c r="CA69" s="6"/>
    </row>
    <row r="70" spans="2:81" ht="13" x14ac:dyDescent="0.3">
      <c r="B70" s="28" t="s">
        <v>17</v>
      </c>
      <c r="C70" s="30"/>
      <c r="D70" s="30"/>
      <c r="E70" s="30"/>
      <c r="F70" s="30"/>
      <c r="G70" s="30"/>
      <c r="H70" s="30"/>
      <c r="I70" s="30">
        <v>97.449293388578852</v>
      </c>
      <c r="J70" s="30">
        <v>97.906578544449985</v>
      </c>
      <c r="K70" s="30">
        <v>98.157896939308159</v>
      </c>
      <c r="L70" s="30">
        <v>98.109471229235652</v>
      </c>
      <c r="M70" s="30">
        <v>98.00259009075647</v>
      </c>
      <c r="N70" s="30">
        <v>96</v>
      </c>
      <c r="O70" s="30">
        <v>98.21486253266481</v>
      </c>
      <c r="P70" s="30">
        <v>98.174498221544866</v>
      </c>
      <c r="Q70" s="30">
        <v>98.200049927947418</v>
      </c>
      <c r="R70" s="30">
        <v>98.918918661614626</v>
      </c>
      <c r="S70" s="30">
        <v>98.929532916637456</v>
      </c>
      <c r="T70" s="30">
        <v>98.894210532717693</v>
      </c>
      <c r="U70" s="30">
        <v>98.841806652375553</v>
      </c>
      <c r="V70" s="30">
        <v>98.954129622801204</v>
      </c>
      <c r="W70" s="30">
        <v>99.090463412868402</v>
      </c>
      <c r="X70" s="30">
        <v>99.090463412868402</v>
      </c>
      <c r="Y70" s="30">
        <v>99.161342233201225</v>
      </c>
      <c r="Z70" s="30">
        <v>99.158320121759431</v>
      </c>
      <c r="AA70" s="30">
        <v>99.16925545894081</v>
      </c>
      <c r="AB70" s="30">
        <v>99.140161741455231</v>
      </c>
      <c r="AC70" s="30">
        <v>99.181253956494459</v>
      </c>
      <c r="AD70" s="30">
        <v>99.201060810000001</v>
      </c>
      <c r="AE70" s="55"/>
      <c r="AF70" s="53"/>
      <c r="AG70" s="53"/>
      <c r="AH70" s="54"/>
      <c r="AI70" s="5"/>
      <c r="AJ70" s="5"/>
      <c r="AK70" s="1">
        <v>397.15266800000001</v>
      </c>
      <c r="AL70" s="9">
        <f>+AK70/AK59</f>
        <v>4.0323113018754041E-2</v>
      </c>
      <c r="AM70" s="1">
        <v>298.741086</v>
      </c>
      <c r="AN70" s="9">
        <f>+AM70/AM59</f>
        <v>2.8917406292692325E-2</v>
      </c>
      <c r="AO70" s="1">
        <v>360.472802</v>
      </c>
      <c r="AP70" s="9">
        <f>+AO70/AO59</f>
        <v>2.8950778145442318E-2</v>
      </c>
      <c r="AQ70" s="1">
        <v>415.27192100000002</v>
      </c>
      <c r="AR70" s="9">
        <f>+AQ70/AQ59</f>
        <v>2.9644119188337915E-2</v>
      </c>
      <c r="AS70" s="1">
        <v>460.86363500000004</v>
      </c>
      <c r="AT70" s="9">
        <f>+AS70/AS59</f>
        <v>3.1583326589559993E-2</v>
      </c>
      <c r="AU70" s="1">
        <v>456.90958899999998</v>
      </c>
      <c r="AV70" s="9">
        <f>+AU70/AU59</f>
        <v>2.9391578609792728E-2</v>
      </c>
      <c r="AW70" s="1">
        <v>16204.648099</v>
      </c>
      <c r="AX70" s="9">
        <f>+AW70/AW59</f>
        <v>0.9744929338857885</v>
      </c>
      <c r="AY70" s="1">
        <v>17236.772243847998</v>
      </c>
      <c r="AZ70" s="9">
        <f>+AY70/AY59</f>
        <v>0.97906578544449985</v>
      </c>
      <c r="BA70" s="7">
        <v>18036.842793999997</v>
      </c>
      <c r="BB70" s="9">
        <f>+BA70/BA59</f>
        <v>0.98157896939308154</v>
      </c>
      <c r="BC70" s="1">
        <v>19269.338950000001</v>
      </c>
      <c r="BD70" s="9">
        <f>+BC70/BC59</f>
        <v>0.98109471229235645</v>
      </c>
      <c r="BE70">
        <v>20287.891407222221</v>
      </c>
      <c r="BF70" s="9">
        <f>+BE70/BE59</f>
        <v>0.9800259009075647</v>
      </c>
      <c r="BG70" s="1">
        <v>21303.729070908055</v>
      </c>
      <c r="BH70" s="9">
        <f>+BG70/BG59</f>
        <v>0.98448005311260389</v>
      </c>
      <c r="BI70" s="25">
        <v>24280.431357000001</v>
      </c>
      <c r="BJ70" s="9">
        <f>+BI70/BI59</f>
        <v>0.98214862532664804</v>
      </c>
      <c r="BK70" s="12">
        <f>+BJ70*100</f>
        <v>98.21486253266481</v>
      </c>
      <c r="BL70" s="6">
        <v>26472.178728000006</v>
      </c>
      <c r="BM70" s="9">
        <f>+BL70/BL59</f>
        <v>0.9817449822154487</v>
      </c>
      <c r="BN70" s="12">
        <f>+BM70*100</f>
        <v>98.174498221544866</v>
      </c>
      <c r="BO70" s="42">
        <v>26599.453197000003</v>
      </c>
      <c r="BP70" s="9">
        <f>+BO70/BO59</f>
        <v>0.98200049927947419</v>
      </c>
      <c r="BQ70" s="12">
        <f>+BP70*100</f>
        <v>98.200049927947418</v>
      </c>
      <c r="BR70" s="6">
        <v>29117.946128</v>
      </c>
      <c r="BS70" s="9">
        <f>+BR70/BR59</f>
        <v>0.9891891866161463</v>
      </c>
      <c r="BT70" s="12">
        <f>+BS70*100</f>
        <v>98.918918661614626</v>
      </c>
      <c r="BU70" s="6">
        <v>31477.352336000007</v>
      </c>
      <c r="BV70" s="9">
        <f>+BU70/BU59</f>
        <v>0.98929532916637453</v>
      </c>
      <c r="BW70" s="12">
        <f>+BV70*100</f>
        <v>98.929532916637456</v>
      </c>
      <c r="BX70" s="6">
        <v>33243.429778999998</v>
      </c>
      <c r="BY70" s="9">
        <f>+BX70/BX59</f>
        <v>0.98894210532717697</v>
      </c>
      <c r="BZ70" s="12">
        <f>+BY70*100</f>
        <v>98.894210532717693</v>
      </c>
      <c r="CA70" s="6">
        <v>35198.604751000006</v>
      </c>
      <c r="CB70" s="9">
        <f>+CA70/CA59</f>
        <v>0.98837085309032768</v>
      </c>
      <c r="CC70" s="12">
        <f>+CB70*100</f>
        <v>98.837085309032773</v>
      </c>
    </row>
    <row r="71" spans="2:81" x14ac:dyDescent="0.25">
      <c r="B71" s="28" t="s">
        <v>6</v>
      </c>
      <c r="C71" s="30">
        <v>4.0323113018754038</v>
      </c>
      <c r="D71" s="30">
        <v>2.8917406292692327</v>
      </c>
      <c r="E71" s="30">
        <v>2.8950778145442317</v>
      </c>
      <c r="F71" s="30">
        <v>2.9644119188337914</v>
      </c>
      <c r="G71" s="30">
        <v>3.1583326589559992</v>
      </c>
      <c r="H71" s="30">
        <v>2.939157860979273</v>
      </c>
      <c r="I71" s="30">
        <v>2.5505170607620515</v>
      </c>
      <c r="J71" s="30">
        <v>2.0934215237112026</v>
      </c>
      <c r="K71" s="30">
        <v>1.8421030606918316</v>
      </c>
      <c r="L71" s="30">
        <v>1.8905287707643617</v>
      </c>
      <c r="M71" s="30">
        <v>1.997409909243518</v>
      </c>
      <c r="N71" s="30">
        <v>4</v>
      </c>
      <c r="O71" s="30">
        <v>1.7851374673351967</v>
      </c>
      <c r="P71" s="30">
        <v>1.8255017784551495</v>
      </c>
      <c r="Q71" s="30">
        <v>1.7999500720525874</v>
      </c>
      <c r="R71" s="30">
        <v>1.0810813383853681</v>
      </c>
      <c r="S71" s="30">
        <v>1.0704670833625485</v>
      </c>
      <c r="T71" s="30">
        <v>1.1057894672822706</v>
      </c>
      <c r="U71" s="30">
        <v>1.1581933476244441</v>
      </c>
      <c r="V71" s="30">
        <v>1.0458703771987701</v>
      </c>
      <c r="W71" s="30">
        <v>0.90953658713159768</v>
      </c>
      <c r="X71" s="30">
        <v>0.90953658713159768</v>
      </c>
      <c r="Y71" s="30">
        <v>0.83865776679785187</v>
      </c>
      <c r="Z71" s="30">
        <v>0.84167987824109303</v>
      </c>
      <c r="AA71" s="30">
        <v>0.83074454105515083</v>
      </c>
      <c r="AB71" s="30">
        <v>0.85983825865947905</v>
      </c>
      <c r="AC71" s="30">
        <v>0.81874604350734703</v>
      </c>
      <c r="AD71" s="30">
        <v>0.79893918900000005</v>
      </c>
      <c r="AE71" s="55"/>
      <c r="AF71" s="53"/>
      <c r="AG71" s="53"/>
      <c r="AH71" s="54"/>
      <c r="AI71" s="5"/>
      <c r="AJ71" s="5"/>
      <c r="AW71" s="1">
        <v>424.12038100000001</v>
      </c>
      <c r="AX71" s="9">
        <f>+AW71/AW59</f>
        <v>2.5505170607620517E-2</v>
      </c>
      <c r="AY71" s="1">
        <v>368.55368199999998</v>
      </c>
      <c r="AZ71" s="9">
        <f>+AY71/AY59</f>
        <v>2.0934215237112027E-2</v>
      </c>
      <c r="BA71" s="1">
        <v>338.49261599999994</v>
      </c>
      <c r="BB71" s="9">
        <f>+BA71/BA59</f>
        <v>1.8421030606918316E-2</v>
      </c>
      <c r="BC71" s="1">
        <v>371.31215999999995</v>
      </c>
      <c r="BD71" s="9">
        <f>+BC71/BC59</f>
        <v>1.8905287707643617E-2</v>
      </c>
      <c r="BE71">
        <v>413.49147299999987</v>
      </c>
      <c r="BF71" s="9">
        <f>+BE71/BE59</f>
        <v>1.997409909243518E-2</v>
      </c>
      <c r="BG71" s="1">
        <v>450.29221409699983</v>
      </c>
      <c r="BH71" s="9">
        <f>+BG71/BG59</f>
        <v>2.0808737351798799E-2</v>
      </c>
      <c r="BI71" s="25">
        <v>441.31719599999985</v>
      </c>
      <c r="BJ71" s="9">
        <f>+BI71/BI59</f>
        <v>1.7851374673351968E-2</v>
      </c>
      <c r="BK71" s="12">
        <f>+BJ71*100</f>
        <v>1.7851374673351967</v>
      </c>
      <c r="BL71" s="6">
        <v>492.23586799999998</v>
      </c>
      <c r="BM71" s="9">
        <f>+BL71/BL59</f>
        <v>1.8255017784551495E-2</v>
      </c>
      <c r="BN71" s="12">
        <f>+BM71*100</f>
        <v>1.8255017784551495</v>
      </c>
      <c r="BO71" s="42">
        <v>487.55258000000003</v>
      </c>
      <c r="BP71" s="9">
        <f>+BO71/BO59</f>
        <v>1.7999500720525873E-2</v>
      </c>
      <c r="BQ71" s="12">
        <f>+BP71*100</f>
        <v>1.7999500720525874</v>
      </c>
      <c r="BR71" s="6">
        <v>318.228996</v>
      </c>
      <c r="BS71" s="9">
        <f>+BR71/BR59</f>
        <v>1.081081338385368E-2</v>
      </c>
      <c r="BT71" s="12">
        <f>+BS71*100</f>
        <v>1.0810813383853681</v>
      </c>
      <c r="BU71" s="6">
        <v>340.6007140000001</v>
      </c>
      <c r="BV71" s="9">
        <f>+BU71/BU59</f>
        <v>1.0704670833625484E-2</v>
      </c>
      <c r="BW71" s="12">
        <f>+BV71*100</f>
        <v>1.0704670833625485</v>
      </c>
      <c r="BX71" s="6">
        <v>371.71270499999997</v>
      </c>
      <c r="BY71" s="9">
        <f>+BX71/BX59</f>
        <v>1.1057894672822706E-2</v>
      </c>
      <c r="BZ71" s="12">
        <f>+BY71*100</f>
        <v>1.1057894672822706</v>
      </c>
      <c r="CA71" s="6">
        <v>414.14591128599989</v>
      </c>
      <c r="CB71" s="9">
        <f>+CA71/CA59</f>
        <v>1.1629146965832095E-2</v>
      </c>
      <c r="CC71" s="12">
        <f>+CB71*100</f>
        <v>1.1629146965832096</v>
      </c>
    </row>
    <row r="72" spans="2:81" x14ac:dyDescent="0.25">
      <c r="B72" s="28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785"/>
      <c r="AE72" s="52"/>
      <c r="AF72" s="53"/>
      <c r="AG72" s="53"/>
      <c r="AH72" s="54"/>
      <c r="AI72" s="5"/>
      <c r="AJ72" s="5"/>
      <c r="BI72" s="24"/>
      <c r="BK72" s="12"/>
      <c r="BL72" s="6"/>
      <c r="BO72" s="6"/>
    </row>
    <row r="73" spans="2:81" ht="13" x14ac:dyDescent="0.3">
      <c r="B73" s="1012" t="s">
        <v>21</v>
      </c>
      <c r="C73" s="1019">
        <v>19.7</v>
      </c>
      <c r="D73" s="1019">
        <v>17</v>
      </c>
      <c r="E73" s="1019">
        <v>14.5</v>
      </c>
      <c r="F73" s="1019">
        <v>12.4</v>
      </c>
      <c r="G73" s="1019">
        <v>11.3</v>
      </c>
      <c r="H73" s="1019">
        <v>10.4</v>
      </c>
      <c r="I73" s="1019">
        <v>9.6999999999999993</v>
      </c>
      <c r="J73" s="1019">
        <v>9.1</v>
      </c>
      <c r="K73" s="1019">
        <v>9.07</v>
      </c>
      <c r="L73" s="1019">
        <v>8.6999999999999993</v>
      </c>
      <c r="M73" s="1019">
        <v>8.4</v>
      </c>
      <c r="N73" s="1019">
        <v>8.5519999999999996</v>
      </c>
      <c r="O73" s="1019">
        <v>8.1739999999999995</v>
      </c>
      <c r="P73" s="1019">
        <v>8.0039999999999996</v>
      </c>
      <c r="Q73" s="1019">
        <v>7.85</v>
      </c>
      <c r="R73" s="1019">
        <v>7.81</v>
      </c>
      <c r="S73" s="1019">
        <v>7.5990000000000002</v>
      </c>
      <c r="T73" s="1019">
        <v>7.7190000000000003</v>
      </c>
      <c r="U73" s="1019">
        <v>7.468</v>
      </c>
      <c r="V73" s="1019">
        <v>7.468</v>
      </c>
      <c r="W73" s="1019">
        <v>7.6669999999999998</v>
      </c>
      <c r="X73" s="1019">
        <v>8.0868298841374706</v>
      </c>
      <c r="Y73" s="1019">
        <v>8.3132160624575295</v>
      </c>
      <c r="Z73" s="1019">
        <v>8.3628766338051097</v>
      </c>
      <c r="AA73" s="1019">
        <v>9.8285884259999996</v>
      </c>
      <c r="AB73" s="1019">
        <v>9.5966758321755492</v>
      </c>
      <c r="AC73" s="1019">
        <v>9.8759261542055405</v>
      </c>
      <c r="AD73" s="1020">
        <f>+'11'!C33</f>
        <v>9.7630849467818308</v>
      </c>
      <c r="AE73" s="1015">
        <f>((AD73/AC73)-1)*100</f>
        <v>-1.1425886105442151</v>
      </c>
      <c r="AF73" s="1016">
        <f>((AD73/Y73)^(1/5))-1</f>
        <v>3.2674849413065088E-2</v>
      </c>
      <c r="AG73" s="1017">
        <f>((AD73/T73)-1)*100</f>
        <v>26.481214493870063</v>
      </c>
      <c r="AH73" s="1018">
        <f>((AD73/T73)^(1/10))-1</f>
        <v>2.3770480044708497E-2</v>
      </c>
      <c r="AI73" s="5"/>
      <c r="AJ73" s="5"/>
      <c r="BI73" s="24"/>
      <c r="BK73" s="12"/>
    </row>
    <row r="74" spans="2:81" x14ac:dyDescent="0.25"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785"/>
      <c r="AE74" s="52"/>
      <c r="AF74" s="53"/>
      <c r="AG74" s="53"/>
      <c r="AH74" s="54"/>
      <c r="AI74" s="5"/>
      <c r="AJ74" s="5"/>
      <c r="BI74" s="24"/>
      <c r="BK74" s="12"/>
    </row>
    <row r="75" spans="2:81" ht="13" x14ac:dyDescent="0.3">
      <c r="B75" s="1012" t="s">
        <v>22</v>
      </c>
      <c r="C75" s="1021">
        <v>295.166629</v>
      </c>
      <c r="D75" s="1021">
        <v>508.84737699999999</v>
      </c>
      <c r="E75" s="1021">
        <v>594.18388100000004</v>
      </c>
      <c r="F75" s="1021">
        <v>612.99943099999996</v>
      </c>
      <c r="G75" s="1021">
        <v>764.17922801183431</v>
      </c>
      <c r="H75" s="1021">
        <v>659.21399999999994</v>
      </c>
      <c r="I75" s="1021">
        <v>351.06397000000004</v>
      </c>
      <c r="J75" s="1021">
        <v>259.529</v>
      </c>
      <c r="K75" s="1021">
        <v>235.38499999999999</v>
      </c>
      <c r="L75" s="1021">
        <v>323.77300000000002</v>
      </c>
      <c r="M75" s="1021">
        <v>393.73589000000004</v>
      </c>
      <c r="N75" s="1021">
        <v>480.15670999999998</v>
      </c>
      <c r="O75" s="1021">
        <v>629.00013000000001</v>
      </c>
      <c r="P75" s="1021">
        <v>862.00699999999995</v>
      </c>
      <c r="Q75" s="1013">
        <v>1176.8417200000001</v>
      </c>
      <c r="R75" s="1013">
        <v>1367.7389999999998</v>
      </c>
      <c r="S75" s="1013">
        <v>1880</v>
      </c>
      <c r="T75" s="1013">
        <v>2738.9250697518219</v>
      </c>
      <c r="U75" s="1013">
        <v>2589.0289318988771</v>
      </c>
      <c r="V75" s="1013">
        <v>2777.6365865752709</v>
      </c>
      <c r="W75" s="1013">
        <v>2593.4579568204049</v>
      </c>
      <c r="X75" s="1013">
        <v>1798.3000000000002</v>
      </c>
      <c r="Y75" s="1013">
        <v>1519.05</v>
      </c>
      <c r="Z75" s="1013">
        <v>766.1594998765255</v>
      </c>
      <c r="AA75" s="1013">
        <v>709.63635261285049</v>
      </c>
      <c r="AB75" s="1021">
        <v>462.48743432230538</v>
      </c>
      <c r="AC75" s="1021">
        <v>1197.7701896553369</v>
      </c>
      <c r="AD75" s="1022">
        <f>+'1.4'!C35</f>
        <v>1239.5770826273581</v>
      </c>
      <c r="AE75" s="1015">
        <f>((AD75/AC75)-1)*100</f>
        <v>3.4903935106325612</v>
      </c>
      <c r="AF75" s="1016">
        <f>((AD75/Y75)^(1/5))-1</f>
        <v>-3.9847330162784522E-2</v>
      </c>
      <c r="AG75" s="1017">
        <f>((AD75/T75)-1)*100</f>
        <v>-54.742205388638908</v>
      </c>
      <c r="AH75" s="1018">
        <f>((AD75/T75)^(1/10))-1</f>
        <v>-7.6218333942308258E-2</v>
      </c>
      <c r="AI75" s="5"/>
      <c r="AJ75" s="5"/>
      <c r="BI75" s="24"/>
      <c r="BK75" s="12"/>
    </row>
    <row r="76" spans="2:81" x14ac:dyDescent="0.25"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785"/>
      <c r="AE76" s="52"/>
      <c r="AF76" s="53"/>
      <c r="AG76" s="53"/>
      <c r="AH76" s="54"/>
      <c r="AI76" s="5"/>
      <c r="AJ76" s="5"/>
      <c r="BI76" s="24"/>
      <c r="BK76" s="12"/>
    </row>
    <row r="77" spans="2:81" ht="13" x14ac:dyDescent="0.3">
      <c r="B77" s="1012" t="s">
        <v>25</v>
      </c>
      <c r="C77" s="1023"/>
      <c r="D77" s="1023"/>
      <c r="E77" s="1023"/>
      <c r="F77" s="1023"/>
      <c r="G77" s="1023"/>
      <c r="H77" s="1023"/>
      <c r="I77" s="1023"/>
      <c r="J77" s="1023"/>
      <c r="K77" s="1023"/>
      <c r="L77" s="1023"/>
      <c r="M77" s="1023"/>
      <c r="N77" s="1023"/>
      <c r="O77" s="1023"/>
      <c r="P77" s="1023"/>
      <c r="Q77" s="1023"/>
      <c r="R77" s="1023"/>
      <c r="S77" s="1023"/>
      <c r="T77" s="1023"/>
      <c r="U77" s="1023"/>
      <c r="V77" s="1023"/>
      <c r="W77" s="1023"/>
      <c r="X77" s="1023"/>
      <c r="Y77" s="1023"/>
      <c r="Z77" s="1023"/>
      <c r="AA77" s="1023"/>
      <c r="AB77" s="1023"/>
      <c r="AC77" s="1023"/>
      <c r="AD77" s="1024"/>
      <c r="AE77" s="1025"/>
      <c r="AF77" s="1026"/>
      <c r="AG77" s="1017"/>
      <c r="AH77" s="1027"/>
      <c r="AI77" s="5"/>
      <c r="AJ77" s="5"/>
      <c r="BI77" s="24"/>
      <c r="BK77" s="12"/>
    </row>
    <row r="78" spans="2:81" x14ac:dyDescent="0.25">
      <c r="B78" s="28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785"/>
      <c r="AE78" s="52"/>
      <c r="AF78" s="53"/>
      <c r="AG78" s="53"/>
      <c r="AH78" s="54"/>
      <c r="AI78" s="5"/>
      <c r="AJ78" s="5"/>
      <c r="BI78" s="24"/>
      <c r="BK78" s="12"/>
    </row>
    <row r="79" spans="2:81" ht="14.5" x14ac:dyDescent="0.25">
      <c r="B79" s="28" t="s">
        <v>26</v>
      </c>
      <c r="C79" s="31">
        <v>23345374</v>
      </c>
      <c r="D79" s="31">
        <v>23706552</v>
      </c>
      <c r="E79" s="31">
        <v>24073318</v>
      </c>
      <c r="F79" s="31">
        <v>24445757</v>
      </c>
      <c r="G79" s="31">
        <v>24823959</v>
      </c>
      <c r="H79" s="31">
        <v>25208012</v>
      </c>
      <c r="I79" s="31">
        <v>25598007</v>
      </c>
      <c r="J79" s="31">
        <v>25994036.103537917</v>
      </c>
      <c r="K79" s="31">
        <v>26396191</v>
      </c>
      <c r="L79" s="31">
        <v>26804568</v>
      </c>
      <c r="M79" s="31">
        <v>27219263.999999974</v>
      </c>
      <c r="N79" s="31">
        <v>27573114</v>
      </c>
      <c r="O79" s="31">
        <v>27931564.919615995</v>
      </c>
      <c r="P79" s="31">
        <v>28807033.999999993</v>
      </c>
      <c r="Q79" s="31">
        <v>29132013</v>
      </c>
      <c r="R79" s="31">
        <v>29461933</v>
      </c>
      <c r="S79" s="31">
        <v>29797694</v>
      </c>
      <c r="T79" s="31">
        <v>30135875</v>
      </c>
      <c r="U79" s="31">
        <v>30475144</v>
      </c>
      <c r="V79" s="31">
        <v>30814175</v>
      </c>
      <c r="W79" s="31">
        <v>31151643</v>
      </c>
      <c r="X79" s="31">
        <v>31488625</v>
      </c>
      <c r="Y79" s="31">
        <v>31826018</v>
      </c>
      <c r="Z79" s="31">
        <v>32162184</v>
      </c>
      <c r="AA79" s="31">
        <v>32131400</v>
      </c>
      <c r="AB79" s="31">
        <v>32625948</v>
      </c>
      <c r="AC79" s="31">
        <v>33035304</v>
      </c>
      <c r="AD79" s="790">
        <v>33396698</v>
      </c>
      <c r="AE79" s="32">
        <f>((AD79/AC79)-1)*100</f>
        <v>1.0939629918344407</v>
      </c>
      <c r="AF79" s="59">
        <f>((AD79/Y79)^(1/5))-1</f>
        <v>9.6811422749880638E-3</v>
      </c>
      <c r="AG79" s="33">
        <f>((AD79/T79)-1)*100</f>
        <v>10.82040259325472</v>
      </c>
      <c r="AH79" s="60">
        <f>((AD79/T79)^(1/10))-1</f>
        <v>1.0327030512393032E-2</v>
      </c>
      <c r="AI79" s="5"/>
      <c r="AJ79" s="5"/>
      <c r="BK79" s="12"/>
    </row>
    <row r="80" spans="2:81" x14ac:dyDescent="0.25">
      <c r="B80" s="28" t="s">
        <v>214</v>
      </c>
      <c r="C80" s="30">
        <v>583.54413718109652</v>
      </c>
      <c r="D80" s="30">
        <v>603.34120280334275</v>
      </c>
      <c r="E80" s="30">
        <v>625.4260488728637</v>
      </c>
      <c r="F80" s="30">
        <v>645.31349235779442</v>
      </c>
      <c r="G80" s="30">
        <v>655.61627615482325</v>
      </c>
      <c r="H80" s="30">
        <v>679.95822165587731</v>
      </c>
      <c r="I80" s="30">
        <v>710.99107618026619</v>
      </c>
      <c r="J80" s="30">
        <v>737.40531622325182</v>
      </c>
      <c r="K80" s="30">
        <v>755.30694386928769</v>
      </c>
      <c r="L80" s="30">
        <v>794.18270758924371</v>
      </c>
      <c r="M80" s="30">
        <v>822.95556376651109</v>
      </c>
      <c r="N80" s="30">
        <v>872.08597805171394</v>
      </c>
      <c r="O80" s="30">
        <v>947.46945546450365</v>
      </c>
      <c r="P80" s="31">
        <v>1001.5890432524227</v>
      </c>
      <c r="Q80" s="31">
        <v>999.23883787227487</v>
      </c>
      <c r="R80" s="31">
        <v>1079.3034950558065</v>
      </c>
      <c r="S80" s="31">
        <v>1153.7228054560567</v>
      </c>
      <c r="T80" s="31">
        <v>1205.3122621263838</v>
      </c>
      <c r="U80" s="31">
        <v>1256.0486081244571</v>
      </c>
      <c r="V80" s="31">
        <v>1299.0571028214181</v>
      </c>
      <c r="W80" s="31">
        <v>1358.9575606118167</v>
      </c>
      <c r="X80" s="31">
        <v>1446.0108096533445</v>
      </c>
      <c r="Y80" s="31">
        <v>1463.5335137674547</v>
      </c>
      <c r="Z80" s="31">
        <v>1504.8278566815334</v>
      </c>
      <c r="AA80" s="31">
        <v>1554.2631219182176</v>
      </c>
      <c r="AB80" s="30">
        <v>1404.9479480016912</v>
      </c>
      <c r="AC80" s="30">
        <v>1510.8988831699921</v>
      </c>
      <c r="AD80" s="787">
        <v>1566.957184726085</v>
      </c>
      <c r="AE80" s="32">
        <f t="shared" ref="AE80:AE81" si="0">((AD80/AC80)-1)*100</f>
        <v>3.7102616317034931</v>
      </c>
      <c r="AF80" s="59">
        <f t="shared" ref="AF80:AF81" si="1">((AD80/Y80)^(1/5))-1</f>
        <v>1.3750056983321768E-2</v>
      </c>
      <c r="AG80" s="33">
        <f t="shared" ref="AG80:AG81" si="2">((AD80/T80)-1)*100</f>
        <v>30.004251509206071</v>
      </c>
      <c r="AH80" s="60">
        <f t="shared" ref="AH80:AH81" si="3">((AD80/T80)^(1/10))-1</f>
        <v>2.65869885854082E-2</v>
      </c>
      <c r="AI80" s="5"/>
      <c r="AJ80" s="5"/>
      <c r="AK80" s="6"/>
      <c r="AL80" s="6"/>
      <c r="AM80" s="6"/>
      <c r="AN80" s="6"/>
      <c r="AO80" s="6"/>
      <c r="AP80" s="6"/>
      <c r="BK80" s="12"/>
    </row>
    <row r="81" spans="2:63" x14ac:dyDescent="0.25">
      <c r="B81" s="28" t="s">
        <v>215</v>
      </c>
      <c r="C81" s="30">
        <v>723.06034892472485</v>
      </c>
      <c r="D81" s="30">
        <v>728.90448554718648</v>
      </c>
      <c r="E81" s="30">
        <v>745.78035503487797</v>
      </c>
      <c r="F81" s="30">
        <v>760.15392963672286</v>
      </c>
      <c r="G81" s="30">
        <v>767.38834647180067</v>
      </c>
      <c r="H81" s="30">
        <v>790.33192648180807</v>
      </c>
      <c r="I81" s="30">
        <v>812.00559912401047</v>
      </c>
      <c r="J81" s="30">
        <v>845.66794800320008</v>
      </c>
      <c r="K81" s="30">
        <v>868.4341389318389</v>
      </c>
      <c r="L81" s="30">
        <v>905.33118781407211</v>
      </c>
      <c r="M81" s="30">
        <v>937.19421711770076</v>
      </c>
      <c r="N81" s="30">
        <v>992.62740971440508</v>
      </c>
      <c r="O81" s="31">
        <v>1072.0146625573193</v>
      </c>
      <c r="P81" s="31">
        <v>1126.915956811104</v>
      </c>
      <c r="Q81" s="31">
        <v>1130.8774241244505</v>
      </c>
      <c r="R81" s="31">
        <v>1218.793347401883</v>
      </c>
      <c r="S81" s="31">
        <v>1302.330999264077</v>
      </c>
      <c r="T81" s="31">
        <v>1361.5773014457857</v>
      </c>
      <c r="U81" s="31">
        <v>1421.8202860824999</v>
      </c>
      <c r="V81" s="31">
        <v>1478.2099333262943</v>
      </c>
      <c r="W81" s="31">
        <v>1549.7685700158354</v>
      </c>
      <c r="X81" s="31">
        <v>1641.8619082671039</v>
      </c>
      <c r="Y81" s="31">
        <v>1655.879580042744</v>
      </c>
      <c r="Z81" s="31">
        <v>1706.7608704504173</v>
      </c>
      <c r="AA81" s="31">
        <v>1772.9854323881566</v>
      </c>
      <c r="AB81" s="30">
        <v>1616.6184867823488</v>
      </c>
      <c r="AC81" s="30">
        <v>1737.4447592115905</v>
      </c>
      <c r="AD81" s="787">
        <v>1787.9783792393864</v>
      </c>
      <c r="AE81" s="32">
        <f t="shared" si="0"/>
        <v>2.9085022565394691</v>
      </c>
      <c r="AF81" s="59">
        <f t="shared" si="1"/>
        <v>1.5469076136881421E-2</v>
      </c>
      <c r="AG81" s="33">
        <f t="shared" si="2"/>
        <v>31.316699928886038</v>
      </c>
      <c r="AH81" s="60">
        <f t="shared" si="3"/>
        <v>2.7618693631843882E-2</v>
      </c>
      <c r="AI81" s="5"/>
      <c r="AJ81" s="5"/>
      <c r="BK81" s="12"/>
    </row>
    <row r="82" spans="2:63" ht="13" thickBot="1" x14ac:dyDescent="0.3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791"/>
      <c r="AE82" s="61"/>
      <c r="AF82" s="62"/>
      <c r="AG82" s="62"/>
      <c r="AH82" s="63"/>
      <c r="AI82" s="5"/>
      <c r="AJ82" s="5"/>
      <c r="BK82" s="12"/>
    </row>
    <row r="83" spans="2:63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40"/>
      <c r="M83" s="41"/>
      <c r="N83" s="41"/>
      <c r="O83" s="41"/>
      <c r="P83" s="41"/>
      <c r="Q83" s="41"/>
      <c r="R83" s="41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I83" s="5"/>
      <c r="AJ83" s="5"/>
      <c r="AK83" s="6"/>
      <c r="BK83" s="12"/>
    </row>
    <row r="84" spans="2:63" ht="23.5" x14ac:dyDescent="0.55000000000000004">
      <c r="B84" s="22" t="s">
        <v>181</v>
      </c>
      <c r="C84" s="5"/>
      <c r="D84" s="5"/>
      <c r="E84" s="5"/>
      <c r="F84" s="5"/>
      <c r="G84" s="5"/>
      <c r="H84" s="5"/>
      <c r="I84" s="5"/>
      <c r="J84" s="5"/>
      <c r="K84" s="5"/>
      <c r="L84" s="41"/>
      <c r="M84" s="41"/>
      <c r="N84" s="41"/>
      <c r="O84" s="41"/>
      <c r="P84" s="41"/>
      <c r="Q84" s="41"/>
      <c r="R84" s="41"/>
      <c r="S84" s="5"/>
      <c r="T84" s="45"/>
      <c r="U84" s="45"/>
      <c r="V84" s="45"/>
      <c r="W84" s="45"/>
      <c r="X84" s="5"/>
      <c r="Y84" s="5"/>
      <c r="Z84" s="5"/>
      <c r="AA84" s="5"/>
      <c r="AB84" s="5"/>
      <c r="AC84" s="5"/>
      <c r="AD84" s="5"/>
      <c r="AI84" s="5"/>
      <c r="AJ84" s="5"/>
      <c r="BK84" s="12"/>
    </row>
    <row r="85" spans="2:63" ht="14" x14ac:dyDescent="0.3">
      <c r="B85" s="23" t="s">
        <v>29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442"/>
      <c r="S85" s="1442"/>
      <c r="T85" s="1442"/>
      <c r="U85" s="68"/>
      <c r="V85" s="67"/>
      <c r="W85" s="69"/>
      <c r="X85" s="68"/>
      <c r="Y85" s="68"/>
      <c r="Z85" s="68"/>
      <c r="AA85" s="68"/>
      <c r="AB85" s="68"/>
      <c r="AC85" s="68"/>
      <c r="AD85" s="68"/>
      <c r="AI85" s="5"/>
      <c r="AJ85" s="5"/>
      <c r="BK85" s="12"/>
    </row>
    <row r="86" spans="2:63" ht="14" x14ac:dyDescent="0.3">
      <c r="B86" s="1414" t="s">
        <v>34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8"/>
      <c r="V86" s="67"/>
      <c r="W86" s="69"/>
      <c r="X86" s="68"/>
      <c r="Y86" s="68"/>
      <c r="Z86" s="68"/>
      <c r="AA86" s="68"/>
      <c r="AB86" s="68"/>
      <c r="AC86" s="68"/>
      <c r="AD86" s="68"/>
      <c r="AI86" s="5"/>
      <c r="AJ86" s="5"/>
      <c r="AL86" s="6"/>
      <c r="BK86" s="12"/>
    </row>
    <row r="87" spans="2:63" x14ac:dyDescent="0.25">
      <c r="B87" s="47"/>
      <c r="AI87" s="5"/>
      <c r="AJ87" s="5"/>
      <c r="BK87" s="12"/>
    </row>
    <row r="88" spans="2:63" x14ac:dyDescent="0.25">
      <c r="C88" s="766"/>
      <c r="D88" s="766"/>
      <c r="E88" s="766"/>
      <c r="F88" s="766"/>
      <c r="G88" s="766"/>
      <c r="H88" s="766"/>
      <c r="I88" s="766"/>
      <c r="J88" s="766"/>
      <c r="K88" s="766"/>
      <c r="L88" s="766"/>
      <c r="M88" s="766"/>
      <c r="N88" s="766"/>
      <c r="O88" s="766"/>
      <c r="P88" s="766"/>
      <c r="Q88" s="766"/>
      <c r="R88" s="766"/>
      <c r="S88" s="766"/>
      <c r="T88" s="766"/>
      <c r="U88" s="766"/>
      <c r="V88" s="766"/>
      <c r="W88" s="766"/>
      <c r="X88" s="766"/>
      <c r="Y88" s="766"/>
      <c r="Z88" s="766"/>
      <c r="AA88" s="766"/>
      <c r="AB88" s="766"/>
      <c r="AC88" s="766"/>
      <c r="AD88" s="766"/>
      <c r="BK88" s="12"/>
    </row>
    <row r="89" spans="2:63" x14ac:dyDescent="0.25">
      <c r="B89" s="5"/>
      <c r="C89" s="765"/>
      <c r="D89" s="765"/>
      <c r="E89" s="765"/>
      <c r="F89" s="765"/>
      <c r="G89" s="765"/>
      <c r="H89" s="765"/>
      <c r="I89" s="765"/>
      <c r="J89" s="765"/>
      <c r="K89" s="765"/>
      <c r="L89" s="765"/>
      <c r="M89" s="765"/>
      <c r="N89" s="765"/>
      <c r="O89" s="765"/>
      <c r="P89" s="765"/>
      <c r="Q89" s="765"/>
      <c r="R89" s="765"/>
      <c r="S89" s="765"/>
      <c r="T89" s="765"/>
      <c r="U89" s="765"/>
      <c r="V89" s="765"/>
      <c r="W89" s="765"/>
      <c r="X89" s="765"/>
      <c r="Y89" s="765"/>
      <c r="Z89" s="765"/>
      <c r="AA89" s="765"/>
      <c r="AB89" s="765"/>
      <c r="AC89" s="765"/>
      <c r="AD89" s="765"/>
      <c r="AE89" s="64"/>
      <c r="AF89" s="64"/>
      <c r="AG89" s="64"/>
      <c r="AI89" s="5"/>
      <c r="AJ89" s="5"/>
      <c r="BK89" s="12"/>
    </row>
    <row r="90" spans="2:63" x14ac:dyDescent="0.25">
      <c r="B90" s="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I90" s="5"/>
      <c r="AJ90" s="5"/>
      <c r="BK90" s="12"/>
    </row>
    <row r="91" spans="2:63" x14ac:dyDescent="0.25">
      <c r="C91" s="782"/>
      <c r="D91" s="782"/>
      <c r="E91" s="782"/>
      <c r="F91" s="782"/>
      <c r="G91" s="782"/>
      <c r="H91" s="782"/>
      <c r="I91" s="782"/>
      <c r="J91" s="782"/>
      <c r="K91" s="782"/>
      <c r="L91" s="782"/>
      <c r="M91" s="782"/>
      <c r="N91" s="782"/>
      <c r="O91" s="782"/>
      <c r="P91" s="782"/>
      <c r="Q91" s="782"/>
      <c r="R91" s="782"/>
      <c r="S91" s="782"/>
      <c r="T91" s="782"/>
      <c r="U91" s="782"/>
      <c r="V91" s="782"/>
      <c r="W91" s="782"/>
      <c r="X91" s="782"/>
      <c r="Y91" s="782"/>
      <c r="Z91" s="782"/>
      <c r="AA91" s="782"/>
      <c r="AB91" s="782"/>
      <c r="AC91" s="782"/>
      <c r="AD91" s="782"/>
      <c r="BK91" s="12"/>
    </row>
    <row r="92" spans="2:63" x14ac:dyDescent="0.25">
      <c r="O92" s="1"/>
      <c r="BK92" s="12"/>
    </row>
    <row r="93" spans="2:63" x14ac:dyDescent="0.25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6"/>
      <c r="BK93" s="12"/>
    </row>
    <row r="94" spans="2:63" x14ac:dyDescent="0.25">
      <c r="O94" s="6"/>
    </row>
    <row r="96" spans="2:63" ht="13" x14ac:dyDescent="0.3">
      <c r="O96" s="6"/>
      <c r="AL96" s="7"/>
      <c r="AM96" s="7"/>
      <c r="AN96" s="7"/>
      <c r="AO96" s="8"/>
      <c r="AP96" s="8"/>
      <c r="AQ96" s="8"/>
      <c r="AR96" s="8"/>
      <c r="AS96" s="8"/>
      <c r="AT96" s="8"/>
    </row>
    <row r="97" spans="35:42" x14ac:dyDescent="0.25">
      <c r="AI97" s="6"/>
      <c r="AJ97" s="6"/>
    </row>
    <row r="100" spans="35:42" x14ac:dyDescent="0.25">
      <c r="AL100" s="1"/>
      <c r="AM100" s="1"/>
      <c r="AN100" s="1"/>
      <c r="AO100" s="1"/>
      <c r="AP100" s="1"/>
    </row>
    <row r="101" spans="35:42" x14ac:dyDescent="0.25">
      <c r="AL101" s="1"/>
      <c r="AM101" s="1"/>
      <c r="AN101" s="1"/>
      <c r="AO101" s="1"/>
      <c r="AP101" s="1"/>
    </row>
    <row r="102" spans="35:42" x14ac:dyDescent="0.25">
      <c r="AL102" s="1"/>
      <c r="AM102" s="1"/>
      <c r="AN102" s="1"/>
      <c r="AO102" s="1"/>
      <c r="AP102" s="1"/>
    </row>
    <row r="103" spans="35:42" x14ac:dyDescent="0.25">
      <c r="AL103" s="1"/>
      <c r="AM103" s="1"/>
      <c r="AN103" s="1"/>
      <c r="AO103" s="1"/>
      <c r="AP103" s="1"/>
    </row>
    <row r="104" spans="35:42" x14ac:dyDescent="0.25">
      <c r="AL104" s="1"/>
      <c r="AM104" s="1"/>
      <c r="AN104" s="1"/>
      <c r="AO104" s="1"/>
      <c r="AP104" s="1"/>
    </row>
    <row r="105" spans="35:42" x14ac:dyDescent="0.25">
      <c r="AL105" s="1"/>
      <c r="AM105" s="1"/>
      <c r="AN105" s="1"/>
      <c r="AO105" s="1"/>
      <c r="AP105" s="1"/>
    </row>
    <row r="106" spans="35:42" x14ac:dyDescent="0.25">
      <c r="AL106" s="1"/>
      <c r="AM106" s="1"/>
      <c r="AN106" s="1"/>
      <c r="AO106" s="1"/>
      <c r="AP106" s="1"/>
    </row>
    <row r="107" spans="35:42" x14ac:dyDescent="0.25">
      <c r="AL107" s="1"/>
      <c r="AM107" s="1"/>
      <c r="AN107" s="1"/>
      <c r="AO107" s="1"/>
      <c r="AP107" s="1"/>
    </row>
    <row r="108" spans="35:42" x14ac:dyDescent="0.25">
      <c r="AL108" s="1"/>
      <c r="AM108" s="1"/>
      <c r="AN108" s="1"/>
      <c r="AO108" s="1"/>
      <c r="AP108" s="1"/>
    </row>
    <row r="109" spans="35:42" x14ac:dyDescent="0.25">
      <c r="AL109" s="1"/>
      <c r="AM109" s="1"/>
      <c r="AN109" s="1"/>
      <c r="AO109" s="1"/>
      <c r="AP109" s="1"/>
    </row>
    <row r="110" spans="35:42" x14ac:dyDescent="0.25">
      <c r="AL110" s="1"/>
      <c r="AM110" s="1"/>
      <c r="AN110" s="1"/>
      <c r="AO110" s="1"/>
      <c r="AP110" s="1"/>
    </row>
    <row r="111" spans="35:42" x14ac:dyDescent="0.25">
      <c r="AL111" s="1"/>
      <c r="AM111" s="1"/>
      <c r="AN111" s="1"/>
      <c r="AO111" s="1"/>
      <c r="AP111" s="1"/>
    </row>
    <row r="112" spans="35:42" ht="13" x14ac:dyDescent="0.3">
      <c r="AL112" s="7"/>
      <c r="AM112" s="7"/>
      <c r="AN112" s="7"/>
      <c r="AO112" s="8"/>
      <c r="AP112" s="8"/>
    </row>
  </sheetData>
  <mergeCells count="1">
    <mergeCell ref="R85:T85"/>
  </mergeCells>
  <phoneticPr fontId="0" type="noConversion"/>
  <printOptions horizontalCentered="1" verticalCentered="1"/>
  <pageMargins left="0.47244094488188981" right="0.23622047244094491" top="0.47244094488188981" bottom="0.19685039370078741" header="0" footer="0"/>
  <pageSetup paperSize="8" scale="50" orientation="landscape" r:id="rId1"/>
  <headerFooter alignWithMargins="0"/>
  <colBreaks count="1" manualBreakCount="1">
    <brk id="34" max="87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Y133"/>
  <sheetViews>
    <sheetView showGridLines="0" view="pageBreakPreview" zoomScale="70" zoomScaleNormal="40" zoomScaleSheetLayoutView="70" workbookViewId="0">
      <selection activeCell="W137" sqref="W137"/>
    </sheetView>
  </sheetViews>
  <sheetFormatPr baseColWidth="10" defaultRowHeight="12.5" x14ac:dyDescent="0.25"/>
  <cols>
    <col min="1" max="1" width="21.7265625" customWidth="1"/>
    <col min="2" max="2" width="15.7265625" customWidth="1"/>
    <col min="3" max="3" width="15.81640625" customWidth="1"/>
    <col min="4" max="4" width="15.7265625" customWidth="1"/>
    <col min="5" max="7" width="15.81640625" customWidth="1"/>
    <col min="8" max="8" width="12.7265625" customWidth="1"/>
    <col min="9" max="9" width="12.81640625" customWidth="1"/>
    <col min="10" max="10" width="12.7265625" customWidth="1"/>
    <col min="11" max="11" width="13.54296875" customWidth="1"/>
    <col min="15" max="15" width="10.7265625" customWidth="1"/>
    <col min="16" max="16" width="7.26953125" customWidth="1"/>
    <col min="17" max="17" width="7.26953125" hidden="1" customWidth="1"/>
    <col min="18" max="18" width="17.1796875" hidden="1" customWidth="1"/>
    <col min="19" max="19" width="13.81640625" hidden="1" customWidth="1"/>
    <col min="20" max="22" width="0" hidden="1" customWidth="1"/>
  </cols>
  <sheetData>
    <row r="2" spans="1:23" ht="15.5" x14ac:dyDescent="0.35">
      <c r="A2" s="70" t="s">
        <v>198</v>
      </c>
    </row>
    <row r="3" spans="1:23" x14ac:dyDescent="0.25">
      <c r="A3" s="102"/>
      <c r="R3" s="115" t="s">
        <v>100</v>
      </c>
    </row>
    <row r="4" spans="1:23" ht="13" thickBot="1" x14ac:dyDescent="0.3"/>
    <row r="5" spans="1:23" s="94" customFormat="1" x14ac:dyDescent="0.25">
      <c r="A5" s="1482" t="s">
        <v>39</v>
      </c>
      <c r="B5" s="1503" t="s">
        <v>53</v>
      </c>
      <c r="C5" s="1496" t="s">
        <v>87</v>
      </c>
      <c r="D5" s="1509"/>
      <c r="E5" s="1509"/>
      <c r="F5" s="1509"/>
      <c r="G5" s="1510"/>
      <c r="H5" s="1495" t="s">
        <v>101</v>
      </c>
      <c r="I5" s="1495"/>
      <c r="J5" s="1495"/>
      <c r="K5" s="1495" t="s">
        <v>102</v>
      </c>
      <c r="L5" s="1495"/>
      <c r="M5" s="1495"/>
      <c r="N5" s="1496"/>
      <c r="O5" s="1497"/>
      <c r="Q5" s="251" t="s">
        <v>103</v>
      </c>
    </row>
    <row r="6" spans="1:23" s="94" customFormat="1" ht="13.5" thickBot="1" x14ac:dyDescent="0.3">
      <c r="A6" s="1483"/>
      <c r="B6" s="1504"/>
      <c r="C6" s="1054" t="s">
        <v>89</v>
      </c>
      <c r="D6" s="1055" t="s">
        <v>90</v>
      </c>
      <c r="E6" s="1054" t="s">
        <v>91</v>
      </c>
      <c r="F6" s="1054" t="s">
        <v>74</v>
      </c>
      <c r="G6" s="1054" t="s">
        <v>92</v>
      </c>
      <c r="H6" s="1054" t="s">
        <v>89</v>
      </c>
      <c r="I6" s="1054" t="s">
        <v>90</v>
      </c>
      <c r="J6" s="1054" t="s">
        <v>91</v>
      </c>
      <c r="K6" s="1054" t="s">
        <v>89</v>
      </c>
      <c r="L6" s="1054" t="s">
        <v>90</v>
      </c>
      <c r="M6" s="1054" t="s">
        <v>91</v>
      </c>
      <c r="N6" s="1054" t="s">
        <v>74</v>
      </c>
      <c r="O6" s="1056" t="s">
        <v>92</v>
      </c>
      <c r="R6" s="900" t="s">
        <v>104</v>
      </c>
      <c r="S6" s="900" t="s">
        <v>105</v>
      </c>
      <c r="T6" s="900" t="s">
        <v>106</v>
      </c>
      <c r="U6" s="900" t="s">
        <v>107</v>
      </c>
    </row>
    <row r="7" spans="1:23" ht="12.75" customHeight="1" x14ac:dyDescent="0.35">
      <c r="A7" s="1390">
        <v>1995</v>
      </c>
      <c r="B7" s="217">
        <f t="shared" ref="B7:B12" si="0">+C7+H7+K7</f>
        <v>3195.3919999999998</v>
      </c>
      <c r="C7" s="218">
        <f t="shared" ref="C7:C12" si="1">SUM(D7:E7)</f>
        <v>2458.1259999999997</v>
      </c>
      <c r="D7" s="147">
        <v>1848.4849999999999</v>
      </c>
      <c r="E7" s="148">
        <v>609.64099999999996</v>
      </c>
      <c r="F7" s="148"/>
      <c r="G7" s="220"/>
      <c r="H7" s="299">
        <f t="shared" ref="H7:H12" si="2">SUM(I7:J7)</f>
        <v>402.99</v>
      </c>
      <c r="I7" s="147">
        <v>312.27</v>
      </c>
      <c r="J7" s="181">
        <v>90.72</v>
      </c>
      <c r="K7" s="219">
        <f t="shared" ref="K7:K12" si="3">SUM(L7:O7)</f>
        <v>334.27599999999995</v>
      </c>
      <c r="L7" s="147">
        <v>45.16</v>
      </c>
      <c r="M7" s="148">
        <v>289.11599999999999</v>
      </c>
      <c r="N7" s="148"/>
      <c r="O7" s="300"/>
      <c r="P7" s="301"/>
      <c r="Q7" s="302">
        <v>1995</v>
      </c>
      <c r="R7" s="303">
        <f t="shared" ref="R7:S12" si="4">+SUM(D7,I7)</f>
        <v>2160.7550000000001</v>
      </c>
      <c r="S7" s="303">
        <f t="shared" si="4"/>
        <v>700.36099999999999</v>
      </c>
      <c r="T7" s="303">
        <f t="shared" ref="T7:U12" si="5">+SUM(F7)</f>
        <v>0</v>
      </c>
      <c r="U7" s="303">
        <f t="shared" si="5"/>
        <v>0</v>
      </c>
      <c r="V7" s="132">
        <f>+SUM(R7:U7)</f>
        <v>2861.116</v>
      </c>
    </row>
    <row r="8" spans="1:23" ht="12.75" customHeight="1" x14ac:dyDescent="0.35">
      <c r="A8" s="1391">
        <v>1996</v>
      </c>
      <c r="B8" s="221">
        <f t="shared" si="0"/>
        <v>2879.5010000000002</v>
      </c>
      <c r="C8" s="222">
        <f t="shared" si="1"/>
        <v>2212.6770000000001</v>
      </c>
      <c r="D8" s="177">
        <v>1588.172</v>
      </c>
      <c r="E8" s="185">
        <f>624.505</f>
        <v>624.505</v>
      </c>
      <c r="F8" s="185"/>
      <c r="G8" s="224"/>
      <c r="H8" s="304">
        <f t="shared" si="2"/>
        <v>405.86799999999994</v>
      </c>
      <c r="I8" s="177">
        <f>309.268</f>
        <v>309.26799999999997</v>
      </c>
      <c r="J8" s="176">
        <f>96.6</f>
        <v>96.6</v>
      </c>
      <c r="K8" s="223">
        <f t="shared" si="3"/>
        <v>260.95600000000002</v>
      </c>
      <c r="L8" s="177">
        <v>27.411000000000001</v>
      </c>
      <c r="M8" s="185">
        <v>233.29499999999999</v>
      </c>
      <c r="N8" s="185"/>
      <c r="O8" s="305">
        <v>0.25</v>
      </c>
      <c r="P8" s="301"/>
      <c r="Q8" s="302">
        <v>1996</v>
      </c>
      <c r="R8" s="303">
        <f t="shared" si="4"/>
        <v>1897.44</v>
      </c>
      <c r="S8" s="303">
        <f t="shared" si="4"/>
        <v>721.10500000000002</v>
      </c>
      <c r="T8" s="303">
        <f t="shared" si="5"/>
        <v>0</v>
      </c>
      <c r="U8" s="303">
        <f t="shared" si="5"/>
        <v>0</v>
      </c>
      <c r="V8" s="132">
        <f t="shared" ref="V8:V33" si="6">+SUM(R8:U8)</f>
        <v>2618.5450000000001</v>
      </c>
    </row>
    <row r="9" spans="1:23" ht="12.75" customHeight="1" x14ac:dyDescent="0.35">
      <c r="A9" s="1390">
        <v>1997</v>
      </c>
      <c r="B9" s="217">
        <f t="shared" si="0"/>
        <v>3826.8329999999996</v>
      </c>
      <c r="C9" s="218">
        <f t="shared" si="1"/>
        <v>2888.4399999999996</v>
      </c>
      <c r="D9" s="147">
        <v>1760.1</v>
      </c>
      <c r="E9" s="148">
        <v>1128.3399999999999</v>
      </c>
      <c r="F9" s="148"/>
      <c r="G9" s="220"/>
      <c r="H9" s="299">
        <f t="shared" si="2"/>
        <v>629.43000000000006</v>
      </c>
      <c r="I9" s="147">
        <v>306.42</v>
      </c>
      <c r="J9" s="181">
        <v>323.01</v>
      </c>
      <c r="K9" s="219">
        <f t="shared" si="3"/>
        <v>308.96299999999997</v>
      </c>
      <c r="L9" s="147">
        <v>53.651000000000003</v>
      </c>
      <c r="M9" s="148">
        <v>255.06199999999998</v>
      </c>
      <c r="N9" s="148"/>
      <c r="O9" s="300">
        <v>0.25</v>
      </c>
      <c r="P9" s="301"/>
      <c r="Q9" s="302">
        <v>1997</v>
      </c>
      <c r="R9" s="303">
        <f t="shared" si="4"/>
        <v>2066.52</v>
      </c>
      <c r="S9" s="303">
        <f t="shared" si="4"/>
        <v>1451.35</v>
      </c>
      <c r="T9" s="303">
        <f t="shared" si="5"/>
        <v>0</v>
      </c>
      <c r="U9" s="303">
        <f t="shared" si="5"/>
        <v>0</v>
      </c>
      <c r="V9" s="132">
        <f t="shared" si="6"/>
        <v>3517.87</v>
      </c>
    </row>
    <row r="10" spans="1:23" ht="12.75" customHeight="1" x14ac:dyDescent="0.35">
      <c r="A10" s="1391">
        <v>1998</v>
      </c>
      <c r="B10" s="221">
        <f t="shared" si="0"/>
        <v>4020.8009999999995</v>
      </c>
      <c r="C10" s="222">
        <f t="shared" si="1"/>
        <v>3090.3449999999998</v>
      </c>
      <c r="D10" s="177">
        <v>1758.8119999999999</v>
      </c>
      <c r="E10" s="185">
        <v>1331.5329999999999</v>
      </c>
      <c r="F10" s="185"/>
      <c r="G10" s="224"/>
      <c r="H10" s="304">
        <f t="shared" si="2"/>
        <v>596.01</v>
      </c>
      <c r="I10" s="177">
        <v>199.51</v>
      </c>
      <c r="J10" s="176">
        <v>396.5</v>
      </c>
      <c r="K10" s="223">
        <f t="shared" si="3"/>
        <v>334.44599999999997</v>
      </c>
      <c r="L10" s="177">
        <v>64.58</v>
      </c>
      <c r="M10" s="185">
        <v>269.61599999999999</v>
      </c>
      <c r="N10" s="185"/>
      <c r="O10" s="305">
        <v>0.25</v>
      </c>
      <c r="P10" s="301"/>
      <c r="Q10" s="302">
        <v>1998</v>
      </c>
      <c r="R10" s="303">
        <f t="shared" si="4"/>
        <v>1958.3219999999999</v>
      </c>
      <c r="S10" s="303">
        <f t="shared" si="4"/>
        <v>1728.0329999999999</v>
      </c>
      <c r="T10" s="303">
        <f t="shared" si="5"/>
        <v>0</v>
      </c>
      <c r="U10" s="303">
        <f t="shared" si="5"/>
        <v>0</v>
      </c>
      <c r="V10" s="132">
        <f t="shared" si="6"/>
        <v>3686.3549999999996</v>
      </c>
      <c r="W10" s="6"/>
    </row>
    <row r="11" spans="1:23" ht="12.75" customHeight="1" x14ac:dyDescent="0.35">
      <c r="A11" s="1390">
        <v>1999</v>
      </c>
      <c r="B11" s="217">
        <f t="shared" si="0"/>
        <v>4317.9290000000001</v>
      </c>
      <c r="C11" s="218">
        <f t="shared" si="1"/>
        <v>3317.0060000000003</v>
      </c>
      <c r="D11" s="147">
        <v>1923.5890000000002</v>
      </c>
      <c r="E11" s="148">
        <v>1393.4169999999999</v>
      </c>
      <c r="F11" s="148"/>
      <c r="G11" s="220"/>
      <c r="H11" s="299">
        <f t="shared" si="2"/>
        <v>712.75800000000004</v>
      </c>
      <c r="I11" s="147">
        <v>249.51</v>
      </c>
      <c r="J11" s="181">
        <v>463.24800000000005</v>
      </c>
      <c r="K11" s="219">
        <f t="shared" si="3"/>
        <v>288.16500000000002</v>
      </c>
      <c r="L11" s="147">
        <v>69.52600000000001</v>
      </c>
      <c r="M11" s="148">
        <v>217.93899999999999</v>
      </c>
      <c r="N11" s="148"/>
      <c r="O11" s="300">
        <v>0.7</v>
      </c>
      <c r="P11" s="301"/>
      <c r="Q11" s="302">
        <v>1999</v>
      </c>
      <c r="R11" s="303">
        <f t="shared" si="4"/>
        <v>2173.0990000000002</v>
      </c>
      <c r="S11" s="303">
        <f t="shared" si="4"/>
        <v>1856.665</v>
      </c>
      <c r="T11" s="303">
        <f t="shared" si="5"/>
        <v>0</v>
      </c>
      <c r="U11" s="303">
        <f t="shared" si="5"/>
        <v>0</v>
      </c>
      <c r="V11" s="132">
        <f t="shared" si="6"/>
        <v>4029.7640000000001</v>
      </c>
      <c r="W11" s="6"/>
    </row>
    <row r="12" spans="1:23" ht="12.75" customHeight="1" x14ac:dyDescent="0.35">
      <c r="A12" s="1391">
        <v>2000</v>
      </c>
      <c r="B12" s="221">
        <f t="shared" si="0"/>
        <v>4775.9350000000004</v>
      </c>
      <c r="C12" s="222">
        <f t="shared" si="1"/>
        <v>3595.0750000000007</v>
      </c>
      <c r="D12" s="177">
        <v>2189.9130000000005</v>
      </c>
      <c r="E12" s="185">
        <v>1405.162</v>
      </c>
      <c r="F12" s="185"/>
      <c r="G12" s="224"/>
      <c r="H12" s="304">
        <f t="shared" si="2"/>
        <v>906.31200000000001</v>
      </c>
      <c r="I12" s="177">
        <v>315.24099999999999</v>
      </c>
      <c r="J12" s="176">
        <v>591.07100000000003</v>
      </c>
      <c r="K12" s="223">
        <f t="shared" si="3"/>
        <v>274.54799999999994</v>
      </c>
      <c r="L12" s="177">
        <v>70.77</v>
      </c>
      <c r="M12" s="185">
        <v>203.07799999999997</v>
      </c>
      <c r="N12" s="185"/>
      <c r="O12" s="305">
        <v>0.7</v>
      </c>
      <c r="P12" s="301"/>
      <c r="Q12" s="302">
        <v>2000</v>
      </c>
      <c r="R12" s="303">
        <f t="shared" si="4"/>
        <v>2505.1540000000005</v>
      </c>
      <c r="S12" s="303">
        <f t="shared" si="4"/>
        <v>1996.2330000000002</v>
      </c>
      <c r="T12" s="303">
        <f t="shared" si="5"/>
        <v>0</v>
      </c>
      <c r="U12" s="303">
        <f t="shared" si="5"/>
        <v>0</v>
      </c>
      <c r="V12" s="132">
        <f t="shared" si="6"/>
        <v>4501.3870000000006</v>
      </c>
      <c r="W12" s="6"/>
    </row>
    <row r="13" spans="1:23" ht="13" x14ac:dyDescent="0.3">
      <c r="A13" s="1391"/>
      <c r="B13" s="231"/>
      <c r="C13" s="1459" t="s">
        <v>93</v>
      </c>
      <c r="D13" s="1460"/>
      <c r="E13" s="1460"/>
      <c r="F13" s="1460"/>
      <c r="G13" s="1471"/>
      <c r="H13" s="232"/>
      <c r="I13" s="233"/>
      <c r="J13" s="233"/>
      <c r="K13" s="234"/>
      <c r="L13" s="233"/>
      <c r="M13" s="235"/>
      <c r="N13" s="235"/>
      <c r="O13" s="236"/>
      <c r="R13" s="303"/>
      <c r="S13" s="303"/>
      <c r="T13" s="303"/>
      <c r="U13" s="303"/>
      <c r="V13" s="132"/>
      <c r="W13" s="6"/>
    </row>
    <row r="14" spans="1:23" ht="13" x14ac:dyDescent="0.3">
      <c r="A14" s="1391">
        <v>2001</v>
      </c>
      <c r="B14" s="221">
        <f t="shared" ref="B14:B26" si="7">+C14+K14</f>
        <v>4642.0639999999994</v>
      </c>
      <c r="C14" s="222">
        <f t="shared" ref="C14:C20" si="8">SUM(D14:E14)</f>
        <v>4418.8459999999995</v>
      </c>
      <c r="D14" s="176">
        <v>2610.5159999999996</v>
      </c>
      <c r="E14" s="185">
        <v>1808.33</v>
      </c>
      <c r="F14" s="185"/>
      <c r="G14" s="224"/>
      <c r="H14" s="304"/>
      <c r="I14" s="176"/>
      <c r="J14" s="176"/>
      <c r="K14" s="223">
        <f t="shared" ref="K14:K35" si="9">SUM(L14:O14)</f>
        <v>223.21799999999993</v>
      </c>
      <c r="L14" s="176">
        <v>64.318999999999988</v>
      </c>
      <c r="M14" s="185">
        <v>158.19899999999996</v>
      </c>
      <c r="N14" s="185"/>
      <c r="O14" s="305">
        <v>0.7</v>
      </c>
      <c r="P14" s="12"/>
      <c r="Q14" s="302">
        <v>2001</v>
      </c>
      <c r="R14" s="303">
        <f>+D14</f>
        <v>2610.5159999999996</v>
      </c>
      <c r="S14" s="303">
        <f>+E14</f>
        <v>1808.33</v>
      </c>
      <c r="T14" s="303">
        <f>+F14</f>
        <v>0</v>
      </c>
      <c r="U14" s="303">
        <f>+SUM(G14)</f>
        <v>0</v>
      </c>
      <c r="V14" s="132">
        <f t="shared" si="6"/>
        <v>4418.8459999999995</v>
      </c>
      <c r="W14" s="6"/>
    </row>
    <row r="15" spans="1:23" ht="13" x14ac:dyDescent="0.3">
      <c r="A15" s="1390">
        <v>2002</v>
      </c>
      <c r="B15" s="217">
        <f t="shared" si="7"/>
        <v>4657.8269999999993</v>
      </c>
      <c r="C15" s="218">
        <f t="shared" si="8"/>
        <v>4491.7919999999995</v>
      </c>
      <c r="D15" s="181">
        <v>2642.558</v>
      </c>
      <c r="E15" s="148">
        <v>1849.2339999999999</v>
      </c>
      <c r="F15" s="148"/>
      <c r="G15" s="220"/>
      <c r="H15" s="299"/>
      <c r="I15" s="181"/>
      <c r="J15" s="181"/>
      <c r="K15" s="219">
        <f t="shared" si="9"/>
        <v>166.035</v>
      </c>
      <c r="L15" s="181">
        <v>60.305</v>
      </c>
      <c r="M15" s="148">
        <v>105.03</v>
      </c>
      <c r="N15" s="148"/>
      <c r="O15" s="300">
        <v>0.7</v>
      </c>
      <c r="P15" s="12"/>
      <c r="Q15" s="302">
        <v>2002</v>
      </c>
      <c r="R15" s="303">
        <f t="shared" ref="R15:T33" si="10">+D15</f>
        <v>2642.558</v>
      </c>
      <c r="S15" s="303">
        <f t="shared" si="10"/>
        <v>1849.2339999999999</v>
      </c>
      <c r="T15" s="303">
        <f t="shared" si="10"/>
        <v>0</v>
      </c>
      <c r="U15" s="303">
        <f t="shared" ref="U15:U33" si="11">+SUM(G15)</f>
        <v>0</v>
      </c>
      <c r="V15" s="132">
        <f t="shared" si="6"/>
        <v>4491.7919999999995</v>
      </c>
      <c r="W15" s="6"/>
    </row>
    <row r="16" spans="1:23" ht="13" x14ac:dyDescent="0.3">
      <c r="A16" s="1391">
        <v>2003</v>
      </c>
      <c r="B16" s="221">
        <f t="shared" si="7"/>
        <v>4686.3940000000011</v>
      </c>
      <c r="C16" s="222">
        <f t="shared" si="8"/>
        <v>4517.7180000000008</v>
      </c>
      <c r="D16" s="176">
        <v>2659.2490000000003</v>
      </c>
      <c r="E16" s="185">
        <v>1858.4690000000001</v>
      </c>
      <c r="F16" s="185"/>
      <c r="G16" s="224"/>
      <c r="H16" s="304"/>
      <c r="I16" s="176"/>
      <c r="J16" s="176"/>
      <c r="K16" s="223">
        <f t="shared" si="9"/>
        <v>168.67599999999996</v>
      </c>
      <c r="L16" s="176">
        <v>60.98</v>
      </c>
      <c r="M16" s="185">
        <v>106.99599999999997</v>
      </c>
      <c r="N16" s="185"/>
      <c r="O16" s="305">
        <v>0.7</v>
      </c>
      <c r="Q16" s="302">
        <v>2003</v>
      </c>
      <c r="R16" s="303">
        <f t="shared" si="10"/>
        <v>2659.2490000000003</v>
      </c>
      <c r="S16" s="303">
        <f t="shared" si="10"/>
        <v>1858.4690000000001</v>
      </c>
      <c r="T16" s="303">
        <f t="shared" si="10"/>
        <v>0</v>
      </c>
      <c r="U16" s="303">
        <f t="shared" si="11"/>
        <v>0</v>
      </c>
      <c r="V16" s="132">
        <f t="shared" si="6"/>
        <v>4517.7180000000008</v>
      </c>
      <c r="W16" s="6"/>
    </row>
    <row r="17" spans="1:23" ht="13" x14ac:dyDescent="0.3">
      <c r="A17" s="1390">
        <v>2004</v>
      </c>
      <c r="B17" s="217">
        <f t="shared" si="7"/>
        <v>4657.3150700000006</v>
      </c>
      <c r="C17" s="218">
        <f t="shared" si="8"/>
        <v>4493.808070000001</v>
      </c>
      <c r="D17" s="181">
        <v>2683.1130700000008</v>
      </c>
      <c r="E17" s="148">
        <v>1810.6949999999999</v>
      </c>
      <c r="F17" s="148"/>
      <c r="G17" s="220"/>
      <c r="H17" s="299"/>
      <c r="I17" s="181"/>
      <c r="J17" s="181"/>
      <c r="K17" s="219">
        <f t="shared" si="9"/>
        <v>163.50700000000006</v>
      </c>
      <c r="L17" s="181">
        <v>64.159000000000006</v>
      </c>
      <c r="M17" s="148">
        <v>98.648000000000053</v>
      </c>
      <c r="N17" s="148"/>
      <c r="O17" s="300">
        <v>0.7</v>
      </c>
      <c r="P17" s="12"/>
      <c r="Q17" s="302">
        <v>2004</v>
      </c>
      <c r="R17" s="303">
        <f t="shared" si="10"/>
        <v>2683.1130700000008</v>
      </c>
      <c r="S17" s="303">
        <f t="shared" si="10"/>
        <v>1810.6949999999999</v>
      </c>
      <c r="T17" s="303">
        <f t="shared" si="10"/>
        <v>0</v>
      </c>
      <c r="U17" s="303">
        <f t="shared" si="11"/>
        <v>0</v>
      </c>
      <c r="V17" s="132">
        <f t="shared" si="6"/>
        <v>4493.808070000001</v>
      </c>
      <c r="W17" s="6"/>
    </row>
    <row r="18" spans="1:23" ht="13" x14ac:dyDescent="0.3">
      <c r="A18" s="1391">
        <v>2005</v>
      </c>
      <c r="B18" s="221">
        <f t="shared" si="7"/>
        <v>4798.6629999999996</v>
      </c>
      <c r="C18" s="222">
        <f t="shared" si="8"/>
        <v>4619.7579999999998</v>
      </c>
      <c r="D18" s="176">
        <v>2849.114</v>
      </c>
      <c r="E18" s="185">
        <v>1770.6439999999998</v>
      </c>
      <c r="F18" s="185"/>
      <c r="G18" s="224"/>
      <c r="H18" s="304"/>
      <c r="I18" s="176"/>
      <c r="J18" s="176"/>
      <c r="K18" s="223">
        <f t="shared" si="9"/>
        <v>178.90499999999992</v>
      </c>
      <c r="L18" s="176">
        <v>69.658999999999963</v>
      </c>
      <c r="M18" s="185">
        <v>108.54599999999998</v>
      </c>
      <c r="N18" s="185"/>
      <c r="O18" s="305">
        <v>0.7</v>
      </c>
      <c r="P18" s="12"/>
      <c r="Q18" s="302">
        <v>2005</v>
      </c>
      <c r="R18" s="303">
        <f t="shared" si="10"/>
        <v>2849.114</v>
      </c>
      <c r="S18" s="303">
        <f t="shared" si="10"/>
        <v>1770.6439999999998</v>
      </c>
      <c r="T18" s="303">
        <f t="shared" si="10"/>
        <v>0</v>
      </c>
      <c r="U18" s="303">
        <f t="shared" si="11"/>
        <v>0</v>
      </c>
      <c r="V18" s="132">
        <f t="shared" si="6"/>
        <v>4619.7579999999998</v>
      </c>
      <c r="W18" s="6"/>
    </row>
    <row r="19" spans="1:23" ht="13" x14ac:dyDescent="0.3">
      <c r="A19" s="1390">
        <v>2006</v>
      </c>
      <c r="B19" s="217">
        <f>+C19+K19</f>
        <v>5064.3620000000001</v>
      </c>
      <c r="C19" s="218">
        <f>SUM(D19:E19)</f>
        <v>4891.5619999999999</v>
      </c>
      <c r="D19" s="181">
        <v>2859.1</v>
      </c>
      <c r="E19" s="148">
        <v>2032.4620000000002</v>
      </c>
      <c r="F19" s="148"/>
      <c r="G19" s="220"/>
      <c r="H19" s="299"/>
      <c r="I19" s="181"/>
      <c r="J19" s="181"/>
      <c r="K19" s="219">
        <f>SUM(L19:O19)</f>
        <v>172.8</v>
      </c>
      <c r="L19" s="181">
        <v>67.518000000000001</v>
      </c>
      <c r="M19" s="148">
        <v>104.58200000000002</v>
      </c>
      <c r="N19" s="148"/>
      <c r="O19" s="300">
        <v>0.7</v>
      </c>
      <c r="P19" s="12"/>
      <c r="Q19" s="302">
        <v>2006</v>
      </c>
      <c r="R19" s="303">
        <f t="shared" si="10"/>
        <v>2859.1</v>
      </c>
      <c r="S19" s="303">
        <f t="shared" si="10"/>
        <v>2032.4620000000002</v>
      </c>
      <c r="T19" s="303">
        <f t="shared" si="10"/>
        <v>0</v>
      </c>
      <c r="U19" s="303">
        <f t="shared" si="11"/>
        <v>0</v>
      </c>
      <c r="V19" s="132">
        <f t="shared" si="6"/>
        <v>4891.5619999999999</v>
      </c>
      <c r="W19" s="6"/>
    </row>
    <row r="20" spans="1:23" ht="13" x14ac:dyDescent="0.3">
      <c r="A20" s="1391">
        <v>2007</v>
      </c>
      <c r="B20" s="221">
        <f t="shared" si="7"/>
        <v>5532.8549999999987</v>
      </c>
      <c r="C20" s="222">
        <f t="shared" si="8"/>
        <v>5363.3939999999984</v>
      </c>
      <c r="D20" s="176">
        <v>2874.7049999999981</v>
      </c>
      <c r="E20" s="185">
        <v>2488.6890000000008</v>
      </c>
      <c r="F20" s="185"/>
      <c r="G20" s="224"/>
      <c r="H20" s="304"/>
      <c r="I20" s="176"/>
      <c r="J20" s="176"/>
      <c r="K20" s="223">
        <f t="shared" si="9"/>
        <v>169.46100000000004</v>
      </c>
      <c r="L20" s="176">
        <v>64.882000000000005</v>
      </c>
      <c r="M20" s="185">
        <v>103.87900000000005</v>
      </c>
      <c r="N20" s="185"/>
      <c r="O20" s="305">
        <v>0.7</v>
      </c>
      <c r="P20" s="12"/>
      <c r="Q20" s="302">
        <v>2007</v>
      </c>
      <c r="R20" s="303">
        <f t="shared" si="10"/>
        <v>2874.7049999999981</v>
      </c>
      <c r="S20" s="303">
        <f t="shared" si="10"/>
        <v>2488.6890000000008</v>
      </c>
      <c r="T20" s="303">
        <f t="shared" si="10"/>
        <v>0</v>
      </c>
      <c r="U20" s="303">
        <f t="shared" si="11"/>
        <v>0</v>
      </c>
      <c r="V20" s="132">
        <f t="shared" si="6"/>
        <v>5363.3939999999984</v>
      </c>
      <c r="W20" s="6"/>
    </row>
    <row r="21" spans="1:23" ht="13" x14ac:dyDescent="0.3">
      <c r="A21" s="1390">
        <v>2008</v>
      </c>
      <c r="B21" s="217">
        <f t="shared" si="7"/>
        <v>5444.2160000000003</v>
      </c>
      <c r="C21" s="218">
        <f>SUM(D21:E21)</f>
        <v>5248.7000000000007</v>
      </c>
      <c r="D21" s="181">
        <v>2889.0490000000004</v>
      </c>
      <c r="E21" s="148">
        <v>2359.6509999999998</v>
      </c>
      <c r="F21" s="148"/>
      <c r="G21" s="220"/>
      <c r="H21" s="299"/>
      <c r="I21" s="181"/>
      <c r="J21" s="181"/>
      <c r="K21" s="219">
        <f t="shared" si="9"/>
        <v>195.51599999999991</v>
      </c>
      <c r="L21" s="181">
        <v>64.071999999999989</v>
      </c>
      <c r="M21" s="148">
        <v>130.74399999999991</v>
      </c>
      <c r="N21" s="148"/>
      <c r="O21" s="300">
        <v>0.7</v>
      </c>
      <c r="P21" s="12"/>
      <c r="Q21" s="302">
        <v>2008</v>
      </c>
      <c r="R21" s="303">
        <f t="shared" si="10"/>
        <v>2889.0490000000004</v>
      </c>
      <c r="S21" s="303">
        <f t="shared" si="10"/>
        <v>2359.6509999999998</v>
      </c>
      <c r="T21" s="303">
        <f t="shared" si="10"/>
        <v>0</v>
      </c>
      <c r="U21" s="303">
        <f t="shared" si="11"/>
        <v>0</v>
      </c>
      <c r="V21" s="132">
        <f t="shared" si="6"/>
        <v>5248.7000000000007</v>
      </c>
      <c r="W21" s="6"/>
    </row>
    <row r="22" spans="1:23" ht="13" x14ac:dyDescent="0.3">
      <c r="A22" s="1391">
        <v>2009</v>
      </c>
      <c r="B22" s="221">
        <f t="shared" si="7"/>
        <v>6246.4090000000006</v>
      </c>
      <c r="C22" s="222">
        <f>SUM(D22:E22)</f>
        <v>6064.4620000000004</v>
      </c>
      <c r="D22" s="176">
        <v>2982.3650000000002</v>
      </c>
      <c r="E22" s="185">
        <v>3082.0970000000002</v>
      </c>
      <c r="F22" s="185"/>
      <c r="G22" s="224"/>
      <c r="H22" s="304"/>
      <c r="I22" s="176"/>
      <c r="J22" s="176"/>
      <c r="K22" s="223">
        <f t="shared" si="9"/>
        <v>181.947</v>
      </c>
      <c r="L22" s="176">
        <v>54.796999999999997</v>
      </c>
      <c r="M22" s="185">
        <v>126.45</v>
      </c>
      <c r="N22" s="185"/>
      <c r="O22" s="305">
        <v>0.7</v>
      </c>
      <c r="P22" s="12"/>
      <c r="Q22" s="302">
        <v>2009</v>
      </c>
      <c r="R22" s="303">
        <f t="shared" si="10"/>
        <v>2982.3650000000002</v>
      </c>
      <c r="S22" s="303">
        <f t="shared" si="10"/>
        <v>3082.0970000000002</v>
      </c>
      <c r="T22" s="303">
        <f t="shared" si="10"/>
        <v>0</v>
      </c>
      <c r="U22" s="303">
        <f t="shared" si="11"/>
        <v>0</v>
      </c>
      <c r="V22" s="132">
        <f t="shared" si="6"/>
        <v>6064.4620000000004</v>
      </c>
      <c r="W22" s="6"/>
    </row>
    <row r="23" spans="1:23" ht="13" x14ac:dyDescent="0.3">
      <c r="A23" s="1390">
        <v>2010</v>
      </c>
      <c r="B23" s="217">
        <f t="shared" si="7"/>
        <v>6875.0380000000014</v>
      </c>
      <c r="C23" s="218">
        <f>SUM(D23:E23)</f>
        <v>6727.0620000000017</v>
      </c>
      <c r="D23" s="181">
        <v>3188.2890000000007</v>
      </c>
      <c r="E23" s="148">
        <v>3538.7730000000006</v>
      </c>
      <c r="F23" s="148"/>
      <c r="G23" s="220"/>
      <c r="H23" s="299"/>
      <c r="I23" s="181"/>
      <c r="J23" s="181"/>
      <c r="K23" s="219">
        <f t="shared" si="9"/>
        <v>147.976</v>
      </c>
      <c r="L23" s="181">
        <v>49.071999999999989</v>
      </c>
      <c r="M23" s="148">
        <v>98.204000000000008</v>
      </c>
      <c r="N23" s="148"/>
      <c r="O23" s="300">
        <v>0.7</v>
      </c>
      <c r="P23" s="12"/>
      <c r="Q23" s="302">
        <v>2010</v>
      </c>
      <c r="R23" s="303">
        <f t="shared" si="10"/>
        <v>3188.2890000000007</v>
      </c>
      <c r="S23" s="303">
        <f t="shared" si="10"/>
        <v>3538.7730000000006</v>
      </c>
      <c r="T23" s="303">
        <f t="shared" si="10"/>
        <v>0</v>
      </c>
      <c r="U23" s="303">
        <f t="shared" si="11"/>
        <v>0</v>
      </c>
      <c r="V23" s="132">
        <f t="shared" si="6"/>
        <v>6727.0620000000017</v>
      </c>
      <c r="W23" s="6"/>
    </row>
    <row r="24" spans="1:23" ht="13" x14ac:dyDescent="0.3">
      <c r="A24" s="1392">
        <v>2011</v>
      </c>
      <c r="B24" s="221">
        <f t="shared" si="7"/>
        <v>6867.8209999999999</v>
      </c>
      <c r="C24" s="222">
        <f>SUM(D24:E24)</f>
        <v>6729.8410000000003</v>
      </c>
      <c r="D24" s="176">
        <v>3204.1890000000003</v>
      </c>
      <c r="E24" s="185">
        <v>3525.6520000000005</v>
      </c>
      <c r="F24" s="185"/>
      <c r="G24" s="224"/>
      <c r="H24" s="304"/>
      <c r="I24" s="176"/>
      <c r="J24" s="176"/>
      <c r="K24" s="223">
        <f t="shared" si="9"/>
        <v>137.97999999999999</v>
      </c>
      <c r="L24" s="176">
        <v>42.436</v>
      </c>
      <c r="M24" s="185">
        <v>94.843999999999994</v>
      </c>
      <c r="N24" s="185"/>
      <c r="O24" s="305">
        <v>0.7</v>
      </c>
      <c r="P24" s="12"/>
      <c r="Q24" s="302">
        <v>2011</v>
      </c>
      <c r="R24" s="303">
        <f t="shared" si="10"/>
        <v>3204.1890000000003</v>
      </c>
      <c r="S24" s="303">
        <f t="shared" si="10"/>
        <v>3525.6520000000005</v>
      </c>
      <c r="T24" s="303">
        <f t="shared" si="10"/>
        <v>0</v>
      </c>
      <c r="U24" s="303">
        <f t="shared" si="11"/>
        <v>0</v>
      </c>
      <c r="V24" s="132">
        <f t="shared" si="6"/>
        <v>6729.8410000000003</v>
      </c>
      <c r="W24" s="6"/>
    </row>
    <row r="25" spans="1:23" ht="13" x14ac:dyDescent="0.3">
      <c r="A25" s="1390">
        <v>2012</v>
      </c>
      <c r="B25" s="217">
        <f t="shared" si="7"/>
        <v>7754.9049999999997</v>
      </c>
      <c r="C25" s="218">
        <f>SUM(D25:G25)</f>
        <v>7617.5529999999999</v>
      </c>
      <c r="D25" s="181">
        <v>3228.1389999999997</v>
      </c>
      <c r="E25" s="148">
        <v>4309.4139999999998</v>
      </c>
      <c r="F25" s="148">
        <v>80</v>
      </c>
      <c r="G25" s="220"/>
      <c r="H25" s="299"/>
      <c r="I25" s="181"/>
      <c r="J25" s="181"/>
      <c r="K25" s="219">
        <f t="shared" si="9"/>
        <v>137.352</v>
      </c>
      <c r="L25" s="181">
        <v>42.457999999999998</v>
      </c>
      <c r="M25" s="148">
        <v>94.194000000000017</v>
      </c>
      <c r="N25" s="148"/>
      <c r="O25" s="300">
        <v>0.7</v>
      </c>
      <c r="P25" s="12"/>
      <c r="Q25" s="302">
        <v>2012</v>
      </c>
      <c r="R25" s="303">
        <f t="shared" si="10"/>
        <v>3228.1389999999997</v>
      </c>
      <c r="S25" s="303">
        <f t="shared" si="10"/>
        <v>4309.4139999999998</v>
      </c>
      <c r="T25" s="303">
        <f t="shared" si="10"/>
        <v>80</v>
      </c>
      <c r="U25" s="303">
        <f t="shared" si="11"/>
        <v>0</v>
      </c>
      <c r="V25" s="132">
        <f t="shared" si="6"/>
        <v>7617.5529999999999</v>
      </c>
      <c r="W25" s="6"/>
    </row>
    <row r="26" spans="1:23" ht="13" x14ac:dyDescent="0.3">
      <c r="A26" s="1393">
        <v>2013</v>
      </c>
      <c r="B26" s="238">
        <f t="shared" si="7"/>
        <v>8680.4209999999985</v>
      </c>
      <c r="C26" s="239">
        <f>SUM(D26:G26)</f>
        <v>8521.0119999999988</v>
      </c>
      <c r="D26" s="191">
        <v>3295.1579999999994</v>
      </c>
      <c r="E26" s="193">
        <v>5145.8539999999994</v>
      </c>
      <c r="F26" s="193">
        <v>80</v>
      </c>
      <c r="G26" s="241"/>
      <c r="H26" s="306"/>
      <c r="I26" s="191"/>
      <c r="J26" s="191"/>
      <c r="K26" s="240">
        <f t="shared" si="9"/>
        <v>159.40900000000005</v>
      </c>
      <c r="L26" s="191">
        <v>41.878</v>
      </c>
      <c r="M26" s="193">
        <v>116.83100000000005</v>
      </c>
      <c r="N26" s="193"/>
      <c r="O26" s="307">
        <v>0.7</v>
      </c>
      <c r="P26" s="12"/>
      <c r="Q26" s="302">
        <v>2013</v>
      </c>
      <c r="R26" s="303">
        <f t="shared" si="10"/>
        <v>3295.1579999999994</v>
      </c>
      <c r="S26" s="303">
        <f t="shared" si="10"/>
        <v>5145.8539999999994</v>
      </c>
      <c r="T26" s="303">
        <f t="shared" si="10"/>
        <v>80</v>
      </c>
      <c r="U26" s="303">
        <f t="shared" si="11"/>
        <v>0</v>
      </c>
      <c r="V26" s="132">
        <f t="shared" si="6"/>
        <v>8521.0119999999988</v>
      </c>
      <c r="W26" s="6"/>
    </row>
    <row r="27" spans="1:23" ht="13" x14ac:dyDescent="0.3">
      <c r="A27" s="1390">
        <v>2014</v>
      </c>
      <c r="B27" s="217">
        <f>+C27+K27</f>
        <v>9082.8000000000011</v>
      </c>
      <c r="C27" s="218">
        <f>SUM(D27:G27)</f>
        <v>8908.4320000000007</v>
      </c>
      <c r="D27" s="181">
        <v>3396.0649999999996</v>
      </c>
      <c r="E27" s="148">
        <v>5274.3670000000002</v>
      </c>
      <c r="F27" s="148">
        <v>96</v>
      </c>
      <c r="G27" s="220">
        <v>142</v>
      </c>
      <c r="H27" s="299"/>
      <c r="I27" s="181"/>
      <c r="J27" s="181"/>
      <c r="K27" s="219">
        <f t="shared" si="9"/>
        <v>174.36800000000002</v>
      </c>
      <c r="L27" s="181">
        <v>39.875999999999998</v>
      </c>
      <c r="M27" s="148">
        <v>133.79200000000003</v>
      </c>
      <c r="N27" s="148"/>
      <c r="O27" s="300">
        <v>0.7</v>
      </c>
      <c r="P27" s="12"/>
      <c r="Q27" s="302">
        <v>2014</v>
      </c>
      <c r="R27" s="303">
        <f t="shared" si="10"/>
        <v>3396.0649999999996</v>
      </c>
      <c r="S27" s="303">
        <f t="shared" si="10"/>
        <v>5274.3670000000002</v>
      </c>
      <c r="T27" s="303">
        <f t="shared" si="10"/>
        <v>96</v>
      </c>
      <c r="U27" s="303">
        <f t="shared" si="11"/>
        <v>142</v>
      </c>
      <c r="V27" s="132">
        <f t="shared" si="6"/>
        <v>8908.4320000000007</v>
      </c>
      <c r="W27" s="6"/>
    </row>
    <row r="28" spans="1:23" ht="13" x14ac:dyDescent="0.3">
      <c r="A28" s="1393">
        <v>2015</v>
      </c>
      <c r="B28" s="238">
        <f>+C28+K28</f>
        <v>10028.284</v>
      </c>
      <c r="C28" s="239">
        <f>SUM(D28:G28)</f>
        <v>9845.1579999999994</v>
      </c>
      <c r="D28" s="191">
        <v>3884.9669999999996</v>
      </c>
      <c r="E28" s="193">
        <v>5625.0909999999994</v>
      </c>
      <c r="F28" s="193">
        <v>96</v>
      </c>
      <c r="G28" s="241">
        <v>239.1</v>
      </c>
      <c r="H28" s="306"/>
      <c r="I28" s="191"/>
      <c r="J28" s="191"/>
      <c r="K28" s="240">
        <f t="shared" si="9"/>
        <v>183.12599999999998</v>
      </c>
      <c r="L28" s="191">
        <v>43.123999999999995</v>
      </c>
      <c r="M28" s="193">
        <v>139.30199999999999</v>
      </c>
      <c r="N28" s="193"/>
      <c r="O28" s="307">
        <v>0.7</v>
      </c>
      <c r="P28" s="12"/>
      <c r="Q28" s="302">
        <v>2015</v>
      </c>
      <c r="R28" s="303">
        <f t="shared" si="10"/>
        <v>3884.9669999999996</v>
      </c>
      <c r="S28" s="303">
        <f t="shared" si="10"/>
        <v>5625.0909999999994</v>
      </c>
      <c r="T28" s="303">
        <f t="shared" si="10"/>
        <v>96</v>
      </c>
      <c r="U28" s="303">
        <f t="shared" si="11"/>
        <v>239.1</v>
      </c>
      <c r="V28" s="132">
        <f t="shared" si="6"/>
        <v>9845.1579999999994</v>
      </c>
      <c r="W28" s="6"/>
    </row>
    <row r="29" spans="1:23" ht="13" x14ac:dyDescent="0.3">
      <c r="A29" s="1390">
        <v>2016</v>
      </c>
      <c r="B29" s="217">
        <f t="shared" ref="B29:B33" si="12">+C29+K29</f>
        <v>12450.708000000002</v>
      </c>
      <c r="C29" s="218">
        <f t="shared" ref="C29:C35" si="13">SUM(D29:G29)</f>
        <v>12265.121000000003</v>
      </c>
      <c r="D29" s="181">
        <v>4941.8230000000021</v>
      </c>
      <c r="E29" s="148">
        <v>6988.0480000000007</v>
      </c>
      <c r="F29" s="148">
        <v>96</v>
      </c>
      <c r="G29" s="220">
        <v>239.25</v>
      </c>
      <c r="H29" s="299"/>
      <c r="I29" s="181"/>
      <c r="J29" s="181"/>
      <c r="K29" s="219">
        <f t="shared" si="9"/>
        <v>185.58700000000005</v>
      </c>
      <c r="L29" s="181">
        <v>42.156999999999996</v>
      </c>
      <c r="M29" s="148">
        <v>142.73000000000005</v>
      </c>
      <c r="N29" s="148"/>
      <c r="O29" s="300">
        <v>0.7</v>
      </c>
      <c r="P29" s="12"/>
      <c r="Q29" s="302">
        <v>2016</v>
      </c>
      <c r="R29" s="303">
        <f t="shared" si="10"/>
        <v>4941.8230000000021</v>
      </c>
      <c r="S29" s="303">
        <f t="shared" si="10"/>
        <v>6988.0480000000007</v>
      </c>
      <c r="T29" s="303">
        <f t="shared" si="10"/>
        <v>96</v>
      </c>
      <c r="U29" s="303">
        <f t="shared" si="11"/>
        <v>239.25</v>
      </c>
      <c r="V29" s="132">
        <f t="shared" si="6"/>
        <v>12265.121000000003</v>
      </c>
      <c r="W29" s="6"/>
    </row>
    <row r="30" spans="1:23" ht="13" x14ac:dyDescent="0.3">
      <c r="A30" s="1393">
        <v>2017</v>
      </c>
      <c r="B30" s="238">
        <f t="shared" si="12"/>
        <v>12631.256179999998</v>
      </c>
      <c r="C30" s="239">
        <f t="shared" si="13"/>
        <v>12430.616096666665</v>
      </c>
      <c r="D30" s="191">
        <v>5017.9995966666675</v>
      </c>
      <c r="E30" s="193">
        <v>6932.8824999999979</v>
      </c>
      <c r="F30" s="193">
        <v>240.48400000000001</v>
      </c>
      <c r="G30" s="241">
        <v>239.25000000000003</v>
      </c>
      <c r="H30" s="306"/>
      <c r="I30" s="191"/>
      <c r="J30" s="191"/>
      <c r="K30" s="240">
        <f t="shared" si="9"/>
        <v>200.64008333333337</v>
      </c>
      <c r="L30" s="191">
        <v>23.633083333333328</v>
      </c>
      <c r="M30" s="193">
        <v>176.30700000000004</v>
      </c>
      <c r="N30" s="193"/>
      <c r="O30" s="307">
        <v>0.7</v>
      </c>
      <c r="P30" s="12"/>
      <c r="Q30" s="302">
        <v>2017</v>
      </c>
      <c r="R30" s="303">
        <f t="shared" si="10"/>
        <v>5017.9995966666675</v>
      </c>
      <c r="S30" s="303">
        <f t="shared" si="10"/>
        <v>6932.8824999999979</v>
      </c>
      <c r="T30" s="303">
        <f t="shared" si="10"/>
        <v>240.48400000000001</v>
      </c>
      <c r="U30" s="303">
        <f t="shared" si="11"/>
        <v>239.25000000000003</v>
      </c>
      <c r="V30" s="132">
        <f t="shared" si="6"/>
        <v>12430.616096666665</v>
      </c>
      <c r="W30" s="6"/>
    </row>
    <row r="31" spans="1:23" ht="13" x14ac:dyDescent="0.3">
      <c r="A31" s="1390">
        <v>2018</v>
      </c>
      <c r="B31" s="217">
        <f t="shared" si="12"/>
        <v>13145.596</v>
      </c>
      <c r="C31" s="218">
        <f t="shared" si="13"/>
        <v>12951.207</v>
      </c>
      <c r="D31" s="181">
        <v>5150.380000000001</v>
      </c>
      <c r="E31" s="148">
        <v>7148.7929999999997</v>
      </c>
      <c r="F31" s="148">
        <v>280.48400000000004</v>
      </c>
      <c r="G31" s="220">
        <v>371.55000000000007</v>
      </c>
      <c r="H31" s="299"/>
      <c r="I31" s="181"/>
      <c r="J31" s="181"/>
      <c r="K31" s="219">
        <f t="shared" si="9"/>
        <v>194.38900000000004</v>
      </c>
      <c r="L31" s="181">
        <v>24.090000000000003</v>
      </c>
      <c r="M31" s="148">
        <v>169.59900000000005</v>
      </c>
      <c r="N31" s="148"/>
      <c r="O31" s="300">
        <v>0.7</v>
      </c>
      <c r="P31" s="12"/>
      <c r="Q31" s="302">
        <v>2018</v>
      </c>
      <c r="R31" s="303">
        <f t="shared" si="10"/>
        <v>5150.380000000001</v>
      </c>
      <c r="S31" s="303">
        <f t="shared" si="10"/>
        <v>7148.7929999999997</v>
      </c>
      <c r="T31" s="303">
        <f t="shared" si="10"/>
        <v>280.48400000000004</v>
      </c>
      <c r="U31" s="303">
        <f t="shared" si="11"/>
        <v>371.55000000000007</v>
      </c>
      <c r="V31" s="132">
        <f t="shared" si="6"/>
        <v>12951.207</v>
      </c>
      <c r="W31" s="6"/>
    </row>
    <row r="32" spans="1:23" ht="13" x14ac:dyDescent="0.3">
      <c r="A32" s="1393">
        <v>2019</v>
      </c>
      <c r="B32" s="238">
        <f t="shared" si="12"/>
        <v>13159.247000000003</v>
      </c>
      <c r="C32" s="239">
        <f t="shared" si="13"/>
        <v>12968.243000000002</v>
      </c>
      <c r="D32" s="191">
        <v>5219.4500000000025</v>
      </c>
      <c r="E32" s="193">
        <v>7092.2179999999989</v>
      </c>
      <c r="F32" s="193">
        <v>285.02499999999998</v>
      </c>
      <c r="G32" s="241">
        <v>371.55000000000018</v>
      </c>
      <c r="H32" s="306"/>
      <c r="I32" s="191"/>
      <c r="J32" s="191"/>
      <c r="K32" s="240">
        <f t="shared" si="9"/>
        <v>191.00400000000008</v>
      </c>
      <c r="L32" s="191">
        <v>16.820999999999998</v>
      </c>
      <c r="M32" s="193">
        <v>173.4740000000001</v>
      </c>
      <c r="N32" s="245">
        <v>8.9999999999999993E-3</v>
      </c>
      <c r="O32" s="307">
        <v>0.7</v>
      </c>
      <c r="P32" s="12"/>
      <c r="Q32" s="302">
        <v>2019</v>
      </c>
      <c r="R32" s="303">
        <f t="shared" si="10"/>
        <v>5219.4500000000025</v>
      </c>
      <c r="S32" s="303">
        <f t="shared" si="10"/>
        <v>7092.2179999999989</v>
      </c>
      <c r="T32" s="303">
        <f t="shared" si="10"/>
        <v>285.02499999999998</v>
      </c>
      <c r="U32" s="303">
        <f t="shared" si="11"/>
        <v>371.55000000000018</v>
      </c>
      <c r="V32" s="132">
        <f t="shared" si="6"/>
        <v>12968.243000000002</v>
      </c>
      <c r="W32" s="6"/>
    </row>
    <row r="33" spans="1:25" ht="13" x14ac:dyDescent="0.3">
      <c r="A33" s="1390">
        <v>2020</v>
      </c>
      <c r="B33" s="217">
        <f t="shared" si="12"/>
        <v>13209.904000000002</v>
      </c>
      <c r="C33" s="218">
        <f t="shared" si="13"/>
        <v>13021.619000000002</v>
      </c>
      <c r="D33" s="181">
        <v>5236.4460000000017</v>
      </c>
      <c r="E33" s="148">
        <v>7091.8580000000002</v>
      </c>
      <c r="F33" s="148">
        <v>285.02499999999998</v>
      </c>
      <c r="G33" s="220">
        <v>408.29000000000019</v>
      </c>
      <c r="H33" s="299"/>
      <c r="I33" s="181"/>
      <c r="J33" s="181"/>
      <c r="K33" s="219">
        <f t="shared" si="9"/>
        <v>188.28499999999997</v>
      </c>
      <c r="L33" s="181">
        <v>15.922999999999998</v>
      </c>
      <c r="M33" s="148">
        <v>171.65299999999999</v>
      </c>
      <c r="N33" s="229">
        <v>8.9999999999999993E-3</v>
      </c>
      <c r="O33" s="300">
        <v>0.7</v>
      </c>
      <c r="P33" s="12"/>
      <c r="Q33" s="302">
        <v>2020</v>
      </c>
      <c r="R33" s="303">
        <f t="shared" si="10"/>
        <v>5236.4460000000017</v>
      </c>
      <c r="S33" s="303">
        <f t="shared" si="10"/>
        <v>7091.8580000000002</v>
      </c>
      <c r="T33" s="303">
        <f t="shared" si="10"/>
        <v>285.02499999999998</v>
      </c>
      <c r="U33" s="303">
        <f t="shared" si="11"/>
        <v>408.29000000000019</v>
      </c>
      <c r="V33" s="132">
        <f t="shared" si="6"/>
        <v>13021.619000000002</v>
      </c>
      <c r="W33" s="6"/>
    </row>
    <row r="34" spans="1:25" ht="13" x14ac:dyDescent="0.3">
      <c r="A34" s="1393">
        <v>2021</v>
      </c>
      <c r="B34" s="238">
        <f t="shared" ref="B34" si="14">+C34+K34</f>
        <v>13339.100000000004</v>
      </c>
      <c r="C34" s="239">
        <f t="shared" ref="C34" si="15">SUM(D34:G34)</f>
        <v>13154.703000000005</v>
      </c>
      <c r="D34" s="191">
        <v>5347.8810000000021</v>
      </c>
      <c r="E34" s="193">
        <v>7113.2250000000022</v>
      </c>
      <c r="F34" s="193">
        <v>285.30700000000002</v>
      </c>
      <c r="G34" s="241">
        <v>408.29000000000019</v>
      </c>
      <c r="H34" s="306"/>
      <c r="I34" s="191"/>
      <c r="J34" s="191"/>
      <c r="K34" s="240">
        <f t="shared" ref="K34" si="16">SUM(L34:O34)</f>
        <v>184.39699999999991</v>
      </c>
      <c r="L34" s="191">
        <v>17.205999999999996</v>
      </c>
      <c r="M34" s="193">
        <v>166.48099999999994</v>
      </c>
      <c r="N34" s="245">
        <v>0.01</v>
      </c>
      <c r="O34" s="307">
        <v>0.7</v>
      </c>
      <c r="P34" s="12"/>
      <c r="Q34" s="302">
        <v>2021</v>
      </c>
      <c r="R34" s="303">
        <f t="shared" ref="R34:R35" si="17">+D34</f>
        <v>5347.8810000000021</v>
      </c>
      <c r="S34" s="303">
        <f t="shared" ref="S34:S35" si="18">+E34</f>
        <v>7113.2250000000022</v>
      </c>
      <c r="T34" s="303">
        <f t="shared" ref="T34:T35" si="19">+F34</f>
        <v>285.30700000000002</v>
      </c>
      <c r="U34" s="303">
        <f t="shared" ref="U34:U35" si="20">+SUM(G34)</f>
        <v>408.29000000000019</v>
      </c>
      <c r="V34" s="132">
        <f t="shared" ref="V34:V35" si="21">+SUM(R34:U34)</f>
        <v>13154.703000000005</v>
      </c>
      <c r="W34" s="6"/>
    </row>
    <row r="35" spans="1:25" ht="13.5" thickBot="1" x14ac:dyDescent="0.35">
      <c r="A35" s="1394">
        <v>2022</v>
      </c>
      <c r="B35" s="217">
        <f>+C35+K35</f>
        <v>13698.298999999997</v>
      </c>
      <c r="C35" s="218">
        <f t="shared" si="13"/>
        <v>13507.625999999997</v>
      </c>
      <c r="D35" s="181">
        <v>5359.3209999999972</v>
      </c>
      <c r="E35" s="148">
        <v>7324.7079999999978</v>
      </c>
      <c r="F35" s="148">
        <v>285.30700000000002</v>
      </c>
      <c r="G35" s="220">
        <v>538.29</v>
      </c>
      <c r="H35" s="299"/>
      <c r="I35" s="181"/>
      <c r="J35" s="181"/>
      <c r="K35" s="219">
        <f t="shared" si="9"/>
        <v>190.673</v>
      </c>
      <c r="L35" s="181">
        <v>17.570999999999998</v>
      </c>
      <c r="M35" s="148">
        <v>172.39200000000002</v>
      </c>
      <c r="N35" s="229">
        <v>0.01</v>
      </c>
      <c r="O35" s="300">
        <v>0.7</v>
      </c>
      <c r="P35" s="12"/>
      <c r="Q35" s="302">
        <v>2022</v>
      </c>
      <c r="R35" s="303">
        <f t="shared" si="17"/>
        <v>5359.3209999999972</v>
      </c>
      <c r="S35" s="303">
        <f t="shared" si="18"/>
        <v>7324.7079999999978</v>
      </c>
      <c r="T35" s="303">
        <f t="shared" si="19"/>
        <v>285.30700000000002</v>
      </c>
      <c r="U35" s="303">
        <f t="shared" si="20"/>
        <v>538.29</v>
      </c>
      <c r="V35" s="132">
        <f t="shared" si="21"/>
        <v>13507.625999999997</v>
      </c>
      <c r="W35" s="6"/>
    </row>
    <row r="36" spans="1:25" s="94" customFormat="1" ht="21" customHeight="1" x14ac:dyDescent="0.25">
      <c r="A36" s="813" t="s">
        <v>161</v>
      </c>
      <c r="B36" s="844">
        <f t="shared" ref="B36:G36" si="22">(B35/B34)-1</f>
        <v>2.6928278519539717E-2</v>
      </c>
      <c r="C36" s="845">
        <f t="shared" si="22"/>
        <v>2.6828655880713592E-2</v>
      </c>
      <c r="D36" s="1154">
        <f t="shared" si="22"/>
        <v>2.1391650262962969E-3</v>
      </c>
      <c r="E36" s="1154">
        <f t="shared" si="22"/>
        <v>2.9730958882925096E-2</v>
      </c>
      <c r="F36" s="815">
        <f t="shared" si="22"/>
        <v>0</v>
      </c>
      <c r="G36" s="1186">
        <f t="shared" si="22"/>
        <v>0.31840113644713242</v>
      </c>
      <c r="H36" s="1155"/>
      <c r="I36" s="1156"/>
      <c r="J36" s="846"/>
      <c r="K36" s="814">
        <f>(K35/K34)-1</f>
        <v>3.4035260877346651E-2</v>
      </c>
      <c r="L36" s="1154">
        <f>(L35/L34)-1</f>
        <v>2.1213530163896488E-2</v>
      </c>
      <c r="M36" s="1154">
        <f>(M35/M34)-1</f>
        <v>3.5505553186250038E-2</v>
      </c>
      <c r="N36" s="1154">
        <f>(N35/N34)-1</f>
        <v>0</v>
      </c>
      <c r="O36" s="1164">
        <f>(O35/O34)-1</f>
        <v>0</v>
      </c>
    </row>
    <row r="37" spans="1:25" s="94" customFormat="1" ht="21" customHeight="1" x14ac:dyDescent="0.25">
      <c r="A37" s="817" t="s">
        <v>162</v>
      </c>
      <c r="B37" s="812">
        <f t="shared" ref="B37:G37" si="23">((B35/B30)^(1/5))-1</f>
        <v>1.6351704012819823E-2</v>
      </c>
      <c r="C37" s="843">
        <f t="shared" si="23"/>
        <v>1.675724258500888E-2</v>
      </c>
      <c r="D37" s="837">
        <f t="shared" si="23"/>
        <v>1.3248173670284524E-2</v>
      </c>
      <c r="E37" s="837">
        <f t="shared" si="23"/>
        <v>1.1056196692426745E-2</v>
      </c>
      <c r="F37" s="1187">
        <f t="shared" si="23"/>
        <v>3.4773380646377028E-2</v>
      </c>
      <c r="G37" s="1188">
        <f t="shared" si="23"/>
        <v>0.17606919097871088</v>
      </c>
      <c r="H37" s="901"/>
      <c r="I37" s="901"/>
      <c r="J37" s="847"/>
      <c r="K37" s="831">
        <f>((K35/K30)^(1/5))-1</f>
        <v>-1.0138803033764021E-2</v>
      </c>
      <c r="L37" s="796">
        <f>((L35/L30)^(1/5))-1</f>
        <v>-5.7556727831293508E-2</v>
      </c>
      <c r="M37" s="1181">
        <f>((M35/M30)^(1/5))-1</f>
        <v>-4.4810978307529004E-3</v>
      </c>
      <c r="N37" s="796"/>
      <c r="O37" s="798">
        <f>((O35/O30)^(1/5))-1</f>
        <v>0</v>
      </c>
      <c r="Q37" s="251" t="s">
        <v>108</v>
      </c>
    </row>
    <row r="38" spans="1:25" s="94" customFormat="1" ht="21" customHeight="1" x14ac:dyDescent="0.25">
      <c r="A38" s="823" t="s">
        <v>163</v>
      </c>
      <c r="B38" s="848">
        <f>(B35/B25)-1</f>
        <v>0.7664044885140433</v>
      </c>
      <c r="C38" s="849">
        <f>(C35/C25)-1</f>
        <v>0.77322376358917322</v>
      </c>
      <c r="D38" s="1158">
        <f>(D35/D25)-1</f>
        <v>0.6601890439042426</v>
      </c>
      <c r="E38" s="1158">
        <f>(E35/E25)-1</f>
        <v>0.69969930946527725</v>
      </c>
      <c r="F38" s="1189">
        <f>(F35/F25)-1</f>
        <v>2.5663375000000004</v>
      </c>
      <c r="G38" s="1159"/>
      <c r="H38" s="901"/>
      <c r="I38" s="1160"/>
      <c r="J38" s="847"/>
      <c r="K38" s="824">
        <f>(K35/K25)-1</f>
        <v>0.38820694274564627</v>
      </c>
      <c r="L38" s="1158">
        <f>(L35/L25)-1</f>
        <v>-0.58615573036883517</v>
      </c>
      <c r="M38" s="1158">
        <f>(M35/M25)-1</f>
        <v>0.83018026625899721</v>
      </c>
      <c r="N38" s="1158"/>
      <c r="O38" s="1159">
        <f>(O35/O25)-1</f>
        <v>0</v>
      </c>
    </row>
    <row r="39" spans="1:25" s="94" customFormat="1" ht="21" customHeight="1" thickBot="1" x14ac:dyDescent="0.3">
      <c r="A39" s="826" t="s">
        <v>164</v>
      </c>
      <c r="B39" s="850">
        <f>((B35/B25)^(1/10))-1</f>
        <v>5.8544246459891536E-2</v>
      </c>
      <c r="C39" s="851">
        <f>((C35/C25)^(1/10))-1</f>
        <v>5.8952193491401239E-2</v>
      </c>
      <c r="D39" s="1162">
        <f>((D35/D25)^(1/10))-1</f>
        <v>5.2000035199841532E-2</v>
      </c>
      <c r="E39" s="1162">
        <f>((E35/E25)^(1/10))-1</f>
        <v>5.4477238785706872E-2</v>
      </c>
      <c r="F39" s="1191">
        <f>((F35/F25)^(1/10))-1</f>
        <v>0.13559178994310916</v>
      </c>
      <c r="G39" s="1163"/>
      <c r="H39" s="1160"/>
      <c r="I39" s="1160"/>
      <c r="J39" s="847"/>
      <c r="K39" s="827">
        <f>((K35/K25)^(1/10))-1</f>
        <v>3.3345187484963512E-2</v>
      </c>
      <c r="L39" s="1162">
        <f>((L35/L25)^(1/10))-1</f>
        <v>-8.4446568721823101E-2</v>
      </c>
      <c r="M39" s="1162">
        <f>((M35/M25)^(1/10))-1</f>
        <v>6.2305394385426149E-2</v>
      </c>
      <c r="N39" s="1162"/>
      <c r="O39" s="1163">
        <f>((O35/O25)^(1/10))-1</f>
        <v>0</v>
      </c>
      <c r="Q39" s="852">
        <v>1995</v>
      </c>
      <c r="R39" s="853">
        <f t="shared" ref="R39:S41" si="24">+R7+D75</f>
        <v>2357.0650000000001</v>
      </c>
      <c r="S39" s="853">
        <f t="shared" si="24"/>
        <v>884.12099999999998</v>
      </c>
      <c r="T39" s="853">
        <f t="shared" ref="T39:U41" si="25">+T7</f>
        <v>0</v>
      </c>
      <c r="U39" s="853">
        <f t="shared" si="25"/>
        <v>0</v>
      </c>
    </row>
    <row r="40" spans="1:25" ht="13" x14ac:dyDescent="0.3">
      <c r="A40" s="22"/>
      <c r="B40" s="248"/>
      <c r="C40" s="248"/>
      <c r="H40" s="308"/>
      <c r="I40" s="247"/>
      <c r="J40" s="309"/>
      <c r="K40" s="248"/>
      <c r="Q40" s="302">
        <v>1996</v>
      </c>
      <c r="R40" s="12">
        <f t="shared" si="24"/>
        <v>2090.576</v>
      </c>
      <c r="S40" s="12">
        <f t="shared" si="24"/>
        <v>847.88700000000006</v>
      </c>
      <c r="T40" s="12">
        <f t="shared" si="25"/>
        <v>0</v>
      </c>
      <c r="U40" s="12">
        <f t="shared" si="25"/>
        <v>0</v>
      </c>
    </row>
    <row r="41" spans="1:25" ht="13" x14ac:dyDescent="0.3">
      <c r="A41" s="263"/>
      <c r="I41" s="258"/>
      <c r="J41" s="310"/>
      <c r="Q41" s="302">
        <v>1997</v>
      </c>
      <c r="R41" s="12">
        <f t="shared" si="24"/>
        <v>2079.4259999999999</v>
      </c>
      <c r="S41" s="12">
        <f t="shared" si="24"/>
        <v>1561.0219999999999</v>
      </c>
      <c r="T41" s="12">
        <f t="shared" si="25"/>
        <v>0</v>
      </c>
      <c r="U41" s="12">
        <f t="shared" si="25"/>
        <v>0</v>
      </c>
      <c r="X41" t="s">
        <v>81</v>
      </c>
      <c r="Y41" t="s">
        <v>84</v>
      </c>
    </row>
    <row r="42" spans="1:25" ht="13" x14ac:dyDescent="0.3">
      <c r="A42" s="263"/>
      <c r="I42" s="258"/>
      <c r="J42" s="310"/>
      <c r="Q42" s="302"/>
      <c r="R42" s="12"/>
      <c r="S42" s="12"/>
      <c r="T42" s="12"/>
      <c r="U42" s="12"/>
      <c r="W42">
        <v>1995</v>
      </c>
      <c r="X42" s="132">
        <f>+C7+H7</f>
        <v>2861.116</v>
      </c>
      <c r="Y42" s="132">
        <f>+K7</f>
        <v>334.27599999999995</v>
      </c>
    </row>
    <row r="43" spans="1:25" ht="13" x14ac:dyDescent="0.3">
      <c r="A43" s="263"/>
      <c r="I43" s="258"/>
      <c r="J43" s="310"/>
      <c r="Q43" s="302"/>
      <c r="R43" s="12"/>
      <c r="S43" s="12"/>
      <c r="T43" s="12"/>
      <c r="U43" s="12"/>
      <c r="W43">
        <v>2000</v>
      </c>
      <c r="X43" s="132">
        <f>+C12+H12</f>
        <v>4501.3870000000006</v>
      </c>
      <c r="Y43" s="132">
        <f>+K12</f>
        <v>274.54799999999994</v>
      </c>
    </row>
    <row r="44" spans="1:25" ht="13" x14ac:dyDescent="0.3">
      <c r="A44" s="263"/>
      <c r="I44" s="258"/>
      <c r="J44" s="310"/>
      <c r="Q44" s="302"/>
      <c r="R44" s="12"/>
      <c r="S44" s="12"/>
      <c r="T44" s="12"/>
      <c r="U44" s="12"/>
      <c r="W44">
        <v>2005</v>
      </c>
      <c r="X44" s="132">
        <v>4619.7579999999998</v>
      </c>
      <c r="Y44" s="132">
        <v>178.90499999999992</v>
      </c>
    </row>
    <row r="45" spans="1:25" ht="13" x14ac:dyDescent="0.3">
      <c r="A45" s="263"/>
      <c r="I45" s="258"/>
      <c r="J45" s="310"/>
      <c r="Q45" s="302"/>
      <c r="R45" s="12"/>
      <c r="S45" s="12"/>
      <c r="T45" s="12"/>
      <c r="U45" s="12"/>
      <c r="W45">
        <v>2010</v>
      </c>
      <c r="X45" s="132">
        <v>6727.0620000000017</v>
      </c>
      <c r="Y45" s="132">
        <v>147.976</v>
      </c>
    </row>
    <row r="46" spans="1:25" ht="13" x14ac:dyDescent="0.3">
      <c r="A46" s="263"/>
      <c r="I46" s="258"/>
      <c r="J46" s="310"/>
      <c r="Q46" s="302"/>
      <c r="R46" s="12"/>
      <c r="S46" s="12"/>
      <c r="T46" s="12"/>
      <c r="U46" s="12"/>
      <c r="W46">
        <v>2011</v>
      </c>
      <c r="X46" s="132">
        <v>6729.8410000000003</v>
      </c>
      <c r="Y46" s="132">
        <v>137.97999999999999</v>
      </c>
    </row>
    <row r="47" spans="1:25" ht="13" x14ac:dyDescent="0.3">
      <c r="A47" s="263"/>
      <c r="I47" s="258"/>
      <c r="J47" s="310"/>
      <c r="Q47" s="302"/>
      <c r="R47" s="12"/>
      <c r="S47" s="12"/>
      <c r="T47" s="12"/>
      <c r="U47" s="12"/>
      <c r="W47">
        <v>2012</v>
      </c>
      <c r="X47" s="132">
        <v>7617.5529999999999</v>
      </c>
      <c r="Y47" s="132">
        <v>137.352</v>
      </c>
    </row>
    <row r="48" spans="1:25" ht="13" x14ac:dyDescent="0.3">
      <c r="A48" s="263"/>
      <c r="I48" s="258"/>
      <c r="J48" s="310"/>
      <c r="Q48" s="302"/>
      <c r="R48" s="12"/>
      <c r="S48" s="12"/>
      <c r="T48" s="12"/>
      <c r="U48" s="12"/>
      <c r="W48">
        <v>2013</v>
      </c>
      <c r="X48" s="132">
        <v>8521.0119999999988</v>
      </c>
      <c r="Y48" s="132">
        <v>159.40900000000005</v>
      </c>
    </row>
    <row r="49" spans="1:25" ht="13" x14ac:dyDescent="0.3">
      <c r="A49" s="263"/>
      <c r="I49" s="258"/>
      <c r="J49" s="310"/>
      <c r="Q49" s="302"/>
      <c r="R49" s="12"/>
      <c r="S49" s="12"/>
      <c r="T49" s="12"/>
      <c r="U49" s="12"/>
      <c r="W49">
        <v>2014</v>
      </c>
      <c r="X49" s="132">
        <v>8908.4320000000007</v>
      </c>
      <c r="Y49" s="132">
        <v>174.36800000000002</v>
      </c>
    </row>
    <row r="50" spans="1:25" ht="13" x14ac:dyDescent="0.3">
      <c r="A50" s="263"/>
      <c r="I50" s="258"/>
      <c r="J50" s="310"/>
      <c r="Q50" s="302"/>
      <c r="R50" s="12"/>
      <c r="S50" s="12"/>
      <c r="T50" s="12"/>
      <c r="U50" s="12"/>
      <c r="W50">
        <v>2015</v>
      </c>
      <c r="X50" s="132">
        <v>9845.1579999999994</v>
      </c>
      <c r="Y50" s="132">
        <v>183.12599999999998</v>
      </c>
    </row>
    <row r="51" spans="1:25" ht="13" x14ac:dyDescent="0.3">
      <c r="A51" s="263"/>
      <c r="I51" s="258"/>
      <c r="J51" s="310"/>
      <c r="Q51" s="302"/>
      <c r="R51" s="12"/>
      <c r="S51" s="12"/>
      <c r="T51" s="12"/>
      <c r="U51" s="12"/>
      <c r="W51">
        <v>2016</v>
      </c>
      <c r="X51" s="132">
        <v>12265.121000000003</v>
      </c>
      <c r="Y51" s="132">
        <v>185.58700000000005</v>
      </c>
    </row>
    <row r="52" spans="1:25" ht="13" x14ac:dyDescent="0.3">
      <c r="A52" s="263"/>
      <c r="I52" s="258"/>
      <c r="J52" s="310"/>
      <c r="Q52" s="302"/>
      <c r="R52" s="12"/>
      <c r="S52" s="12"/>
      <c r="T52" s="12"/>
      <c r="U52" s="12"/>
      <c r="W52">
        <v>2017</v>
      </c>
      <c r="X52" s="132">
        <v>12430.616096666665</v>
      </c>
      <c r="Y52" s="132">
        <v>200.64008333333337</v>
      </c>
    </row>
    <row r="53" spans="1:25" ht="13" x14ac:dyDescent="0.3">
      <c r="A53" s="263"/>
      <c r="I53" s="258"/>
      <c r="J53" s="310"/>
      <c r="Q53" s="302"/>
      <c r="R53" s="12"/>
      <c r="S53" s="12"/>
      <c r="T53" s="12"/>
      <c r="U53" s="12"/>
      <c r="W53">
        <v>2018</v>
      </c>
      <c r="X53" s="132">
        <v>12951.207</v>
      </c>
      <c r="Y53" s="132">
        <v>194.38900000000004</v>
      </c>
    </row>
    <row r="54" spans="1:25" ht="13" x14ac:dyDescent="0.3">
      <c r="A54" s="263"/>
      <c r="I54" s="258"/>
      <c r="J54" s="310"/>
      <c r="Q54" s="302"/>
      <c r="R54" s="12"/>
      <c r="S54" s="12"/>
      <c r="T54" s="12"/>
      <c r="U54" s="12"/>
      <c r="W54">
        <v>2019</v>
      </c>
      <c r="X54" s="132">
        <v>12968.243000000002</v>
      </c>
      <c r="Y54" s="132">
        <v>191.00400000000008</v>
      </c>
    </row>
    <row r="55" spans="1:25" ht="13" x14ac:dyDescent="0.3">
      <c r="A55" s="263"/>
      <c r="I55" s="258"/>
      <c r="J55" s="310"/>
      <c r="Q55" s="302"/>
      <c r="R55" s="12"/>
      <c r="S55" s="12"/>
      <c r="T55" s="12"/>
      <c r="U55" s="12"/>
      <c r="W55">
        <v>2020</v>
      </c>
      <c r="X55" s="132">
        <v>13021.619000000002</v>
      </c>
      <c r="Y55" s="132">
        <v>188.28499999999997</v>
      </c>
    </row>
    <row r="56" spans="1:25" ht="13" x14ac:dyDescent="0.3">
      <c r="A56" s="263"/>
      <c r="I56" s="258"/>
      <c r="J56" s="310"/>
      <c r="Q56" s="302"/>
      <c r="R56" s="12"/>
      <c r="S56" s="12"/>
      <c r="T56" s="12"/>
      <c r="U56" s="12"/>
      <c r="W56">
        <v>2021</v>
      </c>
      <c r="X56" s="132">
        <v>13154.703000000005</v>
      </c>
      <c r="Y56" s="132">
        <v>184.39699999999991</v>
      </c>
    </row>
    <row r="57" spans="1:25" ht="13" x14ac:dyDescent="0.3">
      <c r="A57" s="263"/>
      <c r="I57" s="258"/>
      <c r="J57" s="310"/>
      <c r="Q57" s="302"/>
      <c r="R57" s="12"/>
      <c r="S57" s="12"/>
      <c r="T57" s="12"/>
      <c r="U57" s="12"/>
      <c r="W57">
        <v>2022</v>
      </c>
      <c r="X57" s="132">
        <v>13507.625999999997</v>
      </c>
      <c r="Y57" s="132">
        <v>190.673</v>
      </c>
    </row>
    <row r="58" spans="1:25" ht="13" x14ac:dyDescent="0.3">
      <c r="A58" s="263"/>
      <c r="I58" s="258"/>
      <c r="J58" s="310"/>
      <c r="Q58" s="302"/>
      <c r="R58" s="12"/>
      <c r="S58" s="12"/>
      <c r="T58" s="12"/>
      <c r="U58" s="12"/>
      <c r="X58" s="132"/>
      <c r="Y58" s="132"/>
    </row>
    <row r="59" spans="1:25" ht="13" x14ac:dyDescent="0.3">
      <c r="A59" s="263"/>
      <c r="I59" s="258"/>
      <c r="J59" s="310"/>
      <c r="Q59" s="302"/>
      <c r="R59" s="12"/>
      <c r="S59" s="12"/>
      <c r="T59" s="12"/>
      <c r="U59" s="12"/>
      <c r="X59" s="132"/>
      <c r="Y59" s="132"/>
    </row>
    <row r="60" spans="1:25" ht="13" x14ac:dyDescent="0.3">
      <c r="A60" s="263"/>
      <c r="I60" s="258"/>
      <c r="J60" s="310"/>
      <c r="Q60" s="302"/>
      <c r="R60" s="12"/>
      <c r="S60" s="12"/>
      <c r="T60" s="12"/>
      <c r="U60" s="12"/>
      <c r="X60" s="132"/>
      <c r="Y60" s="132"/>
    </row>
    <row r="61" spans="1:25" ht="13" x14ac:dyDescent="0.3">
      <c r="A61" s="263"/>
      <c r="I61" s="258"/>
      <c r="J61" s="310"/>
      <c r="Q61" s="302"/>
      <c r="R61" s="12"/>
      <c r="S61" s="12"/>
      <c r="T61" s="12"/>
      <c r="U61" s="12"/>
      <c r="X61" s="132"/>
      <c r="Y61" s="132"/>
    </row>
    <row r="62" spans="1:25" ht="13" x14ac:dyDescent="0.3">
      <c r="A62" s="263"/>
      <c r="I62" s="258"/>
      <c r="J62" s="310"/>
      <c r="Q62" s="302"/>
      <c r="R62" s="12"/>
      <c r="S62" s="12"/>
      <c r="T62" s="12"/>
      <c r="U62" s="12"/>
      <c r="X62" s="132"/>
      <c r="Y62" s="132"/>
    </row>
    <row r="63" spans="1:25" ht="13" x14ac:dyDescent="0.3">
      <c r="A63" s="263"/>
      <c r="I63" s="258"/>
      <c r="J63" s="310"/>
      <c r="Q63" s="302"/>
      <c r="R63" s="12"/>
      <c r="S63" s="12"/>
      <c r="T63" s="12"/>
      <c r="U63" s="12"/>
      <c r="X63" s="132"/>
      <c r="Y63" s="132"/>
    </row>
    <row r="64" spans="1:25" ht="13" x14ac:dyDescent="0.3">
      <c r="A64" s="263"/>
      <c r="I64" s="258"/>
      <c r="J64" s="310"/>
      <c r="Q64" s="302"/>
      <c r="R64" s="12"/>
      <c r="S64" s="12"/>
      <c r="T64" s="12"/>
      <c r="U64" s="12"/>
      <c r="X64" s="132"/>
      <c r="Y64" s="132"/>
    </row>
    <row r="65" spans="1:25" ht="13" x14ac:dyDescent="0.3">
      <c r="A65" s="263"/>
      <c r="I65" s="258"/>
      <c r="J65" s="310"/>
      <c r="Q65" s="302"/>
      <c r="R65" s="12"/>
      <c r="S65" s="12"/>
      <c r="T65" s="12"/>
      <c r="U65" s="12"/>
      <c r="X65" s="132"/>
      <c r="Y65" s="132"/>
    </row>
    <row r="66" spans="1:25" ht="13" x14ac:dyDescent="0.3">
      <c r="A66" s="263"/>
      <c r="I66" s="258"/>
      <c r="J66" s="310"/>
      <c r="Q66" s="302"/>
      <c r="R66" s="12"/>
      <c r="S66" s="12"/>
      <c r="T66" s="12"/>
      <c r="U66" s="12"/>
    </row>
    <row r="67" spans="1:25" ht="13" x14ac:dyDescent="0.3">
      <c r="A67" s="263"/>
      <c r="I67" s="258"/>
      <c r="J67" s="310"/>
      <c r="Q67" s="302"/>
      <c r="R67" s="12"/>
      <c r="S67" s="12"/>
      <c r="T67" s="12"/>
      <c r="U67" s="12"/>
    </row>
    <row r="68" spans="1:25" ht="13" x14ac:dyDescent="0.3">
      <c r="A68" s="263"/>
      <c r="I68" s="258"/>
      <c r="J68" s="310"/>
      <c r="Q68" s="302"/>
      <c r="R68" s="12"/>
      <c r="S68" s="12"/>
      <c r="T68" s="12"/>
      <c r="U68" s="12"/>
    </row>
    <row r="69" spans="1:25" x14ac:dyDescent="0.25">
      <c r="Q69" s="302">
        <v>2003</v>
      </c>
      <c r="R69" s="12">
        <f t="shared" ref="R69:R88" si="26">+R16+D84</f>
        <v>2672.1550000000002</v>
      </c>
      <c r="S69" s="12">
        <f t="shared" ref="S69:S88" si="27">+S16+E84</f>
        <v>1925.7750000000001</v>
      </c>
      <c r="T69" s="12">
        <f t="shared" ref="T69:U88" si="28">+T16</f>
        <v>0</v>
      </c>
      <c r="U69" s="12">
        <f t="shared" si="28"/>
        <v>0</v>
      </c>
    </row>
    <row r="70" spans="1:25" ht="15.5" x14ac:dyDescent="0.35">
      <c r="A70" s="70" t="s">
        <v>199</v>
      </c>
      <c r="Q70" s="302">
        <v>2004</v>
      </c>
      <c r="R70" s="12">
        <f t="shared" si="26"/>
        <v>2695.6130700000008</v>
      </c>
      <c r="S70" s="12">
        <f t="shared" si="27"/>
        <v>1912.0929999999998</v>
      </c>
      <c r="T70" s="12">
        <f t="shared" si="28"/>
        <v>0</v>
      </c>
      <c r="U70" s="12">
        <f t="shared" si="28"/>
        <v>0</v>
      </c>
    </row>
    <row r="71" spans="1:25" x14ac:dyDescent="0.25">
      <c r="A71" s="102"/>
      <c r="Q71" s="302">
        <v>2005</v>
      </c>
      <c r="R71" s="12">
        <f t="shared" si="26"/>
        <v>2861.614</v>
      </c>
      <c r="S71" s="12">
        <f t="shared" si="27"/>
        <v>1885.1019999999999</v>
      </c>
      <c r="T71" s="12">
        <f t="shared" si="28"/>
        <v>0</v>
      </c>
      <c r="U71" s="12">
        <f t="shared" si="28"/>
        <v>0</v>
      </c>
    </row>
    <row r="72" spans="1:25" ht="13" thickBot="1" x14ac:dyDescent="0.3">
      <c r="Q72" s="302">
        <v>2006</v>
      </c>
      <c r="R72" s="12">
        <f t="shared" si="26"/>
        <v>2871.6</v>
      </c>
      <c r="S72" s="12">
        <f t="shared" si="27"/>
        <v>2128.9540000000002</v>
      </c>
      <c r="T72" s="12">
        <f t="shared" si="28"/>
        <v>0</v>
      </c>
      <c r="U72" s="12">
        <f t="shared" si="28"/>
        <v>0</v>
      </c>
    </row>
    <row r="73" spans="1:25" x14ac:dyDescent="0.25">
      <c r="A73" s="1503" t="s">
        <v>39</v>
      </c>
      <c r="B73" s="1505" t="s">
        <v>53</v>
      </c>
      <c r="C73" s="1498" t="s">
        <v>87</v>
      </c>
      <c r="D73" s="1499"/>
      <c r="E73" s="1500"/>
      <c r="F73" s="1498" t="s">
        <v>101</v>
      </c>
      <c r="G73" s="1499"/>
      <c r="H73" s="1499"/>
      <c r="I73" s="1501" t="s">
        <v>102</v>
      </c>
      <c r="J73" s="1499"/>
      <c r="K73" s="1502"/>
      <c r="O73" s="311"/>
      <c r="Q73" s="302">
        <v>2007</v>
      </c>
      <c r="R73" s="12">
        <f t="shared" si="26"/>
        <v>2887.2049999999981</v>
      </c>
      <c r="S73" s="12">
        <f t="shared" si="27"/>
        <v>2586.7150000000006</v>
      </c>
      <c r="T73" s="12">
        <f t="shared" si="28"/>
        <v>0</v>
      </c>
      <c r="U73" s="12">
        <f t="shared" si="28"/>
        <v>0</v>
      </c>
    </row>
    <row r="74" spans="1:25" ht="13.5" thickBot="1" x14ac:dyDescent="0.35">
      <c r="A74" s="1504"/>
      <c r="B74" s="1506"/>
      <c r="C74" s="1057" t="s">
        <v>53</v>
      </c>
      <c r="D74" s="1058" t="s">
        <v>90</v>
      </c>
      <c r="E74" s="1057" t="s">
        <v>91</v>
      </c>
      <c r="F74" s="1057" t="s">
        <v>168</v>
      </c>
      <c r="G74" s="1057" t="s">
        <v>90</v>
      </c>
      <c r="H74" s="1058" t="s">
        <v>91</v>
      </c>
      <c r="I74" s="1279" t="s">
        <v>53</v>
      </c>
      <c r="J74" s="1057" t="s">
        <v>90</v>
      </c>
      <c r="K74" s="1059" t="s">
        <v>91</v>
      </c>
      <c r="Q74" s="302">
        <v>2008</v>
      </c>
      <c r="R74" s="12">
        <f t="shared" si="26"/>
        <v>2901.5490000000004</v>
      </c>
      <c r="S74" s="12">
        <f t="shared" si="27"/>
        <v>2454.8609999999999</v>
      </c>
      <c r="T74" s="12">
        <f t="shared" si="28"/>
        <v>0</v>
      </c>
      <c r="U74" s="12">
        <f t="shared" si="28"/>
        <v>0</v>
      </c>
    </row>
    <row r="75" spans="1:25" ht="13" x14ac:dyDescent="0.3">
      <c r="A75" s="1399">
        <v>1995</v>
      </c>
      <c r="B75" s="217">
        <f t="shared" ref="B75:B80" si="29">+C75+F75+I75</f>
        <v>880.01600000000008</v>
      </c>
      <c r="C75" s="218">
        <f t="shared" ref="C75:C80" si="30">SUM(D75:E75)</f>
        <v>380.07</v>
      </c>
      <c r="D75" s="147">
        <v>196.31</v>
      </c>
      <c r="E75" s="252">
        <v>183.76</v>
      </c>
      <c r="F75" s="299">
        <f t="shared" ref="F75:F80" si="31">SUM(G75:H75)</f>
        <v>230.02</v>
      </c>
      <c r="G75" s="147">
        <v>0</v>
      </c>
      <c r="H75" s="181">
        <v>230.02</v>
      </c>
      <c r="I75" s="219">
        <f t="shared" ref="I75:I80" si="32">SUM(J75:L75)</f>
        <v>269.92599999999999</v>
      </c>
      <c r="J75" s="147">
        <v>72.66</v>
      </c>
      <c r="K75" s="252">
        <v>197.26599999999999</v>
      </c>
      <c r="Q75" s="302">
        <v>2009</v>
      </c>
      <c r="R75" s="12">
        <f t="shared" si="26"/>
        <v>2994.8650000000002</v>
      </c>
      <c r="S75" s="12">
        <f t="shared" si="27"/>
        <v>3193.8180000000002</v>
      </c>
      <c r="T75" s="12">
        <f t="shared" si="28"/>
        <v>0</v>
      </c>
      <c r="U75" s="12">
        <f t="shared" si="28"/>
        <v>0</v>
      </c>
    </row>
    <row r="76" spans="1:25" ht="13" x14ac:dyDescent="0.3">
      <c r="A76" s="1400">
        <v>1996</v>
      </c>
      <c r="B76" s="221">
        <f t="shared" si="29"/>
        <v>1123.7</v>
      </c>
      <c r="C76" s="222">
        <f t="shared" si="30"/>
        <v>319.91800000000001</v>
      </c>
      <c r="D76" s="177">
        <v>193.136</v>
      </c>
      <c r="E76" s="254">
        <v>126.78200000000001</v>
      </c>
      <c r="F76" s="304">
        <f t="shared" si="31"/>
        <v>560.92399999999998</v>
      </c>
      <c r="G76" s="177">
        <v>20.43</v>
      </c>
      <c r="H76" s="176">
        <v>540.49400000000003</v>
      </c>
      <c r="I76" s="223">
        <f t="shared" si="32"/>
        <v>242.858</v>
      </c>
      <c r="J76" s="177">
        <v>63.46</v>
      </c>
      <c r="K76" s="254">
        <v>179.398</v>
      </c>
      <c r="Q76" s="302">
        <v>2010</v>
      </c>
      <c r="R76" s="12">
        <f t="shared" si="26"/>
        <v>3200.7890000000007</v>
      </c>
      <c r="S76" s="12">
        <f t="shared" si="27"/>
        <v>3686.8470000000007</v>
      </c>
      <c r="T76" s="12">
        <f t="shared" si="28"/>
        <v>0</v>
      </c>
      <c r="U76" s="12">
        <f t="shared" si="28"/>
        <v>0</v>
      </c>
    </row>
    <row r="77" spans="1:25" ht="13" x14ac:dyDescent="0.3">
      <c r="A77" s="1399">
        <v>1997</v>
      </c>
      <c r="B77" s="217">
        <f t="shared" si="29"/>
        <v>754.18599999999992</v>
      </c>
      <c r="C77" s="218">
        <f t="shared" si="30"/>
        <v>122.578</v>
      </c>
      <c r="D77" s="147">
        <v>12.906000000000001</v>
      </c>
      <c r="E77" s="252">
        <v>109.672</v>
      </c>
      <c r="F77" s="299">
        <f t="shared" si="31"/>
        <v>64.55</v>
      </c>
      <c r="G77" s="147">
        <v>0</v>
      </c>
      <c r="H77" s="181">
        <v>64.55</v>
      </c>
      <c r="I77" s="219">
        <f t="shared" si="32"/>
        <v>567.05799999999999</v>
      </c>
      <c r="J77" s="147">
        <v>77.826999999999998</v>
      </c>
      <c r="K77" s="252">
        <v>489.23099999999999</v>
      </c>
      <c r="Q77" s="302">
        <v>2011</v>
      </c>
      <c r="R77" s="12">
        <f t="shared" si="26"/>
        <v>3216.6890000000003</v>
      </c>
      <c r="S77" s="12">
        <f t="shared" si="27"/>
        <v>3671.7730000000006</v>
      </c>
      <c r="T77" s="12">
        <f t="shared" si="28"/>
        <v>0</v>
      </c>
      <c r="U77" s="12">
        <f t="shared" si="28"/>
        <v>0</v>
      </c>
    </row>
    <row r="78" spans="1:25" ht="13" x14ac:dyDescent="0.3">
      <c r="A78" s="1400">
        <v>1998</v>
      </c>
      <c r="B78" s="221">
        <f t="shared" si="29"/>
        <v>760.82999999999993</v>
      </c>
      <c r="C78" s="222">
        <f t="shared" si="30"/>
        <v>100.154</v>
      </c>
      <c r="D78" s="177">
        <v>12.906000000000001</v>
      </c>
      <c r="E78" s="254">
        <v>87.24799999999999</v>
      </c>
      <c r="F78" s="304">
        <f t="shared" si="31"/>
        <v>46.33</v>
      </c>
      <c r="G78" s="177">
        <v>0</v>
      </c>
      <c r="H78" s="176">
        <v>46.33</v>
      </c>
      <c r="I78" s="223">
        <f t="shared" si="32"/>
        <v>614.346</v>
      </c>
      <c r="J78" s="177">
        <v>81.061000000000007</v>
      </c>
      <c r="K78" s="254">
        <v>533.28499999999997</v>
      </c>
      <c r="Q78" s="302">
        <v>2012</v>
      </c>
      <c r="R78" s="12">
        <f t="shared" si="26"/>
        <v>3241.0389999999998</v>
      </c>
      <c r="S78" s="12">
        <f t="shared" si="27"/>
        <v>4456.51</v>
      </c>
      <c r="T78" s="12">
        <f t="shared" si="28"/>
        <v>80</v>
      </c>
      <c r="U78" s="12">
        <f t="shared" si="28"/>
        <v>0</v>
      </c>
    </row>
    <row r="79" spans="1:25" ht="13" x14ac:dyDescent="0.3">
      <c r="A79" s="1399">
        <v>1999</v>
      </c>
      <c r="B79" s="217">
        <f t="shared" si="29"/>
        <v>798.22700000000009</v>
      </c>
      <c r="C79" s="218">
        <f t="shared" si="30"/>
        <v>58.398000000000003</v>
      </c>
      <c r="D79" s="147">
        <v>12.906000000000001</v>
      </c>
      <c r="E79" s="252">
        <v>45.492000000000004</v>
      </c>
      <c r="F79" s="299">
        <f t="shared" si="31"/>
        <v>42.965999999999994</v>
      </c>
      <c r="G79" s="147">
        <v>0</v>
      </c>
      <c r="H79" s="181">
        <v>42.965999999999994</v>
      </c>
      <c r="I79" s="219">
        <f t="shared" si="32"/>
        <v>696.86300000000006</v>
      </c>
      <c r="J79" s="147">
        <v>62.576999999999991</v>
      </c>
      <c r="K79" s="252">
        <v>634.28600000000006</v>
      </c>
      <c r="Q79" s="302">
        <v>2013</v>
      </c>
      <c r="R79" s="12">
        <f t="shared" si="26"/>
        <v>3307.0579999999995</v>
      </c>
      <c r="S79" s="12">
        <f t="shared" si="27"/>
        <v>5290.6319999999996</v>
      </c>
      <c r="T79" s="12">
        <f t="shared" si="28"/>
        <v>80</v>
      </c>
      <c r="U79" s="12">
        <f t="shared" si="28"/>
        <v>0</v>
      </c>
    </row>
    <row r="80" spans="1:25" ht="13" x14ac:dyDescent="0.3">
      <c r="A80" s="1400">
        <v>2000</v>
      </c>
      <c r="B80" s="221">
        <f t="shared" si="29"/>
        <v>778.91100000000017</v>
      </c>
      <c r="C80" s="222">
        <f t="shared" si="30"/>
        <v>40.433</v>
      </c>
      <c r="D80" s="177">
        <v>12.906000000000001</v>
      </c>
      <c r="E80" s="254">
        <v>27.526999999999997</v>
      </c>
      <c r="F80" s="304">
        <f t="shared" si="31"/>
        <v>49.445999999999998</v>
      </c>
      <c r="G80" s="177">
        <v>0</v>
      </c>
      <c r="H80" s="176">
        <v>49.445999999999998</v>
      </c>
      <c r="I80" s="223">
        <f t="shared" si="32"/>
        <v>689.03200000000015</v>
      </c>
      <c r="J80" s="177">
        <v>62.064999999999998</v>
      </c>
      <c r="K80" s="254">
        <v>626.9670000000001</v>
      </c>
      <c r="Q80" s="302">
        <v>2014</v>
      </c>
      <c r="R80" s="12">
        <f t="shared" si="26"/>
        <v>3408.9649999999997</v>
      </c>
      <c r="S80" s="12">
        <f t="shared" si="27"/>
        <v>5402.7280000000001</v>
      </c>
      <c r="T80" s="12">
        <f t="shared" si="28"/>
        <v>96</v>
      </c>
      <c r="U80" s="12">
        <f t="shared" si="28"/>
        <v>142</v>
      </c>
    </row>
    <row r="81" spans="1:21" ht="13" x14ac:dyDescent="0.3">
      <c r="A81" s="1400"/>
      <c r="B81" s="231"/>
      <c r="C81" s="1507" t="s">
        <v>93</v>
      </c>
      <c r="D81" s="1475"/>
      <c r="E81" s="1508"/>
      <c r="F81" s="232"/>
      <c r="G81" s="233"/>
      <c r="H81" s="233"/>
      <c r="I81" s="234"/>
      <c r="J81" s="233"/>
      <c r="K81" s="255"/>
      <c r="Q81" s="302">
        <v>2015</v>
      </c>
      <c r="R81" s="12">
        <f t="shared" si="26"/>
        <v>3897.8669999999997</v>
      </c>
      <c r="S81" s="12">
        <f t="shared" si="27"/>
        <v>5880.8219999999992</v>
      </c>
      <c r="T81" s="12">
        <f t="shared" si="28"/>
        <v>96</v>
      </c>
      <c r="U81" s="12">
        <f t="shared" si="28"/>
        <v>239.1</v>
      </c>
    </row>
    <row r="82" spans="1:21" ht="13" x14ac:dyDescent="0.3">
      <c r="A82" s="1400">
        <v>2001</v>
      </c>
      <c r="B82" s="221">
        <f t="shared" ref="B82:B95" si="33">+C82+I82</f>
        <v>745.11300000000006</v>
      </c>
      <c r="C82" s="312">
        <f t="shared" ref="C82:C94" si="34">SUM(D82:E82)</f>
        <v>101.07900000000001</v>
      </c>
      <c r="D82" s="185">
        <v>12.906000000000001</v>
      </c>
      <c r="E82" s="254">
        <v>88.173000000000002</v>
      </c>
      <c r="F82" s="232"/>
      <c r="G82" s="233"/>
      <c r="H82" s="233"/>
      <c r="I82" s="223">
        <f t="shared" ref="I82:I103" si="35">SUM(J82:L82)</f>
        <v>644.03400000000011</v>
      </c>
      <c r="J82" s="176">
        <v>56.761999999999993</v>
      </c>
      <c r="K82" s="254">
        <v>587.27200000000016</v>
      </c>
      <c r="P82" s="12"/>
      <c r="Q82" s="302">
        <v>2016</v>
      </c>
      <c r="R82" s="12">
        <f t="shared" si="26"/>
        <v>4967.523000000002</v>
      </c>
      <c r="S82" s="12">
        <f t="shared" si="27"/>
        <v>7215.6040000000003</v>
      </c>
      <c r="T82" s="12">
        <f t="shared" si="28"/>
        <v>96</v>
      </c>
      <c r="U82" s="12">
        <f t="shared" si="28"/>
        <v>239.25</v>
      </c>
    </row>
    <row r="83" spans="1:21" ht="13" x14ac:dyDescent="0.3">
      <c r="A83" s="1399">
        <v>2002</v>
      </c>
      <c r="B83" s="217">
        <f t="shared" si="33"/>
        <v>737.84200000000067</v>
      </c>
      <c r="C83" s="313">
        <f t="shared" si="34"/>
        <v>80.701000000000008</v>
      </c>
      <c r="D83" s="148">
        <v>12.906000000000001</v>
      </c>
      <c r="E83" s="252">
        <v>67.795000000000002</v>
      </c>
      <c r="F83" s="314"/>
      <c r="G83" s="225"/>
      <c r="H83" s="225"/>
      <c r="I83" s="219">
        <f t="shared" si="35"/>
        <v>657.14100000000064</v>
      </c>
      <c r="J83" s="181">
        <v>59.512999999999991</v>
      </c>
      <c r="K83" s="252">
        <v>597.62800000000061</v>
      </c>
      <c r="P83" s="12"/>
      <c r="Q83" s="302">
        <v>2017</v>
      </c>
      <c r="R83" s="12">
        <f t="shared" si="26"/>
        <v>5055.6795966666677</v>
      </c>
      <c r="S83" s="12">
        <f t="shared" si="27"/>
        <v>7101.9474999999975</v>
      </c>
      <c r="T83" s="12">
        <f t="shared" si="28"/>
        <v>240.48400000000001</v>
      </c>
      <c r="U83" s="12">
        <f t="shared" si="28"/>
        <v>239.25000000000003</v>
      </c>
    </row>
    <row r="84" spans="1:21" ht="13" x14ac:dyDescent="0.3">
      <c r="A84" s="1400">
        <v>2003</v>
      </c>
      <c r="B84" s="221">
        <f t="shared" si="33"/>
        <v>735.41300000000035</v>
      </c>
      <c r="C84" s="312">
        <f t="shared" si="34"/>
        <v>80.212000000000018</v>
      </c>
      <c r="D84" s="185">
        <v>12.906000000000001</v>
      </c>
      <c r="E84" s="254">
        <v>67.306000000000012</v>
      </c>
      <c r="F84" s="232"/>
      <c r="G84" s="233"/>
      <c r="H84" s="233"/>
      <c r="I84" s="223">
        <f t="shared" si="35"/>
        <v>655.20100000000036</v>
      </c>
      <c r="J84" s="176">
        <v>57.137999999999984</v>
      </c>
      <c r="K84" s="254">
        <v>598.06300000000033</v>
      </c>
      <c r="P84" s="12"/>
      <c r="Q84" s="302">
        <v>2018</v>
      </c>
      <c r="R84" s="12">
        <f t="shared" si="26"/>
        <v>5188.0600000000013</v>
      </c>
      <c r="S84" s="12">
        <f t="shared" si="27"/>
        <v>7316.3159999999998</v>
      </c>
      <c r="T84" s="12">
        <f t="shared" si="28"/>
        <v>280.48400000000004</v>
      </c>
      <c r="U84" s="12">
        <f t="shared" si="28"/>
        <v>371.55000000000007</v>
      </c>
    </row>
    <row r="85" spans="1:21" ht="13" x14ac:dyDescent="0.3">
      <c r="A85" s="1399">
        <v>2004</v>
      </c>
      <c r="B85" s="217">
        <f t="shared" si="33"/>
        <v>760.64400000000035</v>
      </c>
      <c r="C85" s="313">
        <f t="shared" si="34"/>
        <v>113.89800000000001</v>
      </c>
      <c r="D85" s="148">
        <v>12.5</v>
      </c>
      <c r="E85" s="252">
        <v>101.39800000000001</v>
      </c>
      <c r="F85" s="314"/>
      <c r="G85" s="225"/>
      <c r="H85" s="225"/>
      <c r="I85" s="219">
        <f t="shared" si="35"/>
        <v>646.74600000000032</v>
      </c>
      <c r="J85" s="181">
        <v>55.231999999999999</v>
      </c>
      <c r="K85" s="252">
        <v>591.51400000000035</v>
      </c>
      <c r="P85" s="12"/>
      <c r="Q85" s="302">
        <v>2019</v>
      </c>
      <c r="R85" s="12">
        <f t="shared" si="26"/>
        <v>5257.1300000000028</v>
      </c>
      <c r="S85" s="12">
        <f t="shared" si="27"/>
        <v>7262.6519999999991</v>
      </c>
      <c r="T85" s="12">
        <f t="shared" si="28"/>
        <v>285.02499999999998</v>
      </c>
      <c r="U85" s="12">
        <f t="shared" si="28"/>
        <v>371.55000000000018</v>
      </c>
    </row>
    <row r="86" spans="1:21" ht="13" x14ac:dyDescent="0.3">
      <c r="A86" s="1400">
        <v>2005</v>
      </c>
      <c r="B86" s="221">
        <f t="shared" si="33"/>
        <v>812.26200000000028</v>
      </c>
      <c r="C86" s="312">
        <f t="shared" si="34"/>
        <v>126.95800000000001</v>
      </c>
      <c r="D86" s="185">
        <v>12.5</v>
      </c>
      <c r="E86" s="254">
        <v>114.45800000000001</v>
      </c>
      <c r="F86" s="232"/>
      <c r="G86" s="233"/>
      <c r="H86" s="233"/>
      <c r="I86" s="223">
        <f t="shared" si="35"/>
        <v>685.30400000000031</v>
      </c>
      <c r="J86" s="176">
        <v>57.93</v>
      </c>
      <c r="K86" s="254">
        <v>627.37400000000036</v>
      </c>
      <c r="P86" s="12"/>
      <c r="Q86" s="302">
        <v>2020</v>
      </c>
      <c r="R86" s="12">
        <f t="shared" si="26"/>
        <v>5274.126000000002</v>
      </c>
      <c r="S86" s="12">
        <f t="shared" si="27"/>
        <v>7265.7039999999997</v>
      </c>
      <c r="T86" s="12">
        <f t="shared" si="28"/>
        <v>285.02499999999998</v>
      </c>
      <c r="U86" s="12">
        <f t="shared" si="28"/>
        <v>408.29000000000019</v>
      </c>
    </row>
    <row r="87" spans="1:21" ht="13" x14ac:dyDescent="0.3">
      <c r="A87" s="1399">
        <v>2006</v>
      </c>
      <c r="B87" s="217">
        <f t="shared" si="33"/>
        <v>809.03800000000001</v>
      </c>
      <c r="C87" s="313">
        <f>SUM(D87:E87)</f>
        <v>108.992</v>
      </c>
      <c r="D87" s="148">
        <v>12.5</v>
      </c>
      <c r="E87" s="252">
        <v>96.492000000000004</v>
      </c>
      <c r="F87" s="314"/>
      <c r="G87" s="225"/>
      <c r="H87" s="225"/>
      <c r="I87" s="219">
        <f>SUM(J87:L87)</f>
        <v>700.04600000000005</v>
      </c>
      <c r="J87" s="181">
        <v>56.856000000000002</v>
      </c>
      <c r="K87" s="252">
        <v>643.19000000000005</v>
      </c>
      <c r="P87" s="12"/>
      <c r="Q87" s="302">
        <v>2021</v>
      </c>
      <c r="R87" s="12">
        <f t="shared" si="26"/>
        <v>5384.5610000000024</v>
      </c>
      <c r="S87" s="12">
        <f t="shared" si="27"/>
        <v>7291.3320000000022</v>
      </c>
      <c r="T87" s="12">
        <f t="shared" si="28"/>
        <v>285.30700000000002</v>
      </c>
      <c r="U87" s="12">
        <f t="shared" si="28"/>
        <v>408.29000000000019</v>
      </c>
    </row>
    <row r="88" spans="1:21" ht="13" x14ac:dyDescent="0.3">
      <c r="A88" s="1400">
        <v>2007</v>
      </c>
      <c r="B88" s="221">
        <f t="shared" si="33"/>
        <v>819.15900000000011</v>
      </c>
      <c r="C88" s="312">
        <f t="shared" si="34"/>
        <v>110.52600000000004</v>
      </c>
      <c r="D88" s="185">
        <v>12.5</v>
      </c>
      <c r="E88" s="254">
        <v>98.026000000000039</v>
      </c>
      <c r="F88" s="232"/>
      <c r="G88" s="233"/>
      <c r="H88" s="233"/>
      <c r="I88" s="223">
        <f t="shared" si="35"/>
        <v>708.63300000000004</v>
      </c>
      <c r="J88" s="176">
        <v>61.210999999999984</v>
      </c>
      <c r="K88" s="254">
        <v>647.42200000000003</v>
      </c>
      <c r="P88" s="12"/>
      <c r="Q88" s="302">
        <v>2022</v>
      </c>
      <c r="R88" s="12">
        <f t="shared" si="26"/>
        <v>5396.0009999999975</v>
      </c>
      <c r="S88" s="12">
        <f t="shared" si="27"/>
        <v>7509.4119999999975</v>
      </c>
      <c r="T88" s="12">
        <f t="shared" si="28"/>
        <v>285.30700000000002</v>
      </c>
      <c r="U88" s="12">
        <f t="shared" si="28"/>
        <v>538.29</v>
      </c>
    </row>
    <row r="89" spans="1:21" ht="13" x14ac:dyDescent="0.3">
      <c r="A89" s="1399">
        <v>2008</v>
      </c>
      <c r="B89" s="217">
        <f t="shared" si="33"/>
        <v>904.72799999999995</v>
      </c>
      <c r="C89" s="313">
        <f t="shared" si="34"/>
        <v>107.71000000000001</v>
      </c>
      <c r="D89" s="148">
        <v>12.5</v>
      </c>
      <c r="E89" s="252">
        <v>95.210000000000008</v>
      </c>
      <c r="F89" s="314"/>
      <c r="G89" s="225"/>
      <c r="H89" s="225"/>
      <c r="I89" s="219">
        <f t="shared" si="35"/>
        <v>797.01799999999992</v>
      </c>
      <c r="J89" s="181">
        <v>62.280999999999985</v>
      </c>
      <c r="K89" s="252">
        <v>734.73699999999997</v>
      </c>
      <c r="P89" s="12"/>
      <c r="Q89" s="12"/>
    </row>
    <row r="90" spans="1:21" ht="13" x14ac:dyDescent="0.3">
      <c r="A90" s="1400">
        <v>2009</v>
      </c>
      <c r="B90" s="221">
        <f t="shared" si="33"/>
        <v>1009.9380000000001</v>
      </c>
      <c r="C90" s="312">
        <f t="shared" si="34"/>
        <v>124.221</v>
      </c>
      <c r="D90" s="185">
        <v>12.5</v>
      </c>
      <c r="E90" s="254">
        <v>111.721</v>
      </c>
      <c r="F90" s="232"/>
      <c r="G90" s="233"/>
      <c r="H90" s="233"/>
      <c r="I90" s="223">
        <f t="shared" si="35"/>
        <v>885.7170000000001</v>
      </c>
      <c r="J90" s="176">
        <v>66.105999999999995</v>
      </c>
      <c r="K90" s="254">
        <v>819.6110000000001</v>
      </c>
      <c r="P90" s="12"/>
      <c r="Q90" s="12"/>
    </row>
    <row r="91" spans="1:21" ht="13" x14ac:dyDescent="0.3">
      <c r="A91" s="1399">
        <v>2010</v>
      </c>
      <c r="B91" s="217">
        <f t="shared" si="33"/>
        <v>1125.3490000000004</v>
      </c>
      <c r="C91" s="313">
        <f t="shared" si="34"/>
        <v>160.57400000000001</v>
      </c>
      <c r="D91" s="148">
        <v>12.5</v>
      </c>
      <c r="E91" s="252">
        <v>148.07400000000001</v>
      </c>
      <c r="F91" s="314"/>
      <c r="G91" s="225"/>
      <c r="H91" s="225"/>
      <c r="I91" s="219">
        <f t="shared" si="35"/>
        <v>964.77500000000032</v>
      </c>
      <c r="J91" s="181">
        <v>67.584000000000003</v>
      </c>
      <c r="K91" s="252">
        <v>897.19100000000026</v>
      </c>
      <c r="P91" s="12"/>
      <c r="Q91" s="12"/>
    </row>
    <row r="92" spans="1:21" ht="13" x14ac:dyDescent="0.3">
      <c r="A92" s="1400">
        <v>2011</v>
      </c>
      <c r="B92" s="221">
        <f t="shared" si="33"/>
        <v>1177.712</v>
      </c>
      <c r="C92" s="312">
        <f t="shared" si="34"/>
        <v>158.62100000000001</v>
      </c>
      <c r="D92" s="185">
        <v>12.5</v>
      </c>
      <c r="E92" s="254">
        <v>146.12100000000001</v>
      </c>
      <c r="F92" s="232"/>
      <c r="G92" s="233"/>
      <c r="H92" s="233"/>
      <c r="I92" s="223">
        <f t="shared" si="35"/>
        <v>1019.0909999999999</v>
      </c>
      <c r="J92" s="176">
        <v>69.498999999999995</v>
      </c>
      <c r="K92" s="254">
        <v>949.59199999999987</v>
      </c>
      <c r="P92" s="12"/>
      <c r="Q92" s="12"/>
    </row>
    <row r="93" spans="1:21" ht="13" x14ac:dyDescent="0.3">
      <c r="A93" s="1399">
        <v>2012</v>
      </c>
      <c r="B93" s="217">
        <f t="shared" si="33"/>
        <v>1184.3520000000001</v>
      </c>
      <c r="C93" s="313">
        <f t="shared" si="34"/>
        <v>159.99600000000001</v>
      </c>
      <c r="D93" s="148">
        <v>12.899999999999999</v>
      </c>
      <c r="E93" s="252">
        <v>147.096</v>
      </c>
      <c r="F93" s="314"/>
      <c r="G93" s="225"/>
      <c r="H93" s="225"/>
      <c r="I93" s="219">
        <f t="shared" si="35"/>
        <v>1024.356</v>
      </c>
      <c r="J93" s="181">
        <v>76.639000000000024</v>
      </c>
      <c r="K93" s="252">
        <v>947.71699999999998</v>
      </c>
      <c r="P93" s="12"/>
      <c r="Q93" s="12"/>
    </row>
    <row r="94" spans="1:21" ht="13" x14ac:dyDescent="0.3">
      <c r="A94" s="1400">
        <v>2013</v>
      </c>
      <c r="B94" s="221">
        <f t="shared" si="33"/>
        <v>1204.8510000000001</v>
      </c>
      <c r="C94" s="312">
        <f t="shared" si="34"/>
        <v>156.67800000000003</v>
      </c>
      <c r="D94" s="185">
        <v>11.9</v>
      </c>
      <c r="E94" s="254">
        <v>144.77800000000002</v>
      </c>
      <c r="F94" s="232"/>
      <c r="G94" s="233"/>
      <c r="H94" s="233"/>
      <c r="I94" s="223">
        <f t="shared" si="35"/>
        <v>1048.173</v>
      </c>
      <c r="J94" s="176">
        <v>65.471999999999994</v>
      </c>
      <c r="K94" s="254">
        <v>982.70100000000002</v>
      </c>
      <c r="P94" s="12"/>
      <c r="Q94" s="12"/>
    </row>
    <row r="95" spans="1:21" ht="13" x14ac:dyDescent="0.3">
      <c r="A95" s="1399">
        <v>2014</v>
      </c>
      <c r="B95" s="217">
        <f t="shared" si="33"/>
        <v>1186.5419999999999</v>
      </c>
      <c r="C95" s="313">
        <f>SUM(D95:E95)</f>
        <v>141.261</v>
      </c>
      <c r="D95" s="148">
        <v>12.899999999999999</v>
      </c>
      <c r="E95" s="252">
        <v>128.36099999999999</v>
      </c>
      <c r="F95" s="314"/>
      <c r="G95" s="225"/>
      <c r="H95" s="225"/>
      <c r="I95" s="219">
        <f t="shared" si="35"/>
        <v>1045.2809999999999</v>
      </c>
      <c r="J95" s="181">
        <v>78.447000000000017</v>
      </c>
      <c r="K95" s="252">
        <v>966.83399999999983</v>
      </c>
      <c r="P95" s="12"/>
      <c r="Q95" s="12"/>
    </row>
    <row r="96" spans="1:21" ht="13" x14ac:dyDescent="0.3">
      <c r="A96" s="1400">
        <v>2015</v>
      </c>
      <c r="B96" s="221">
        <f>+C96+I96</f>
        <v>1202.1559999999999</v>
      </c>
      <c r="C96" s="312">
        <f>SUM(D96:E96)</f>
        <v>268.63100000000003</v>
      </c>
      <c r="D96" s="185">
        <v>12.899999999999999</v>
      </c>
      <c r="E96" s="254">
        <v>255.73100000000002</v>
      </c>
      <c r="F96" s="232"/>
      <c r="G96" s="233"/>
      <c r="H96" s="233"/>
      <c r="I96" s="223">
        <f t="shared" si="35"/>
        <v>933.52499999999986</v>
      </c>
      <c r="J96" s="176">
        <v>78.827000000000012</v>
      </c>
      <c r="K96" s="254">
        <v>854.69799999999987</v>
      </c>
      <c r="P96" s="12"/>
      <c r="Q96" s="12"/>
    </row>
    <row r="97" spans="1:17" ht="13" x14ac:dyDescent="0.3">
      <c r="A97" s="1399">
        <v>2016</v>
      </c>
      <c r="B97" s="217">
        <f t="shared" ref="B97:B103" si="36">+C97+I97</f>
        <v>1191.7980999999997</v>
      </c>
      <c r="C97" s="313">
        <f t="shared" ref="C97:C103" si="37">SUM(D97:E97)</f>
        <v>253.25599999999997</v>
      </c>
      <c r="D97" s="148">
        <v>25.7</v>
      </c>
      <c r="E97" s="252">
        <v>227.55599999999998</v>
      </c>
      <c r="F97" s="314"/>
      <c r="G97" s="225"/>
      <c r="H97" s="225"/>
      <c r="I97" s="219">
        <f t="shared" si="35"/>
        <v>938.54209999999978</v>
      </c>
      <c r="J97" s="181">
        <v>76.658999999999992</v>
      </c>
      <c r="K97" s="252">
        <v>861.88309999999979</v>
      </c>
      <c r="P97" s="12"/>
      <c r="Q97" s="12"/>
    </row>
    <row r="98" spans="1:17" ht="13" x14ac:dyDescent="0.3">
      <c r="A98" s="1400">
        <v>2017</v>
      </c>
      <c r="B98" s="221">
        <f t="shared" si="36"/>
        <v>1220.8440999999998</v>
      </c>
      <c r="C98" s="312">
        <f t="shared" si="37"/>
        <v>206.74499999999995</v>
      </c>
      <c r="D98" s="185">
        <v>37.679999999999986</v>
      </c>
      <c r="E98" s="254">
        <v>169.06499999999997</v>
      </c>
      <c r="F98" s="232"/>
      <c r="G98" s="233"/>
      <c r="H98" s="233"/>
      <c r="I98" s="223">
        <f t="shared" si="35"/>
        <v>1014.0990999999998</v>
      </c>
      <c r="J98" s="176">
        <v>78.89800000000001</v>
      </c>
      <c r="K98" s="254">
        <v>935.20109999999977</v>
      </c>
      <c r="P98" s="12"/>
      <c r="Q98" s="12"/>
    </row>
    <row r="99" spans="1:17" ht="13" x14ac:dyDescent="0.3">
      <c r="A99" s="1399">
        <v>2018</v>
      </c>
      <c r="B99" s="217">
        <f t="shared" si="36"/>
        <v>1220.6600999999998</v>
      </c>
      <c r="C99" s="313">
        <f t="shared" si="37"/>
        <v>205.20299999999997</v>
      </c>
      <c r="D99" s="148">
        <v>37.679999999999986</v>
      </c>
      <c r="E99" s="252">
        <v>167.523</v>
      </c>
      <c r="F99" s="314"/>
      <c r="G99" s="225"/>
      <c r="H99" s="225"/>
      <c r="I99" s="219">
        <f t="shared" si="35"/>
        <v>1015.4570999999999</v>
      </c>
      <c r="J99" s="181">
        <v>79.684000000000026</v>
      </c>
      <c r="K99" s="252">
        <v>935.77309999999989</v>
      </c>
      <c r="P99" s="12"/>
      <c r="Q99" s="12"/>
    </row>
    <row r="100" spans="1:17" ht="13" x14ac:dyDescent="0.3">
      <c r="A100" s="1400">
        <v>2019</v>
      </c>
      <c r="B100" s="221">
        <f t="shared" si="36"/>
        <v>1219.6460999999999</v>
      </c>
      <c r="C100" s="312">
        <f t="shared" si="37"/>
        <v>208.11399999999998</v>
      </c>
      <c r="D100" s="185">
        <v>37.679999999999986</v>
      </c>
      <c r="E100" s="254">
        <v>170.434</v>
      </c>
      <c r="F100" s="232"/>
      <c r="G100" s="233"/>
      <c r="H100" s="233"/>
      <c r="I100" s="223">
        <f t="shared" si="35"/>
        <v>1011.5320999999999</v>
      </c>
      <c r="J100" s="176">
        <v>80.7</v>
      </c>
      <c r="K100" s="254">
        <v>930.83209999999985</v>
      </c>
      <c r="P100" s="12"/>
      <c r="Q100" s="12"/>
    </row>
    <row r="101" spans="1:17" ht="13" x14ac:dyDescent="0.3">
      <c r="A101" s="1399">
        <v>2020</v>
      </c>
      <c r="B101" s="217">
        <f t="shared" si="36"/>
        <v>1222.0650999999998</v>
      </c>
      <c r="C101" s="313">
        <f t="shared" si="37"/>
        <v>211.52599999999995</v>
      </c>
      <c r="D101" s="148">
        <v>37.679999999999986</v>
      </c>
      <c r="E101" s="252">
        <v>173.84599999999998</v>
      </c>
      <c r="F101" s="314"/>
      <c r="G101" s="225"/>
      <c r="H101" s="225"/>
      <c r="I101" s="219">
        <f t="shared" si="35"/>
        <v>1010.5390999999998</v>
      </c>
      <c r="J101" s="181">
        <v>80.677999999999997</v>
      </c>
      <c r="K101" s="252">
        <v>929.86109999999985</v>
      </c>
      <c r="P101" s="12"/>
      <c r="Q101" s="12"/>
    </row>
    <row r="102" spans="1:17" ht="13" x14ac:dyDescent="0.3">
      <c r="A102" s="1400">
        <v>2021</v>
      </c>
      <c r="B102" s="221">
        <f t="shared" ref="B102" si="38">+C102+I102</f>
        <v>1240.2920999999997</v>
      </c>
      <c r="C102" s="312">
        <f t="shared" ref="C102" si="39">SUM(D102:E102)</f>
        <v>214.78699999999995</v>
      </c>
      <c r="D102" s="185">
        <v>36.679999999999986</v>
      </c>
      <c r="E102" s="254">
        <v>178.10699999999997</v>
      </c>
      <c r="F102" s="232"/>
      <c r="G102" s="233"/>
      <c r="H102" s="233"/>
      <c r="I102" s="223">
        <f t="shared" ref="I102" si="40">SUM(J102:L102)</f>
        <v>1025.5050999999996</v>
      </c>
      <c r="J102" s="176">
        <v>80.552000000000007</v>
      </c>
      <c r="K102" s="254">
        <v>944.95309999999972</v>
      </c>
      <c r="P102" s="12"/>
      <c r="Q102" s="12"/>
    </row>
    <row r="103" spans="1:17" ht="13.5" thickBot="1" x14ac:dyDescent="0.35">
      <c r="A103" s="1405">
        <v>2022</v>
      </c>
      <c r="B103" s="217">
        <f t="shared" si="36"/>
        <v>1278.6921</v>
      </c>
      <c r="C103" s="313">
        <f t="shared" si="37"/>
        <v>221.38400000000001</v>
      </c>
      <c r="D103" s="148">
        <v>36.680000000000007</v>
      </c>
      <c r="E103" s="252">
        <v>184.70400000000001</v>
      </c>
      <c r="F103" s="314"/>
      <c r="G103" s="225"/>
      <c r="H103" s="225"/>
      <c r="I103" s="219">
        <f t="shared" si="35"/>
        <v>1057.3081</v>
      </c>
      <c r="J103" s="181">
        <v>79.715999999999994</v>
      </c>
      <c r="K103" s="252">
        <v>977.59209999999996</v>
      </c>
      <c r="P103" s="12"/>
      <c r="Q103" s="12"/>
    </row>
    <row r="104" spans="1:17" s="94" customFormat="1" ht="21" customHeight="1" x14ac:dyDescent="0.25">
      <c r="A104" s="813" t="s">
        <v>161</v>
      </c>
      <c r="B104" s="844">
        <f>(B103/B102)-1</f>
        <v>3.0960448752354708E-2</v>
      </c>
      <c r="C104" s="845">
        <f t="shared" ref="C104:E104" si="41">(C103/C102)-1</f>
        <v>3.0714149366582122E-2</v>
      </c>
      <c r="D104" s="1154">
        <f t="shared" si="41"/>
        <v>0</v>
      </c>
      <c r="E104" s="1164">
        <f t="shared" si="41"/>
        <v>3.7039532415907406E-2</v>
      </c>
      <c r="F104" s="1165"/>
      <c r="G104" s="1166"/>
      <c r="H104" s="1276"/>
      <c r="I104" s="1157">
        <f t="shared" ref="I104:K104" si="42">(I103/I102)-1</f>
        <v>3.1012034947461853E-2</v>
      </c>
      <c r="J104" s="1154">
        <f t="shared" si="42"/>
        <v>-1.0378389115105913E-2</v>
      </c>
      <c r="K104" s="1164">
        <f t="shared" si="42"/>
        <v>3.4540338562834672E-2</v>
      </c>
      <c r="L104"/>
    </row>
    <row r="105" spans="1:17" s="94" customFormat="1" ht="21" customHeight="1" x14ac:dyDescent="0.25">
      <c r="A105" s="817" t="s">
        <v>162</v>
      </c>
      <c r="B105" s="812">
        <f>((B103/B98)^(1/5))-1</f>
        <v>9.3020483974257662E-3</v>
      </c>
      <c r="C105" s="843">
        <f t="shared" ref="C105:E105" si="43">((C103/C98)^(1/5))-1</f>
        <v>1.3776554154752096E-2</v>
      </c>
      <c r="D105" s="837">
        <f t="shared" si="43"/>
        <v>-5.3651165408463708E-3</v>
      </c>
      <c r="E105" s="1168">
        <f t="shared" si="43"/>
        <v>1.7851728248598597E-2</v>
      </c>
      <c r="F105" s="1169"/>
      <c r="G105" s="1170"/>
      <c r="H105" s="1277"/>
      <c r="I105" s="1280">
        <f t="shared" ref="I105:K105" si="44">((I103/I98)^(1/5))-1</f>
        <v>8.3800209589544039E-3</v>
      </c>
      <c r="J105" s="837">
        <f t="shared" si="44"/>
        <v>2.0650171137002182E-3</v>
      </c>
      <c r="K105" s="838">
        <f t="shared" si="44"/>
        <v>8.9056052284548493E-3</v>
      </c>
      <c r="L105" s="1278"/>
    </row>
    <row r="106" spans="1:17" s="94" customFormat="1" ht="21" customHeight="1" x14ac:dyDescent="0.25">
      <c r="A106" s="823" t="s">
        <v>163</v>
      </c>
      <c r="B106" s="848">
        <f>(B103/B93)-1</f>
        <v>7.9655457161384335E-2</v>
      </c>
      <c r="C106" s="849">
        <f t="shared" ref="C106:E106" si="45">(C103/C93)-1</f>
        <v>0.38368459211480288</v>
      </c>
      <c r="D106" s="1158">
        <f t="shared" si="45"/>
        <v>1.8434108527131792</v>
      </c>
      <c r="E106" s="825">
        <f t="shared" si="45"/>
        <v>0.25566976668298258</v>
      </c>
      <c r="F106" s="1169"/>
      <c r="G106" s="1171"/>
      <c r="H106" s="1277"/>
      <c r="I106" s="1161">
        <f t="shared" ref="I106:K106" si="46">(I103/I93)-1</f>
        <v>3.2168601540870423E-2</v>
      </c>
      <c r="J106" s="1158">
        <f t="shared" si="46"/>
        <v>4.0149271258758112E-2</v>
      </c>
      <c r="K106" s="1281">
        <f t="shared" si="46"/>
        <v>3.1523228980803397E-2</v>
      </c>
      <c r="L106" s="1278"/>
    </row>
    <row r="107" spans="1:17" s="94" customFormat="1" ht="20.25" customHeight="1" thickBot="1" x14ac:dyDescent="0.3">
      <c r="A107" s="826" t="s">
        <v>164</v>
      </c>
      <c r="B107" s="850">
        <f>((B103/B93)^(1/10))-1</f>
        <v>7.6936420426145791E-3</v>
      </c>
      <c r="C107" s="851">
        <f t="shared" ref="C107:E107" si="47">((C103/C93)^(1/10))-1</f>
        <v>3.3008060941321471E-2</v>
      </c>
      <c r="D107" s="1162">
        <f t="shared" si="47"/>
        <v>0.11015587523199111</v>
      </c>
      <c r="E107" s="828">
        <f t="shared" si="47"/>
        <v>2.3028055051258933E-2</v>
      </c>
      <c r="F107" s="1173"/>
      <c r="G107" s="1171"/>
      <c r="H107" s="1277"/>
      <c r="I107" s="1183">
        <f t="shared" ref="I107:K107" si="48">((I103/I93)^(1/10))-1</f>
        <v>3.1712204443141712E-3</v>
      </c>
      <c r="J107" s="1162">
        <f t="shared" si="48"/>
        <v>3.9441811813023531E-3</v>
      </c>
      <c r="K107" s="1282">
        <f t="shared" si="48"/>
        <v>3.1084786197728143E-3</v>
      </c>
      <c r="L107" s="1278"/>
    </row>
    <row r="108" spans="1:17" ht="13" x14ac:dyDescent="0.3">
      <c r="A108" s="22"/>
      <c r="B108" s="248"/>
      <c r="C108" s="248"/>
      <c r="H108" s="249"/>
      <c r="I108" s="258"/>
      <c r="J108" s="250"/>
      <c r="K108" s="248"/>
    </row>
    <row r="109" spans="1:17" ht="13" x14ac:dyDescent="0.3">
      <c r="A109" s="263"/>
      <c r="I109" s="258"/>
      <c r="M109" s="1603" t="s">
        <v>186</v>
      </c>
      <c r="N109" s="1603" t="s">
        <v>81</v>
      </c>
      <c r="O109" s="1603" t="s">
        <v>84</v>
      </c>
    </row>
    <row r="110" spans="1:17" x14ac:dyDescent="0.25">
      <c r="A110" s="102"/>
      <c r="M110" s="1603">
        <v>1995</v>
      </c>
      <c r="N110" s="1612">
        <f>+C75+F75</f>
        <v>610.09</v>
      </c>
      <c r="O110" s="1612">
        <f>+I75</f>
        <v>269.92599999999999</v>
      </c>
    </row>
    <row r="111" spans="1:17" x14ac:dyDescent="0.25">
      <c r="D111" s="132"/>
      <c r="E111" s="132"/>
      <c r="F111" s="132"/>
      <c r="G111" s="132"/>
      <c r="M111" s="1603">
        <v>2000</v>
      </c>
      <c r="N111" s="1612">
        <f>+C80+F80</f>
        <v>89.878999999999991</v>
      </c>
      <c r="O111" s="1612">
        <f>+I80</f>
        <v>689.03200000000015</v>
      </c>
    </row>
    <row r="112" spans="1:17" x14ac:dyDescent="0.25">
      <c r="C112" s="132"/>
      <c r="D112" s="132"/>
      <c r="E112" s="132"/>
      <c r="F112" s="132"/>
      <c r="G112" s="132"/>
      <c r="M112" s="1603">
        <v>2005</v>
      </c>
      <c r="N112" s="1612">
        <v>126.95800000000001</v>
      </c>
      <c r="O112" s="1612">
        <v>685.30400000000031</v>
      </c>
    </row>
    <row r="113" spans="3:15" x14ac:dyDescent="0.25">
      <c r="C113" s="132"/>
      <c r="D113" s="132"/>
      <c r="E113" s="132"/>
      <c r="F113" s="132"/>
      <c r="G113" s="132"/>
      <c r="M113" s="1603">
        <v>2010</v>
      </c>
      <c r="N113" s="1612">
        <v>160.57400000000001</v>
      </c>
      <c r="O113" s="1612">
        <v>964.77500000000032</v>
      </c>
    </row>
    <row r="114" spans="3:15" x14ac:dyDescent="0.25">
      <c r="M114" s="1603">
        <v>2011</v>
      </c>
      <c r="N114" s="1612">
        <v>158.62100000000001</v>
      </c>
      <c r="O114" s="1612">
        <v>1019.0909999999999</v>
      </c>
    </row>
    <row r="115" spans="3:15" x14ac:dyDescent="0.25">
      <c r="M115" s="1603">
        <v>2012</v>
      </c>
      <c r="N115" s="1612">
        <v>159.99600000000001</v>
      </c>
      <c r="O115" s="1612">
        <v>1024.356</v>
      </c>
    </row>
    <row r="116" spans="3:15" x14ac:dyDescent="0.25">
      <c r="M116" s="1603">
        <v>2013</v>
      </c>
      <c r="N116" s="1612">
        <v>156.67800000000003</v>
      </c>
      <c r="O116" s="1612">
        <v>1048.173</v>
      </c>
    </row>
    <row r="117" spans="3:15" x14ac:dyDescent="0.25">
      <c r="M117" s="1603">
        <v>2014</v>
      </c>
      <c r="N117" s="1612">
        <v>141.261</v>
      </c>
      <c r="O117" s="1612">
        <v>1045.2809999999999</v>
      </c>
    </row>
    <row r="118" spans="3:15" x14ac:dyDescent="0.25">
      <c r="M118" s="1603">
        <v>2015</v>
      </c>
      <c r="N118" s="1612">
        <v>268.63100000000003</v>
      </c>
      <c r="O118" s="1612">
        <v>933.52499999999986</v>
      </c>
    </row>
    <row r="119" spans="3:15" x14ac:dyDescent="0.25">
      <c r="M119" s="1603">
        <v>2016</v>
      </c>
      <c r="N119" s="1612">
        <v>253.25599999999997</v>
      </c>
      <c r="O119" s="1612">
        <v>938.54209999999978</v>
      </c>
    </row>
    <row r="120" spans="3:15" x14ac:dyDescent="0.25">
      <c r="M120" s="1603">
        <v>2017</v>
      </c>
      <c r="N120" s="1612">
        <v>206.74499999999995</v>
      </c>
      <c r="O120" s="1612">
        <v>1014.0990999999998</v>
      </c>
    </row>
    <row r="121" spans="3:15" x14ac:dyDescent="0.25">
      <c r="M121" s="1603">
        <v>2018</v>
      </c>
      <c r="N121" s="1612">
        <v>205.20299999999997</v>
      </c>
      <c r="O121" s="1612">
        <v>1015.4570999999999</v>
      </c>
    </row>
    <row r="122" spans="3:15" x14ac:dyDescent="0.25">
      <c r="M122" s="1603">
        <v>2019</v>
      </c>
      <c r="N122" s="1612">
        <v>208.11399999999998</v>
      </c>
      <c r="O122" s="1612">
        <v>1011.5320999999999</v>
      </c>
    </row>
    <row r="123" spans="3:15" x14ac:dyDescent="0.25">
      <c r="M123" s="1603">
        <v>2020</v>
      </c>
      <c r="N123" s="1612">
        <v>211.52599999999995</v>
      </c>
      <c r="O123" s="1612">
        <v>1010.5390999999998</v>
      </c>
    </row>
    <row r="124" spans="3:15" x14ac:dyDescent="0.25">
      <c r="M124" s="1603">
        <v>2021</v>
      </c>
      <c r="N124" s="1612">
        <v>214.78699999999995</v>
      </c>
      <c r="O124" s="1612">
        <v>1025.5050999999996</v>
      </c>
    </row>
    <row r="125" spans="3:15" x14ac:dyDescent="0.25">
      <c r="M125" s="1603">
        <v>2022</v>
      </c>
      <c r="N125" s="1612">
        <v>221.38400000000001</v>
      </c>
      <c r="O125" s="1612">
        <v>1057.3081</v>
      </c>
    </row>
    <row r="126" spans="3:15" x14ac:dyDescent="0.25">
      <c r="M126" s="1603"/>
      <c r="N126" s="1612"/>
      <c r="O126" s="1612"/>
    </row>
    <row r="127" spans="3:15" x14ac:dyDescent="0.25">
      <c r="N127" s="132"/>
      <c r="O127" s="132"/>
    </row>
    <row r="128" spans="3:15" x14ac:dyDescent="0.25">
      <c r="N128" s="132"/>
      <c r="O128" s="132"/>
    </row>
    <row r="129" spans="14:15" x14ac:dyDescent="0.25">
      <c r="N129" s="132"/>
      <c r="O129" s="132"/>
    </row>
    <row r="130" spans="14:15" x14ac:dyDescent="0.25">
      <c r="N130" s="132"/>
      <c r="O130" s="132"/>
    </row>
    <row r="131" spans="14:15" x14ac:dyDescent="0.25">
      <c r="N131" s="132"/>
      <c r="O131" s="132"/>
    </row>
    <row r="132" spans="14:15" x14ac:dyDescent="0.25">
      <c r="N132" s="132"/>
      <c r="O132" s="132"/>
    </row>
    <row r="133" spans="14:15" x14ac:dyDescent="0.25">
      <c r="N133" s="132"/>
      <c r="O133" s="132"/>
    </row>
  </sheetData>
  <mergeCells count="12">
    <mergeCell ref="A5:A6"/>
    <mergeCell ref="B5:B6"/>
    <mergeCell ref="A73:A74"/>
    <mergeCell ref="B73:B74"/>
    <mergeCell ref="C81:E81"/>
    <mergeCell ref="C5:G5"/>
    <mergeCell ref="H5:J5"/>
    <mergeCell ref="K5:O5"/>
    <mergeCell ref="C13:G13"/>
    <mergeCell ref="C73:E73"/>
    <mergeCell ref="F73:H73"/>
    <mergeCell ref="I73:K73"/>
  </mergeCells>
  <pageMargins left="0.47" right="0.75" top="0.89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Z44"/>
  <sheetViews>
    <sheetView showGridLines="0" view="pageBreakPreview" zoomScaleNormal="85" zoomScaleSheetLayoutView="100" workbookViewId="0">
      <selection activeCell="G17" sqref="G17"/>
    </sheetView>
  </sheetViews>
  <sheetFormatPr baseColWidth="10" defaultColWidth="11.453125" defaultRowHeight="12.5" x14ac:dyDescent="0.25"/>
  <cols>
    <col min="1" max="1" width="2.7265625" style="315" customWidth="1"/>
    <col min="2" max="2" width="20.7265625" style="315" customWidth="1"/>
    <col min="3" max="3" width="21.7265625" style="315" customWidth="1"/>
    <col min="4" max="4" width="15.453125" style="315" customWidth="1"/>
    <col min="5" max="5" width="17.26953125" style="315" customWidth="1"/>
    <col min="6" max="8" width="11.453125" style="315"/>
    <col min="9" max="9" width="15.26953125" style="315" customWidth="1"/>
    <col min="10" max="15" width="11.453125" style="315"/>
    <col min="16" max="16" width="20.7265625" style="315" customWidth="1"/>
    <col min="17" max="17" width="21.7265625" style="315" customWidth="1"/>
    <col min="18" max="16384" width="11.453125" style="315"/>
  </cols>
  <sheetData>
    <row r="2" spans="1:26" ht="15.5" x14ac:dyDescent="0.35">
      <c r="A2" s="613" t="s">
        <v>212</v>
      </c>
    </row>
    <row r="3" spans="1:26" ht="15.5" x14ac:dyDescent="0.35">
      <c r="A3" s="613"/>
    </row>
    <row r="4" spans="1:26" x14ac:dyDescent="0.25">
      <c r="B4" s="1283" t="s">
        <v>235</v>
      </c>
    </row>
    <row r="5" spans="1:26" ht="13" thickBot="1" x14ac:dyDescent="0.3">
      <c r="P5" s="1632"/>
      <c r="Q5" s="1632"/>
    </row>
    <row r="6" spans="1:26" ht="13" x14ac:dyDescent="0.25">
      <c r="B6" s="1511" t="s">
        <v>39</v>
      </c>
      <c r="C6" s="1060" t="s">
        <v>109</v>
      </c>
      <c r="D6" s="316"/>
      <c r="E6" s="316"/>
      <c r="F6" s="317"/>
      <c r="P6" s="1633"/>
      <c r="Q6" s="1633"/>
    </row>
    <row r="7" spans="1:26" ht="13" x14ac:dyDescent="0.25">
      <c r="B7" s="1512"/>
      <c r="C7" s="1061" t="s">
        <v>110</v>
      </c>
      <c r="D7" s="316"/>
      <c r="E7" s="316"/>
      <c r="F7" s="317"/>
      <c r="P7" s="1634"/>
      <c r="Q7" s="1635" t="s">
        <v>109</v>
      </c>
    </row>
    <row r="8" spans="1:26" x14ac:dyDescent="0.25">
      <c r="B8" s="702">
        <v>1995</v>
      </c>
      <c r="C8" s="1304">
        <v>2052.1</v>
      </c>
      <c r="D8" s="316"/>
      <c r="O8" s="318"/>
      <c r="P8" s="1636">
        <v>1995</v>
      </c>
      <c r="Q8" s="1637">
        <v>2052.1</v>
      </c>
      <c r="R8" s="318"/>
      <c r="S8" s="318"/>
      <c r="T8" s="318"/>
      <c r="V8" s="319"/>
      <c r="W8" s="319"/>
      <c r="X8" s="319"/>
      <c r="Y8" s="319"/>
      <c r="Z8" s="319"/>
    </row>
    <row r="9" spans="1:26" x14ac:dyDescent="0.25">
      <c r="B9" s="703">
        <v>1996</v>
      </c>
      <c r="C9" s="1305">
        <v>2024.93</v>
      </c>
      <c r="D9" s="316"/>
      <c r="O9" s="318"/>
      <c r="P9" s="1636">
        <v>2000</v>
      </c>
      <c r="Q9" s="1637">
        <v>2620.6999999999998</v>
      </c>
      <c r="R9" s="318"/>
      <c r="S9" s="318"/>
      <c r="T9" s="318"/>
      <c r="U9" s="320"/>
      <c r="V9" s="319"/>
      <c r="W9" s="319"/>
      <c r="X9" s="319"/>
      <c r="Y9" s="319"/>
      <c r="Z9" s="319"/>
    </row>
    <row r="10" spans="1:26" x14ac:dyDescent="0.25">
      <c r="B10" s="702">
        <v>1997</v>
      </c>
      <c r="C10" s="1304">
        <v>2400.9</v>
      </c>
      <c r="D10" s="316"/>
      <c r="F10" s="321"/>
      <c r="O10" s="318"/>
      <c r="P10" s="1636">
        <v>2005</v>
      </c>
      <c r="Q10" s="1637">
        <v>3305.0140500000002</v>
      </c>
      <c r="R10" s="318"/>
      <c r="S10" s="318"/>
      <c r="T10" s="318"/>
      <c r="V10" s="319"/>
      <c r="W10" s="319"/>
      <c r="X10" s="319"/>
      <c r="Y10" s="319"/>
      <c r="Z10" s="319"/>
    </row>
    <row r="11" spans="1:26" x14ac:dyDescent="0.25">
      <c r="B11" s="703">
        <v>1998</v>
      </c>
      <c r="C11" s="1305">
        <v>2520.6</v>
      </c>
      <c r="D11" s="316"/>
      <c r="O11" s="318"/>
      <c r="P11" s="1636">
        <v>2010</v>
      </c>
      <c r="Q11" s="1637">
        <v>4578.9431199999999</v>
      </c>
      <c r="R11" s="318"/>
      <c r="S11" s="318"/>
      <c r="T11" s="318"/>
      <c r="V11" s="319"/>
      <c r="W11" s="319"/>
      <c r="X11" s="319"/>
      <c r="Y11" s="319"/>
      <c r="Z11" s="319"/>
    </row>
    <row r="12" spans="1:26" x14ac:dyDescent="0.25">
      <c r="B12" s="702">
        <v>1999</v>
      </c>
      <c r="C12" s="1304">
        <v>2580.3000000000002</v>
      </c>
      <c r="D12" s="316"/>
      <c r="O12" s="318"/>
      <c r="P12" s="1636">
        <v>2011</v>
      </c>
      <c r="Q12" s="1637">
        <v>4961.1929899999996</v>
      </c>
      <c r="R12" s="318"/>
      <c r="S12" s="318"/>
      <c r="T12" s="318"/>
      <c r="V12" s="319"/>
      <c r="W12" s="319"/>
      <c r="X12" s="319"/>
      <c r="Y12" s="319"/>
      <c r="Z12" s="319"/>
    </row>
    <row r="13" spans="1:26" x14ac:dyDescent="0.25">
      <c r="B13" s="703">
        <v>2000</v>
      </c>
      <c r="C13" s="1305">
        <v>2620.6999999999998</v>
      </c>
      <c r="D13" s="316"/>
      <c r="O13" s="318"/>
      <c r="P13" s="1636">
        <v>2012</v>
      </c>
      <c r="Q13" s="1637">
        <v>5291</v>
      </c>
      <c r="R13" s="318"/>
      <c r="S13" s="318"/>
      <c r="T13" s="318"/>
      <c r="V13" s="319"/>
      <c r="W13" s="319"/>
      <c r="X13" s="319"/>
      <c r="Y13" s="319"/>
      <c r="Z13" s="319"/>
    </row>
    <row r="14" spans="1:26" x14ac:dyDescent="0.25">
      <c r="B14" s="702">
        <v>2001</v>
      </c>
      <c r="C14" s="1304">
        <v>2792.22</v>
      </c>
      <c r="D14" s="316"/>
      <c r="O14" s="318"/>
      <c r="P14" s="1636">
        <v>2013</v>
      </c>
      <c r="Q14" s="1637">
        <v>5575.2435699999996</v>
      </c>
      <c r="R14" s="318"/>
      <c r="S14" s="318"/>
      <c r="T14" s="318"/>
      <c r="V14" s="319"/>
      <c r="W14" s="319"/>
      <c r="X14" s="319"/>
      <c r="Y14" s="319"/>
      <c r="Z14" s="319"/>
    </row>
    <row r="15" spans="1:26" x14ac:dyDescent="0.25">
      <c r="B15" s="703">
        <v>2002</v>
      </c>
      <c r="C15" s="1305">
        <v>2908.2</v>
      </c>
      <c r="D15" s="316"/>
      <c r="O15" s="318"/>
      <c r="P15" s="1636">
        <v>2014</v>
      </c>
      <c r="Q15" s="1637">
        <v>5737.27</v>
      </c>
      <c r="R15" s="318"/>
      <c r="S15" s="318"/>
      <c r="T15" s="318"/>
      <c r="U15" s="260"/>
      <c r="V15" s="319"/>
      <c r="W15" s="319"/>
      <c r="X15" s="319"/>
      <c r="Y15" s="319"/>
      <c r="Z15" s="319"/>
    </row>
    <row r="16" spans="1:26" x14ac:dyDescent="0.25">
      <c r="B16" s="702">
        <v>2003</v>
      </c>
      <c r="C16" s="1304">
        <v>2964.7548999999999</v>
      </c>
      <c r="D16" s="316"/>
      <c r="O16" s="318"/>
      <c r="P16" s="1636">
        <v>2015</v>
      </c>
      <c r="Q16" s="1637">
        <v>6275</v>
      </c>
      <c r="R16" s="318"/>
      <c r="S16" s="318"/>
      <c r="T16" s="318"/>
      <c r="V16" s="319"/>
      <c r="W16" s="319"/>
      <c r="X16" s="319"/>
      <c r="Y16" s="319"/>
      <c r="Z16" s="319"/>
    </row>
    <row r="17" spans="2:26" x14ac:dyDescent="0.25">
      <c r="B17" s="703">
        <v>2004</v>
      </c>
      <c r="C17" s="1305">
        <v>3130.8466199999993</v>
      </c>
      <c r="D17" s="316"/>
      <c r="O17" s="318"/>
      <c r="P17" s="1636">
        <v>2016</v>
      </c>
      <c r="Q17" s="1637">
        <v>6492.4099800000004</v>
      </c>
      <c r="R17" s="318"/>
      <c r="S17" s="318"/>
      <c r="T17" s="318"/>
      <c r="V17" s="319"/>
      <c r="W17" s="319"/>
      <c r="X17" s="319"/>
      <c r="Y17" s="319"/>
      <c r="Z17" s="319"/>
    </row>
    <row r="18" spans="2:26" x14ac:dyDescent="0.25">
      <c r="B18" s="702">
        <v>2005</v>
      </c>
      <c r="C18" s="1304">
        <v>3305.0140500000002</v>
      </c>
      <c r="D18" s="316"/>
      <c r="O18" s="318"/>
      <c r="P18" s="1636">
        <v>2017</v>
      </c>
      <c r="Q18" s="1637">
        <v>6559.0633399999997</v>
      </c>
      <c r="R18" s="318"/>
      <c r="S18" s="318"/>
      <c r="T18" s="322"/>
      <c r="V18" s="323"/>
      <c r="W18" s="323"/>
      <c r="X18" s="323"/>
      <c r="Y18" s="323"/>
      <c r="Z18" s="324"/>
    </row>
    <row r="19" spans="2:26" x14ac:dyDescent="0.25">
      <c r="B19" s="703">
        <v>2006</v>
      </c>
      <c r="C19" s="1305">
        <v>3580</v>
      </c>
      <c r="D19" s="316"/>
      <c r="O19" s="318"/>
      <c r="P19" s="1636">
        <v>2018</v>
      </c>
      <c r="Q19" s="1637">
        <v>6884.5910000000003</v>
      </c>
      <c r="R19" s="325"/>
      <c r="S19" s="325"/>
      <c r="T19" s="322"/>
      <c r="V19" s="323"/>
      <c r="W19" s="323"/>
      <c r="X19" s="323"/>
      <c r="Y19" s="323"/>
      <c r="Z19" s="324"/>
    </row>
    <row r="20" spans="2:26" x14ac:dyDescent="0.25">
      <c r="B20" s="702">
        <v>2007</v>
      </c>
      <c r="C20" s="1304">
        <v>3965.6038100000005</v>
      </c>
      <c r="D20" s="316"/>
      <c r="O20" s="318"/>
      <c r="P20" s="1636">
        <v>2019</v>
      </c>
      <c r="Q20" s="1637">
        <v>7017.5709999999999</v>
      </c>
    </row>
    <row r="21" spans="2:26" x14ac:dyDescent="0.25">
      <c r="B21" s="703">
        <v>2008</v>
      </c>
      <c r="C21" s="1305">
        <v>4198.6589700000004</v>
      </c>
      <c r="D21" s="316"/>
      <c r="O21" s="318"/>
      <c r="P21" s="1636">
        <v>2020</v>
      </c>
      <c r="Q21" s="1637">
        <v>7125.2993800000004</v>
      </c>
    </row>
    <row r="22" spans="2:26" x14ac:dyDescent="0.25">
      <c r="B22" s="1412">
        <v>2009</v>
      </c>
      <c r="C22" s="1304">
        <v>4322.3748300000007</v>
      </c>
      <c r="D22" s="316"/>
      <c r="O22" s="318"/>
      <c r="P22" s="1636">
        <v>2021</v>
      </c>
      <c r="Q22" s="1637">
        <v>7173.03</v>
      </c>
    </row>
    <row r="23" spans="2:26" x14ac:dyDescent="0.25">
      <c r="B23" s="703">
        <v>2010</v>
      </c>
      <c r="C23" s="1305">
        <v>4578.9431199999999</v>
      </c>
      <c r="D23" s="316"/>
      <c r="O23" s="318"/>
      <c r="P23" s="1636">
        <v>2022</v>
      </c>
      <c r="Q23" s="1637">
        <v>7467.4497399999982</v>
      </c>
    </row>
    <row r="24" spans="2:26" x14ac:dyDescent="0.25">
      <c r="B24" s="702">
        <v>2011</v>
      </c>
      <c r="C24" s="1304">
        <v>4961.1929899999996</v>
      </c>
      <c r="D24" s="316"/>
      <c r="O24" s="318"/>
      <c r="P24" s="1633"/>
      <c r="Q24" s="1633"/>
    </row>
    <row r="25" spans="2:26" x14ac:dyDescent="0.25">
      <c r="B25" s="1410">
        <v>2012</v>
      </c>
      <c r="C25" s="1306">
        <v>5291</v>
      </c>
      <c r="D25" s="316"/>
      <c r="O25" s="318"/>
    </row>
    <row r="26" spans="2:26" x14ac:dyDescent="0.25">
      <c r="B26" s="702">
        <v>2013</v>
      </c>
      <c r="C26" s="1304">
        <v>5575.2435699999996</v>
      </c>
      <c r="D26" s="316"/>
      <c r="O26" s="318"/>
    </row>
    <row r="27" spans="2:26" x14ac:dyDescent="0.25">
      <c r="B27" s="1410">
        <v>2014</v>
      </c>
      <c r="C27" s="1306">
        <v>5737.27</v>
      </c>
      <c r="D27" s="316"/>
      <c r="O27" s="318"/>
    </row>
    <row r="28" spans="2:26" x14ac:dyDescent="0.25">
      <c r="B28" s="702">
        <v>2015</v>
      </c>
      <c r="C28" s="1304">
        <v>6275</v>
      </c>
      <c r="D28" s="316"/>
      <c r="O28" s="318"/>
    </row>
    <row r="29" spans="2:26" x14ac:dyDescent="0.25">
      <c r="B29" s="1410">
        <v>2016</v>
      </c>
      <c r="C29" s="1306">
        <v>6492.4099800000004</v>
      </c>
      <c r="D29" s="316"/>
      <c r="O29" s="318"/>
    </row>
    <row r="30" spans="2:26" x14ac:dyDescent="0.25">
      <c r="B30" s="702">
        <v>2017</v>
      </c>
      <c r="C30" s="1304">
        <v>6559.0633399999997</v>
      </c>
      <c r="D30" s="316"/>
      <c r="O30" s="318"/>
    </row>
    <row r="31" spans="2:26" x14ac:dyDescent="0.25">
      <c r="B31" s="1410">
        <v>2018</v>
      </c>
      <c r="C31" s="1306">
        <v>6884.5910000000003</v>
      </c>
      <c r="D31" s="316"/>
      <c r="O31" s="318"/>
    </row>
    <row r="32" spans="2:26" x14ac:dyDescent="0.25">
      <c r="B32" s="702">
        <v>2019</v>
      </c>
      <c r="C32" s="1304">
        <v>7017.5709999999999</v>
      </c>
      <c r="D32" s="316"/>
      <c r="O32" s="318"/>
    </row>
    <row r="33" spans="2:15" x14ac:dyDescent="0.25">
      <c r="B33" s="1410">
        <v>2020</v>
      </c>
      <c r="C33" s="1306">
        <v>7125.2993800000004</v>
      </c>
      <c r="D33" s="316"/>
      <c r="O33" s="318"/>
    </row>
    <row r="34" spans="2:15" x14ac:dyDescent="0.25">
      <c r="B34" s="702">
        <v>2021</v>
      </c>
      <c r="C34" s="1304">
        <v>7173.03</v>
      </c>
      <c r="D34" s="316"/>
      <c r="O34" s="318"/>
    </row>
    <row r="35" spans="2:15" ht="13" thickBot="1" x14ac:dyDescent="0.3">
      <c r="B35" s="1410">
        <v>2022</v>
      </c>
      <c r="C35" s="1306">
        <v>7467.4497399999982</v>
      </c>
      <c r="D35" s="316"/>
      <c r="O35" s="318"/>
    </row>
    <row r="36" spans="2:15" s="493" customFormat="1" ht="14.25" customHeight="1" x14ac:dyDescent="0.25">
      <c r="B36" s="854" t="s">
        <v>161</v>
      </c>
      <c r="C36" s="1300">
        <f>(C35/C34)-1</f>
        <v>4.1045379707041363E-2</v>
      </c>
      <c r="D36" s="855"/>
      <c r="E36" s="856"/>
      <c r="F36" s="856"/>
      <c r="G36" s="856"/>
    </row>
    <row r="37" spans="2:15" s="493" customFormat="1" ht="14.25" customHeight="1" x14ac:dyDescent="0.25">
      <c r="B37" s="857" t="s">
        <v>162</v>
      </c>
      <c r="C37" s="1301">
        <f>((C35/C30)^(1/5))-1</f>
        <v>2.6280546260255333E-2</v>
      </c>
      <c r="D37" s="316"/>
      <c r="E37" s="856"/>
      <c r="F37" s="856"/>
      <c r="G37" s="856"/>
    </row>
    <row r="38" spans="2:15" s="493" customFormat="1" ht="14.25" customHeight="1" x14ac:dyDescent="0.25">
      <c r="B38" s="858" t="s">
        <v>163</v>
      </c>
      <c r="C38" s="1302">
        <f>(C35/C25)-1</f>
        <v>0.4113494122094119</v>
      </c>
      <c r="D38" s="316"/>
      <c r="E38" s="859"/>
      <c r="F38" s="859"/>
      <c r="G38" s="859"/>
    </row>
    <row r="39" spans="2:15" s="493" customFormat="1" ht="14.25" customHeight="1" thickBot="1" x14ac:dyDescent="0.3">
      <c r="B39" s="860" t="s">
        <v>164</v>
      </c>
      <c r="C39" s="1303">
        <f>((C35/C25)^(1/10))-1</f>
        <v>3.5055064447080175E-2</v>
      </c>
    </row>
    <row r="40" spans="2:15" x14ac:dyDescent="0.25">
      <c r="B40" s="326" t="s">
        <v>111</v>
      </c>
    </row>
    <row r="41" spans="2:15" x14ac:dyDescent="0.25">
      <c r="B41" s="1283" t="s">
        <v>236</v>
      </c>
    </row>
    <row r="42" spans="2:15" x14ac:dyDescent="0.25">
      <c r="B42" s="327"/>
    </row>
    <row r="44" spans="2:15" x14ac:dyDescent="0.25">
      <c r="C44" s="328"/>
      <c r="D44" s="260"/>
    </row>
  </sheetData>
  <mergeCells count="1">
    <mergeCell ref="B6:B7"/>
  </mergeCells>
  <pageMargins left="0.35433070866141736" right="0.35433070866141736" top="0.6692913385826772" bottom="0.98425196850393704" header="7.874015748031496E-2" footer="0"/>
  <pageSetup paperSize="9" scale="56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B116"/>
  <sheetViews>
    <sheetView showGridLines="0" view="pageBreakPreview" zoomScale="80" zoomScaleNormal="90" zoomScaleSheetLayoutView="80" workbookViewId="0">
      <selection activeCell="P52" sqref="P52"/>
    </sheetView>
  </sheetViews>
  <sheetFormatPr baseColWidth="10" defaultColWidth="11.453125" defaultRowHeight="12.5" x14ac:dyDescent="0.25"/>
  <cols>
    <col min="1" max="1" width="4.453125" style="315" customWidth="1"/>
    <col min="2" max="2" width="22.1796875" style="315" customWidth="1"/>
    <col min="3" max="3" width="10.54296875" style="315" customWidth="1"/>
    <col min="4" max="15" width="12" style="315" customWidth="1"/>
    <col min="16" max="16" width="11.453125" style="315"/>
    <col min="17" max="17" width="11.7265625" style="315" bestFit="1" customWidth="1"/>
    <col min="18" max="18" width="13.7265625" style="315" bestFit="1" customWidth="1"/>
    <col min="19" max="19" width="14.26953125" style="315" bestFit="1" customWidth="1"/>
    <col min="20" max="20" width="13.7265625" style="315" bestFit="1" customWidth="1"/>
    <col min="21" max="22" width="11.54296875" style="315" customWidth="1"/>
    <col min="23" max="16384" width="11.453125" style="315"/>
  </cols>
  <sheetData>
    <row r="2" spans="1:25" ht="18" x14ac:dyDescent="0.4">
      <c r="A2" s="861" t="s">
        <v>112</v>
      </c>
    </row>
    <row r="3" spans="1:25" ht="15" customHeight="1" x14ac:dyDescent="0.4">
      <c r="B3" s="329"/>
    </row>
    <row r="4" spans="1:25" ht="15" customHeight="1" x14ac:dyDescent="0.25"/>
    <row r="5" spans="1:25" ht="15.5" x14ac:dyDescent="0.35">
      <c r="B5" s="1638" t="s">
        <v>200</v>
      </c>
      <c r="C5" s="1638"/>
      <c r="D5" s="1638"/>
      <c r="E5" s="1638"/>
      <c r="F5" s="1638"/>
      <c r="G5" s="1638"/>
      <c r="H5" s="1638"/>
      <c r="I5" s="331"/>
      <c r="J5" s="332"/>
      <c r="K5" s="332"/>
      <c r="L5" s="332"/>
      <c r="M5" s="332"/>
      <c r="N5" s="332"/>
      <c r="O5" s="332"/>
    </row>
    <row r="6" spans="1:25" ht="11.25" customHeight="1" thickBot="1" x14ac:dyDescent="0.3">
      <c r="B6" s="333"/>
      <c r="C6" s="333"/>
      <c r="D6" s="1425"/>
      <c r="E6" s="1425"/>
      <c r="F6" s="1425"/>
      <c r="G6" s="1425"/>
      <c r="H6" s="333"/>
      <c r="I6" s="333"/>
      <c r="J6" s="333"/>
      <c r="K6" s="333"/>
      <c r="L6" s="333"/>
      <c r="M6" s="333"/>
      <c r="N6" s="333"/>
      <c r="O6" s="333"/>
    </row>
    <row r="7" spans="1:25" s="493" customFormat="1" ht="15" customHeight="1" x14ac:dyDescent="0.25">
      <c r="B7" s="1514" t="s">
        <v>39</v>
      </c>
      <c r="C7" s="1516" t="s">
        <v>167</v>
      </c>
      <c r="D7" s="1517"/>
      <c r="E7" s="1517"/>
      <c r="F7" s="1517"/>
      <c r="G7" s="1518"/>
      <c r="H7" s="1062" t="s">
        <v>70</v>
      </c>
      <c r="I7" s="1062"/>
      <c r="J7" s="1063"/>
      <c r="K7" s="1063"/>
      <c r="L7" s="1064"/>
      <c r="M7" s="1062" t="s">
        <v>71</v>
      </c>
      <c r="N7" s="1063"/>
      <c r="O7" s="1065"/>
    </row>
    <row r="8" spans="1:25" s="493" customFormat="1" ht="13.5" thickBot="1" x14ac:dyDescent="0.3">
      <c r="B8" s="1515"/>
      <c r="C8" s="1207" t="s">
        <v>53</v>
      </c>
      <c r="D8" s="1066" t="s">
        <v>76</v>
      </c>
      <c r="E8" s="1310" t="s">
        <v>77</v>
      </c>
      <c r="F8" s="1101" t="s">
        <v>74</v>
      </c>
      <c r="G8" s="1101" t="s">
        <v>75</v>
      </c>
      <c r="H8" s="1068" t="s">
        <v>53</v>
      </c>
      <c r="I8" s="1067" t="s">
        <v>76</v>
      </c>
      <c r="J8" s="1067" t="s">
        <v>77</v>
      </c>
      <c r="K8" s="1067" t="s">
        <v>74</v>
      </c>
      <c r="L8" s="1067" t="s">
        <v>75</v>
      </c>
      <c r="M8" s="1069" t="s">
        <v>53</v>
      </c>
      <c r="N8" s="1070" t="s">
        <v>76</v>
      </c>
      <c r="O8" s="1071" t="s">
        <v>77</v>
      </c>
      <c r="W8" s="899"/>
      <c r="X8" s="899"/>
      <c r="Y8" s="899"/>
    </row>
    <row r="9" spans="1:25" ht="13" x14ac:dyDescent="0.3">
      <c r="B9" s="1407">
        <v>1995</v>
      </c>
      <c r="C9" s="343">
        <f t="shared" ref="C9:C14" si="0">SUM(D9:G9)</f>
        <v>16880.114601000001</v>
      </c>
      <c r="D9" s="344">
        <f t="shared" ref="D9:E14" si="1">(I9+N9)</f>
        <v>12937.553461</v>
      </c>
      <c r="E9" s="345">
        <f t="shared" si="1"/>
        <v>3942.5611400000003</v>
      </c>
      <c r="F9" s="346"/>
      <c r="G9" s="1307" t="s">
        <v>32</v>
      </c>
      <c r="H9" s="348">
        <f t="shared" ref="H9:H27" si="2">SUM(I9:L9)</f>
        <v>13106.313096999998</v>
      </c>
      <c r="I9" s="349">
        <f>+'5.3 y 5.4'!E7+'5.3 y 5.4'!M7+'5.3 y 5.4'!J7</f>
        <v>11540.590328999999</v>
      </c>
      <c r="J9" s="349">
        <f>+'5.3 y 5.4'!F7+'5.3 y 5.4'!N7+'5.3 y 5.4'!K7</f>
        <v>1565.7227680000001</v>
      </c>
      <c r="K9" s="349"/>
      <c r="L9" s="1415" t="str">
        <f>+'5.3 y 5.4'!P7</f>
        <v>---</v>
      </c>
      <c r="M9" s="351">
        <f t="shared" ref="M9:M27" si="3">SUM(N9:O9)</f>
        <v>3773.801504</v>
      </c>
      <c r="N9" s="349">
        <f>+'5.3 y 5.4'!E76+'5.3 y 5.4'!K76+'5.3 y 5.4'!H76</f>
        <v>1396.9631319999999</v>
      </c>
      <c r="O9" s="352">
        <f>+'5.3 y 5.4'!F76+'5.3 y 5.4'!L76+'5.3 y 5.4'!I76</f>
        <v>2376.8383720000002</v>
      </c>
      <c r="Q9" s="371"/>
      <c r="W9" s="321"/>
      <c r="X9" s="353"/>
      <c r="Y9" s="354"/>
    </row>
    <row r="10" spans="1:25" ht="13" x14ac:dyDescent="0.3">
      <c r="B10" s="1408">
        <v>1996</v>
      </c>
      <c r="C10" s="355">
        <f t="shared" si="0"/>
        <v>17279.812292999999</v>
      </c>
      <c r="D10" s="336">
        <f t="shared" si="1"/>
        <v>13323.572077999999</v>
      </c>
      <c r="E10" s="337">
        <f t="shared" si="1"/>
        <v>3955.8302150000004</v>
      </c>
      <c r="F10" s="338"/>
      <c r="G10" s="338">
        <f>+L10</f>
        <v>0.41</v>
      </c>
      <c r="H10" s="338">
        <f t="shared" si="2"/>
        <v>13307.577020999999</v>
      </c>
      <c r="I10" s="340">
        <f>+'5.3 y 5.4'!E8+'5.3 y 5.4'!M8+'5.3 y 5.4'!J8</f>
        <v>11847.925377</v>
      </c>
      <c r="J10" s="340">
        <f>+'5.3 y 5.4'!F8+'5.3 y 5.4'!N8+'5.3 y 5.4'!K8</f>
        <v>1459.2416440000002</v>
      </c>
      <c r="K10" s="340"/>
      <c r="L10" s="1308">
        <f>'5.3 y 5.4'!H8+'5.3 y 5.4'!P8</f>
        <v>0.41</v>
      </c>
      <c r="M10" s="358">
        <f t="shared" si="3"/>
        <v>3972.2352720000004</v>
      </c>
      <c r="N10" s="340">
        <f>+'5.3 y 5.4'!E77+'5.3 y 5.4'!K77+'5.3 y 5.4'!H77</f>
        <v>1475.6467010000001</v>
      </c>
      <c r="O10" s="342">
        <f>+'5.3 y 5.4'!F77+'5.3 y 5.4'!L77+'5.3 y 5.4'!I77</f>
        <v>2496.5885710000002</v>
      </c>
      <c r="Q10" s="371"/>
      <c r="W10" s="321"/>
      <c r="X10" s="353"/>
      <c r="Y10" s="354"/>
    </row>
    <row r="11" spans="1:25" ht="13" x14ac:dyDescent="0.3">
      <c r="B11" s="1407">
        <v>1997</v>
      </c>
      <c r="C11" s="359">
        <f t="shared" si="0"/>
        <v>17953.407575000001</v>
      </c>
      <c r="D11" s="344">
        <f t="shared" si="1"/>
        <v>13214.529482000002</v>
      </c>
      <c r="E11" s="345">
        <f t="shared" si="1"/>
        <v>4738.3224370000007</v>
      </c>
      <c r="F11" s="346"/>
      <c r="G11" s="346">
        <f t="shared" ref="G11:G24" si="4">+L11</f>
        <v>0.55565599999999993</v>
      </c>
      <c r="H11" s="348">
        <f t="shared" si="2"/>
        <v>15348.556876000002</v>
      </c>
      <c r="I11" s="349">
        <f>+'5.3 y 5.4'!E9+'5.3 y 5.4'!M9+'5.3 y 5.4'!J9</f>
        <v>12264.791790000001</v>
      </c>
      <c r="J11" s="349">
        <f>+'5.3 y 5.4'!F9+'5.3 y 5.4'!N9+'5.3 y 5.4'!K9</f>
        <v>3083.2094300000008</v>
      </c>
      <c r="K11" s="349"/>
      <c r="L11" s="364">
        <f>'5.3 y 5.4'!H9+'5.3 y 5.4'!P9</f>
        <v>0.55565599999999993</v>
      </c>
      <c r="M11" s="351">
        <f t="shared" si="3"/>
        <v>2604.8506989999996</v>
      </c>
      <c r="N11" s="349">
        <f>+'5.3 y 5.4'!E78+'5.3 y 5.4'!K78+'5.3 y 5.4'!H78</f>
        <v>949.73769199999992</v>
      </c>
      <c r="O11" s="352">
        <f>+'5.3 y 5.4'!F78+'5.3 y 5.4'!L78+'5.3 y 5.4'!I78</f>
        <v>1655.1130069999999</v>
      </c>
      <c r="Q11" s="371"/>
      <c r="W11" s="321"/>
      <c r="X11" s="353"/>
      <c r="Y11" s="354"/>
    </row>
    <row r="12" spans="1:25" ht="13" x14ac:dyDescent="0.3">
      <c r="B12" s="1408">
        <v>1998</v>
      </c>
      <c r="C12" s="335">
        <f t="shared" si="0"/>
        <v>18582.538846000003</v>
      </c>
      <c r="D12" s="336">
        <f t="shared" si="1"/>
        <v>13808.285138000003</v>
      </c>
      <c r="E12" s="337">
        <f t="shared" si="1"/>
        <v>4773.7272680000005</v>
      </c>
      <c r="F12" s="338"/>
      <c r="G12" s="338">
        <f t="shared" si="4"/>
        <v>0.52644000000000002</v>
      </c>
      <c r="H12" s="339">
        <f t="shared" si="2"/>
        <v>16815.936847000004</v>
      </c>
      <c r="I12" s="340">
        <f>+'5.3 y 5.4'!E10+'5.3 y 5.4'!M10+'5.3 y 5.4'!J10</f>
        <v>13367.193777000002</v>
      </c>
      <c r="J12" s="340">
        <f>+'5.3 y 5.4'!F10+'5.3 y 5.4'!N10+'5.3 y 5.4'!K10</f>
        <v>3448.2166299999999</v>
      </c>
      <c r="K12" s="340"/>
      <c r="L12" s="362">
        <f>'5.3 y 5.4'!H10+'5.3 y 5.4'!P10</f>
        <v>0.52644000000000002</v>
      </c>
      <c r="M12" s="341">
        <f t="shared" si="3"/>
        <v>1766.6019990000002</v>
      </c>
      <c r="N12" s="340">
        <f>+'5.3 y 5.4'!E79+'5.3 y 5.4'!K79+'5.3 y 5.4'!H79</f>
        <v>441.09136100000001</v>
      </c>
      <c r="O12" s="342">
        <f>+'5.3 y 5.4'!F79+'5.3 y 5.4'!L79+'5.3 y 5.4'!I79</f>
        <v>1325.5106380000002</v>
      </c>
      <c r="Q12" s="371"/>
      <c r="W12" s="321"/>
      <c r="X12" s="353"/>
      <c r="Y12" s="354"/>
    </row>
    <row r="13" spans="1:25" ht="13" x14ac:dyDescent="0.3">
      <c r="B13" s="1407">
        <v>1999</v>
      </c>
      <c r="C13" s="359">
        <f t="shared" si="0"/>
        <v>19049.617396999998</v>
      </c>
      <c r="D13" s="344">
        <f t="shared" si="1"/>
        <v>14540.581285</v>
      </c>
      <c r="E13" s="345">
        <f t="shared" si="1"/>
        <v>4508.4115320000001</v>
      </c>
      <c r="F13" s="346"/>
      <c r="G13" s="346">
        <f t="shared" si="4"/>
        <v>0.62458000000000002</v>
      </c>
      <c r="H13" s="348">
        <f t="shared" si="2"/>
        <v>17366.221878</v>
      </c>
      <c r="I13" s="349">
        <f>+'5.3 y 5.4'!E11+'5.3 y 5.4'!M11+'5.3 y 5.4'!J11</f>
        <v>14110.592026</v>
      </c>
      <c r="J13" s="349">
        <f>+'5.3 y 5.4'!F11+'5.3 y 5.4'!N11+'5.3 y 5.4'!K11</f>
        <v>3255.0052719999999</v>
      </c>
      <c r="K13" s="349"/>
      <c r="L13" s="364">
        <f>'5.3 y 5.4'!H11+'5.3 y 5.4'!P11</f>
        <v>0.62458000000000002</v>
      </c>
      <c r="M13" s="351">
        <f t="shared" si="3"/>
        <v>1683.3955190000001</v>
      </c>
      <c r="N13" s="349">
        <f>+'5.3 y 5.4'!E80+'5.3 y 5.4'!K80+'5.3 y 5.4'!H80</f>
        <v>429.98925900000006</v>
      </c>
      <c r="O13" s="352">
        <f>+'5.3 y 5.4'!F80+'5.3 y 5.4'!L80+'5.3 y 5.4'!I80</f>
        <v>1253.40626</v>
      </c>
      <c r="Q13" s="371"/>
      <c r="W13" s="321"/>
      <c r="X13" s="353"/>
      <c r="Y13" s="354"/>
    </row>
    <row r="14" spans="1:25" ht="13" x14ac:dyDescent="0.3">
      <c r="B14" s="1408">
        <v>2000</v>
      </c>
      <c r="C14" s="355">
        <f t="shared" si="0"/>
        <v>19922.697338000002</v>
      </c>
      <c r="D14" s="336">
        <f t="shared" si="1"/>
        <v>16176.051366</v>
      </c>
      <c r="E14" s="337">
        <f t="shared" si="1"/>
        <v>3745.8002719999995</v>
      </c>
      <c r="F14" s="338"/>
      <c r="G14" s="338">
        <f t="shared" si="4"/>
        <v>0.84570000000000001</v>
      </c>
      <c r="H14" s="339">
        <f t="shared" si="2"/>
        <v>18327.897719000001</v>
      </c>
      <c r="I14" s="340">
        <f>+'5.3 y 5.4'!E12+'5.3 y 5.4'!M12+'5.3 y 5.4'!J12</f>
        <v>15747.323264999999</v>
      </c>
      <c r="J14" s="340">
        <f>+'5.3 y 5.4'!F12+'5.3 y 5.4'!N12+'5.3 y 5.4'!K12</f>
        <v>2579.7287539999998</v>
      </c>
      <c r="K14" s="340"/>
      <c r="L14" s="362">
        <f>'5.3 y 5.4'!H12+'5.3 y 5.4'!P12</f>
        <v>0.84570000000000001</v>
      </c>
      <c r="M14" s="341">
        <f t="shared" si="3"/>
        <v>1594.7996189999994</v>
      </c>
      <c r="N14" s="340">
        <f>+'5.3 y 5.4'!E81+'5.3 y 5.4'!K81+'5.3 y 5.4'!H81</f>
        <v>428.72810099999998</v>
      </c>
      <c r="O14" s="342">
        <f>+'5.3 y 5.4'!F81+'5.3 y 5.4'!L81+'5.3 y 5.4'!I81</f>
        <v>1166.0715179999995</v>
      </c>
      <c r="Q14" s="371"/>
      <c r="W14" s="321"/>
      <c r="X14" s="353"/>
      <c r="Y14" s="354"/>
    </row>
    <row r="15" spans="1:25" ht="13" x14ac:dyDescent="0.3">
      <c r="B15" s="647">
        <v>2001</v>
      </c>
      <c r="C15" s="343">
        <f t="shared" ref="C15:C27" si="5">SUM(D15:G15)</f>
        <v>20785.725534999998</v>
      </c>
      <c r="D15" s="344">
        <f>(I15+N15)</f>
        <v>17614.760199999997</v>
      </c>
      <c r="E15" s="345">
        <f>(J15+O15)</f>
        <v>3169.7389349999999</v>
      </c>
      <c r="F15" s="346"/>
      <c r="G15" s="346">
        <f t="shared" si="4"/>
        <v>1.2264000000000002</v>
      </c>
      <c r="H15" s="348">
        <f t="shared" si="2"/>
        <v>19214.506641999997</v>
      </c>
      <c r="I15" s="349">
        <f>+'5.3 y 5.4'!E14+'5.3 y 5.4'!M14</f>
        <v>17188.330773999998</v>
      </c>
      <c r="J15" s="349">
        <f>+'5.3 y 5.4'!F14+'5.3 y 5.4'!N14</f>
        <v>2024.9494680000003</v>
      </c>
      <c r="K15" s="349"/>
      <c r="L15" s="364">
        <f>'5.3 y 5.4'!H14+'5.3 y 5.4'!P14</f>
        <v>1.2264000000000002</v>
      </c>
      <c r="M15" s="351">
        <f t="shared" si="3"/>
        <v>1571.2188929999998</v>
      </c>
      <c r="N15" s="349">
        <f>+'5.3 y 5.4'!E83+'5.3 y 5.4'!K83</f>
        <v>426.42942600000003</v>
      </c>
      <c r="O15" s="352">
        <f>+'5.3 y 5.4'!F83+'5.3 y 5.4'!L83</f>
        <v>1144.7894669999996</v>
      </c>
      <c r="Q15" s="371"/>
    </row>
    <row r="16" spans="1:25" ht="13" x14ac:dyDescent="0.3">
      <c r="B16" s="446">
        <v>2002</v>
      </c>
      <c r="C16" s="355">
        <f t="shared" si="5"/>
        <v>21982.323172000008</v>
      </c>
      <c r="D16" s="336">
        <f t="shared" ref="D16:E28" si="6">SUM(I16,N16)</f>
        <v>18040.127915000005</v>
      </c>
      <c r="E16" s="337">
        <f t="shared" si="6"/>
        <v>3940.9688570000035</v>
      </c>
      <c r="F16" s="337"/>
      <c r="G16" s="337">
        <f t="shared" si="4"/>
        <v>1.2264000000000002</v>
      </c>
      <c r="H16" s="338">
        <f t="shared" si="2"/>
        <v>20419.508673000004</v>
      </c>
      <c r="I16" s="362">
        <f>+'5.3 y 5.4'!E15+'5.3 y 5.4'!M15</f>
        <v>17638.158238000004</v>
      </c>
      <c r="J16" s="362">
        <f>+'5.3 y 5.4'!F15+'5.3 y 5.4'!N15</f>
        <v>2780.1240350000003</v>
      </c>
      <c r="K16" s="362"/>
      <c r="L16" s="362">
        <f>'5.3 y 5.4'!H15+'5.3 y 5.4'!P15</f>
        <v>1.2264000000000002</v>
      </c>
      <c r="M16" s="341">
        <f t="shared" si="3"/>
        <v>1562.8144990000035</v>
      </c>
      <c r="N16" s="340">
        <f>+'5.3 y 5.4'!E84+'5.3 y 5.4'!K84</f>
        <v>401.9696770000001</v>
      </c>
      <c r="O16" s="342">
        <f>+'5.3 y 5.4'!F84+'5.3 y 5.4'!L84</f>
        <v>1160.8448220000034</v>
      </c>
      <c r="Q16" s="371"/>
      <c r="W16" s="321"/>
      <c r="X16" s="353"/>
      <c r="Y16" s="354"/>
    </row>
    <row r="17" spans="2:28" ht="13" x14ac:dyDescent="0.3">
      <c r="B17" s="647">
        <v>2003</v>
      </c>
      <c r="C17" s="343">
        <f t="shared" si="5"/>
        <v>22923.353873999997</v>
      </c>
      <c r="D17" s="344">
        <f t="shared" si="6"/>
        <v>18533.720860999994</v>
      </c>
      <c r="E17" s="345">
        <f t="shared" si="6"/>
        <v>4388.4066130000028</v>
      </c>
      <c r="F17" s="345"/>
      <c r="G17" s="345">
        <f t="shared" si="4"/>
        <v>1.2264000000000002</v>
      </c>
      <c r="H17" s="346">
        <f t="shared" si="2"/>
        <v>21361.462929999994</v>
      </c>
      <c r="I17" s="364">
        <f>+'5.3 y 5.4'!E16+'5.3 y 5.4'!M16</f>
        <v>18118.333137999995</v>
      </c>
      <c r="J17" s="364">
        <f>+'5.3 y 5.4'!F16+'5.3 y 5.4'!N16</f>
        <v>3241.9033919999997</v>
      </c>
      <c r="K17" s="364"/>
      <c r="L17" s="364">
        <f>'5.3 y 5.4'!H16+'5.3 y 5.4'!P16</f>
        <v>1.2264000000000002</v>
      </c>
      <c r="M17" s="351">
        <f t="shared" si="3"/>
        <v>1561.8909440000034</v>
      </c>
      <c r="N17" s="349">
        <f>+'5.3 y 5.4'!E85+'5.3 y 5.4'!K85</f>
        <v>415.38772300000005</v>
      </c>
      <c r="O17" s="352">
        <f>+'5.3 y 5.4'!F85+'5.3 y 5.4'!L85</f>
        <v>1146.5032210000034</v>
      </c>
      <c r="Q17" s="371"/>
      <c r="W17" s="321"/>
      <c r="X17" s="353"/>
      <c r="Y17" s="354"/>
    </row>
    <row r="18" spans="2:28" ht="13" x14ac:dyDescent="0.3">
      <c r="B18" s="446">
        <v>2004</v>
      </c>
      <c r="C18" s="355">
        <f t="shared" si="5"/>
        <v>24267.012071000005</v>
      </c>
      <c r="D18" s="336">
        <f t="shared" si="6"/>
        <v>17525.338961000005</v>
      </c>
      <c r="E18" s="337">
        <f t="shared" si="6"/>
        <v>6740.4467100000011</v>
      </c>
      <c r="F18" s="337"/>
      <c r="G18" s="337">
        <f t="shared" si="4"/>
        <v>1.2264000000000002</v>
      </c>
      <c r="H18" s="338">
        <f t="shared" si="2"/>
        <v>22619.938791000004</v>
      </c>
      <c r="I18" s="362">
        <f>+'5.3 y 5.4'!E17+'5.3 y 5.4'!M17</f>
        <v>17100.664633000004</v>
      </c>
      <c r="J18" s="362">
        <f>+'5.3 y 5.4'!F17+'5.3 y 5.4'!N17</f>
        <v>5518.0477580000006</v>
      </c>
      <c r="K18" s="362"/>
      <c r="L18" s="362">
        <f>'5.3 y 5.4'!H17+'5.3 y 5.4'!P17</f>
        <v>1.2264000000000002</v>
      </c>
      <c r="M18" s="341">
        <f t="shared" si="3"/>
        <v>1647.0732800000003</v>
      </c>
      <c r="N18" s="340">
        <f>+'5.3 y 5.4'!E86+'5.3 y 5.4'!K86</f>
        <v>424.674328</v>
      </c>
      <c r="O18" s="342">
        <f>+'5.3 y 5.4'!F86+'5.3 y 5.4'!L86</f>
        <v>1222.3989520000002</v>
      </c>
      <c r="Q18" s="371"/>
      <c r="W18" s="321"/>
      <c r="X18" s="353"/>
      <c r="Y18" s="354"/>
    </row>
    <row r="19" spans="2:28" ht="13" x14ac:dyDescent="0.3">
      <c r="B19" s="647">
        <v>2005</v>
      </c>
      <c r="C19" s="343">
        <f t="shared" si="5"/>
        <v>25509.736815000004</v>
      </c>
      <c r="D19" s="344">
        <f t="shared" si="6"/>
        <v>17976.993336</v>
      </c>
      <c r="E19" s="345">
        <f t="shared" si="6"/>
        <v>7531.5170790000029</v>
      </c>
      <c r="F19" s="345"/>
      <c r="G19" s="345">
        <f t="shared" si="4"/>
        <v>1.2264000000000002</v>
      </c>
      <c r="H19" s="346">
        <f t="shared" si="2"/>
        <v>23810.874944792748</v>
      </c>
      <c r="I19" s="364">
        <f>+'5.3 y 5.4'!E18+'5.3 y 5.4'!M18</f>
        <v>17567.105377792748</v>
      </c>
      <c r="J19" s="364">
        <f>+'5.3 y 5.4'!F18+'5.3 y 5.4'!N18</f>
        <v>6242.5431669999998</v>
      </c>
      <c r="K19" s="364"/>
      <c r="L19" s="364">
        <f>'5.3 y 5.4'!H18+'5.3 y 5.4'!P18</f>
        <v>1.2264000000000002</v>
      </c>
      <c r="M19" s="351">
        <f t="shared" si="3"/>
        <v>1698.8618702072531</v>
      </c>
      <c r="N19" s="349">
        <f>+'5.3 y 5.4'!E87+'5.3 y 5.4'!K87</f>
        <v>409.88795820724977</v>
      </c>
      <c r="O19" s="352">
        <f>+'5.3 y 5.4'!F87+'5.3 y 5.4'!L87</f>
        <v>1288.9739120000033</v>
      </c>
      <c r="Q19" s="371"/>
      <c r="W19" s="321"/>
      <c r="X19" s="353"/>
      <c r="Y19" s="354"/>
    </row>
    <row r="20" spans="2:28" ht="13" x14ac:dyDescent="0.3">
      <c r="B20" s="446">
        <v>2006</v>
      </c>
      <c r="C20" s="355">
        <f>SUM(D20:G20)</f>
        <v>27369.828727579996</v>
      </c>
      <c r="D20" s="336">
        <f t="shared" si="6"/>
        <v>19594.347163999995</v>
      </c>
      <c r="E20" s="337">
        <f t="shared" si="6"/>
        <v>7774.255163580001</v>
      </c>
      <c r="F20" s="337"/>
      <c r="G20" s="337">
        <f t="shared" si="4"/>
        <v>1.2264000000000002</v>
      </c>
      <c r="H20" s="338">
        <f t="shared" si="2"/>
        <v>25613.763789958582</v>
      </c>
      <c r="I20" s="362">
        <f>+'5.3 y 5.4'!E19+'5.3 y 5.4'!M19</f>
        <v>19160.751642958581</v>
      </c>
      <c r="J20" s="362">
        <f>+'5.3 y 5.4'!F19+'5.3 y 5.4'!N19</f>
        <v>6451.7857470000008</v>
      </c>
      <c r="K20" s="362"/>
      <c r="L20" s="362">
        <f>'5.3 y 5.4'!H19+'5.3 y 5.4'!P19</f>
        <v>1.2264000000000002</v>
      </c>
      <c r="M20" s="341">
        <f t="shared" si="3"/>
        <v>1756.0649376214139</v>
      </c>
      <c r="N20" s="340">
        <f>+'5.3 y 5.4'!E88+'5.3 y 5.4'!K88</f>
        <v>433.59552104141386</v>
      </c>
      <c r="O20" s="342">
        <f>+'5.3 y 5.4'!F88+'5.3 y 5.4'!L88</f>
        <v>1322.4694165800001</v>
      </c>
      <c r="Q20" s="371"/>
      <c r="W20" s="321"/>
      <c r="X20" s="353"/>
      <c r="Y20" s="354"/>
    </row>
    <row r="21" spans="2:28" ht="13" x14ac:dyDescent="0.3">
      <c r="B21" s="647">
        <v>2007</v>
      </c>
      <c r="C21" s="359">
        <f t="shared" si="5"/>
        <v>29943.047142000003</v>
      </c>
      <c r="D21" s="344">
        <f t="shared" si="6"/>
        <v>19548.782020000002</v>
      </c>
      <c r="E21" s="344">
        <f t="shared" si="6"/>
        <v>10393.038722000001</v>
      </c>
      <c r="F21" s="344"/>
      <c r="G21" s="345">
        <f t="shared" si="4"/>
        <v>1.2264000000000002</v>
      </c>
      <c r="H21" s="346">
        <f t="shared" si="2"/>
        <v>28200.491090340001</v>
      </c>
      <c r="I21" s="364">
        <f>+'5.3 y 5.4'!E20+'5.3 y 5.4'!M20</f>
        <v>19107.193966340001</v>
      </c>
      <c r="J21" s="364">
        <f>+'5.3 y 5.4'!F20+'5.3 y 5.4'!N20</f>
        <v>9092.0707240000011</v>
      </c>
      <c r="K21" s="364"/>
      <c r="L21" s="364">
        <f>'5.3 y 5.4'!H20+'5.3 y 5.4'!P20</f>
        <v>1.2264000000000002</v>
      </c>
      <c r="M21" s="351">
        <f t="shared" si="3"/>
        <v>1742.5560516600003</v>
      </c>
      <c r="N21" s="349">
        <f>+'5.3 y 5.4'!E89+'5.3 y 5.4'!K89</f>
        <v>441.58805366000001</v>
      </c>
      <c r="O21" s="352">
        <f>+'5.3 y 5.4'!F89+'5.3 y 5.4'!L89</f>
        <v>1300.9679980000003</v>
      </c>
      <c r="Q21" s="371"/>
      <c r="W21" s="321"/>
      <c r="X21" s="353"/>
      <c r="Y21" s="354"/>
    </row>
    <row r="22" spans="2:28" ht="13" x14ac:dyDescent="0.3">
      <c r="B22" s="578">
        <v>2008</v>
      </c>
      <c r="C22" s="365">
        <f t="shared" si="5"/>
        <v>32463.106282999997</v>
      </c>
      <c r="D22" s="366">
        <f t="shared" si="6"/>
        <v>19059.617748999997</v>
      </c>
      <c r="E22" s="366">
        <f t="shared" si="6"/>
        <v>13402.262134000001</v>
      </c>
      <c r="F22" s="366"/>
      <c r="G22" s="1309">
        <f t="shared" si="4"/>
        <v>1.2264000000000004</v>
      </c>
      <c r="H22" s="368">
        <f t="shared" si="2"/>
        <v>30574.711255999999</v>
      </c>
      <c r="I22" s="369">
        <f>+'5.3 y 5.4'!E21+'5.3 y 5.4'!M21</f>
        <v>18607.792106999997</v>
      </c>
      <c r="J22" s="369">
        <f>+'5.3 y 5.4'!F21+'5.3 y 5.4'!N21</f>
        <v>11965.692749000002</v>
      </c>
      <c r="K22" s="369"/>
      <c r="L22" s="369">
        <f>'5.3 y 5.4'!H21+'5.3 y 5.4'!P21</f>
        <v>1.2264000000000004</v>
      </c>
      <c r="M22" s="371">
        <f t="shared" si="3"/>
        <v>1888.3950269999998</v>
      </c>
      <c r="N22" s="372">
        <f>+'5.3 y 5.4'!E90+'5.3 y 5.4'!K90</f>
        <v>451.82564200000002</v>
      </c>
      <c r="O22" s="373">
        <f>+'5.3 y 5.4'!F90+'5.3 y 5.4'!L90</f>
        <v>1436.5693849999998</v>
      </c>
      <c r="Q22" s="371"/>
      <c r="W22" s="321"/>
      <c r="X22" s="353"/>
      <c r="Y22" s="354"/>
    </row>
    <row r="23" spans="2:28" ht="13" x14ac:dyDescent="0.3">
      <c r="B23" s="647">
        <v>2009</v>
      </c>
      <c r="C23" s="359">
        <f t="shared" si="5"/>
        <v>32944.735820999995</v>
      </c>
      <c r="D23" s="344">
        <f t="shared" si="6"/>
        <v>19903.776404</v>
      </c>
      <c r="E23" s="344">
        <f t="shared" si="6"/>
        <v>13039.733016999999</v>
      </c>
      <c r="F23" s="344"/>
      <c r="G23" s="345">
        <f t="shared" si="4"/>
        <v>1.2264000000000002</v>
      </c>
      <c r="H23" s="346">
        <f t="shared" si="2"/>
        <v>30921.902782999998</v>
      </c>
      <c r="I23" s="364">
        <f>+'5.3 y 5.4'!E22+'5.3 y 5.4'!M22</f>
        <v>19419.221612000001</v>
      </c>
      <c r="J23" s="364">
        <f>+'5.3 y 5.4'!F22+'5.3 y 5.4'!N22</f>
        <v>11501.454770999999</v>
      </c>
      <c r="K23" s="364"/>
      <c r="L23" s="364">
        <f>'5.3 y 5.4'!H22+'5.3 y 5.4'!P22</f>
        <v>1.2264000000000002</v>
      </c>
      <c r="M23" s="351">
        <f t="shared" si="3"/>
        <v>2022.8330380000002</v>
      </c>
      <c r="N23" s="349">
        <f>+'5.3 y 5.4'!E91+'5.3 y 5.4'!K91</f>
        <v>484.55479200000008</v>
      </c>
      <c r="O23" s="352">
        <f>+'5.3 y 5.4'!F91+'5.3 y 5.4'!L91</f>
        <v>1538.2782460000001</v>
      </c>
      <c r="Q23" s="371"/>
      <c r="W23" s="321"/>
      <c r="X23" s="353"/>
      <c r="Y23" s="354"/>
    </row>
    <row r="24" spans="2:28" ht="13" x14ac:dyDescent="0.3">
      <c r="B24" s="578">
        <v>2010</v>
      </c>
      <c r="C24" s="365">
        <f t="shared" si="5"/>
        <v>35908.007941199998</v>
      </c>
      <c r="D24" s="366">
        <f t="shared" si="6"/>
        <v>20052.129280199999</v>
      </c>
      <c r="E24" s="366">
        <f t="shared" si="6"/>
        <v>15854.652260999999</v>
      </c>
      <c r="F24" s="366"/>
      <c r="G24" s="1309">
        <f t="shared" si="4"/>
        <v>1.2264000000000002</v>
      </c>
      <c r="H24" s="368">
        <f t="shared" si="2"/>
        <v>33545.815807199993</v>
      </c>
      <c r="I24" s="369">
        <f>+'5.3 y 5.4'!E23+'5.3 y 5.4'!M23</f>
        <v>19567.404609199999</v>
      </c>
      <c r="J24" s="372">
        <f>+'5.3 y 5.4'!F23+'5.3 y 5.4'!N23</f>
        <v>13977.184797999998</v>
      </c>
      <c r="K24" s="372"/>
      <c r="L24" s="369">
        <f>'5.3 y 5.4'!H23+'5.3 y 5.4'!P23</f>
        <v>1.2264000000000002</v>
      </c>
      <c r="M24" s="371">
        <f t="shared" si="3"/>
        <v>2362.1921339999999</v>
      </c>
      <c r="N24" s="372">
        <f>+'5.3 y 5.4'!E92+'5.3 y 5.4'!K92</f>
        <v>484.72467099999994</v>
      </c>
      <c r="O24" s="373">
        <f>+'5.3 y 5.4'!F92+'5.3 y 5.4'!L92</f>
        <v>1877.467463</v>
      </c>
      <c r="Q24" s="371"/>
      <c r="S24" s="315" t="s">
        <v>76</v>
      </c>
      <c r="T24" s="315" t="s">
        <v>77</v>
      </c>
      <c r="U24" s="374" t="s">
        <v>74</v>
      </c>
      <c r="V24" s="374" t="s">
        <v>75</v>
      </c>
      <c r="W24" s="321"/>
      <c r="X24" s="1284"/>
      <c r="Y24" s="316" t="s">
        <v>76</v>
      </c>
      <c r="Z24" s="316" t="s">
        <v>77</v>
      </c>
      <c r="AA24" s="1285" t="s">
        <v>74</v>
      </c>
      <c r="AB24" s="1285" t="s">
        <v>75</v>
      </c>
    </row>
    <row r="25" spans="2:28" ht="13" x14ac:dyDescent="0.3">
      <c r="B25" s="647">
        <v>2011</v>
      </c>
      <c r="C25" s="359">
        <f t="shared" si="5"/>
        <v>38806.461244008911</v>
      </c>
      <c r="D25" s="344">
        <f t="shared" si="6"/>
        <v>21557.326716785243</v>
      </c>
      <c r="E25" s="344">
        <f t="shared" si="6"/>
        <v>17247.908127223669</v>
      </c>
      <c r="F25" s="344"/>
      <c r="G25" s="345">
        <f>+L25</f>
        <v>1.2264000000000004</v>
      </c>
      <c r="H25" s="346">
        <f>SUM(I25:L25)</f>
        <v>36248.532290235242</v>
      </c>
      <c r="I25" s="364">
        <f>+'5.3 y 5.4'!E24+'5.3 y 5.4'!M24</f>
        <v>21027.418404235243</v>
      </c>
      <c r="J25" s="349">
        <f>+'5.3 y 5.4'!F24+'5.3 y 5.4'!N24</f>
        <v>15219.887485999998</v>
      </c>
      <c r="K25" s="349"/>
      <c r="L25" s="364">
        <f>'5.3 y 5.4'!H24+'5.3 y 5.4'!P24</f>
        <v>1.2264000000000004</v>
      </c>
      <c r="M25" s="351">
        <f>SUM(N25:O25)</f>
        <v>2557.9289537736718</v>
      </c>
      <c r="N25" s="349">
        <f>+'5.3 y 5.4'!E93+'5.3 y 5.4'!K93</f>
        <v>529.90831255000001</v>
      </c>
      <c r="O25" s="352">
        <f>+'5.3 y 5.4'!F93+'5.3 y 5.4'!L93</f>
        <v>2028.0206412236719</v>
      </c>
      <c r="Q25" s="371"/>
      <c r="R25" s="315">
        <v>1995</v>
      </c>
      <c r="S25" s="375">
        <f>D9</f>
        <v>12937.553461</v>
      </c>
      <c r="T25" s="375">
        <f>E9</f>
        <v>3942.5611400000003</v>
      </c>
      <c r="W25" s="321"/>
      <c r="X25" s="94">
        <f>+R25</f>
        <v>1995</v>
      </c>
      <c r="Y25" s="822">
        <f t="shared" ref="Y25:AB25" si="7">+S25</f>
        <v>12937.553461</v>
      </c>
      <c r="Z25" s="822">
        <f t="shared" si="7"/>
        <v>3942.5611400000003</v>
      </c>
      <c r="AA25" s="822">
        <f t="shared" si="7"/>
        <v>0</v>
      </c>
      <c r="AB25" s="371">
        <f t="shared" si="7"/>
        <v>0</v>
      </c>
    </row>
    <row r="26" spans="2:28" ht="13" x14ac:dyDescent="0.3">
      <c r="B26" s="578">
        <v>2012</v>
      </c>
      <c r="C26" s="365">
        <f t="shared" si="5"/>
        <v>41035.983073207899</v>
      </c>
      <c r="D26" s="366">
        <f t="shared" si="6"/>
        <v>22031.93804599997</v>
      </c>
      <c r="E26" s="366">
        <f t="shared" si="6"/>
        <v>18943.135640407931</v>
      </c>
      <c r="F26" s="1309">
        <f>+K26</f>
        <v>59.682986800000002</v>
      </c>
      <c r="G26" s="1309">
        <f>+L26</f>
        <v>1.2264000000000002</v>
      </c>
      <c r="H26" s="368">
        <f t="shared" si="2"/>
        <v>38361.029340799949</v>
      </c>
      <c r="I26" s="369">
        <f>+'5.3 y 5.4'!E25+'5.3 y 5.4'!M25</f>
        <v>21490.80766299997</v>
      </c>
      <c r="J26" s="372">
        <f>+'5.3 y 5.4'!F25+'5.3 y 5.4'!N25</f>
        <v>16809.312290999984</v>
      </c>
      <c r="K26" s="372">
        <f>+'5.3 y 5.4'!G25</f>
        <v>59.682986800000002</v>
      </c>
      <c r="L26" s="369">
        <f>'5.3 y 5.4'!H25+'5.3 y 5.4'!P25</f>
        <v>1.2264000000000002</v>
      </c>
      <c r="M26" s="371">
        <f t="shared" si="3"/>
        <v>2674.9537324079465</v>
      </c>
      <c r="N26" s="372">
        <f>+'5.3 y 5.4'!E94+'5.3 y 5.4'!K94</f>
        <v>541.13038300000005</v>
      </c>
      <c r="O26" s="373">
        <f>+'5.3 y 5.4'!F94+'5.3 y 5.4'!L94</f>
        <v>2133.8233494079464</v>
      </c>
      <c r="Q26" s="371"/>
      <c r="R26" s="315">
        <v>1996</v>
      </c>
      <c r="S26" s="375">
        <f t="shared" ref="S26:T34" si="8">D10</f>
        <v>13323.572077999999</v>
      </c>
      <c r="T26" s="375">
        <f t="shared" si="8"/>
        <v>3955.8302150000004</v>
      </c>
      <c r="W26" s="321"/>
      <c r="X26">
        <f>+R30</f>
        <v>2000</v>
      </c>
      <c r="Y26" s="132">
        <f t="shared" ref="Y26:AB26" si="9">+S30</f>
        <v>16176.051366</v>
      </c>
      <c r="Z26" s="132">
        <f t="shared" si="9"/>
        <v>3745.8002719999995</v>
      </c>
      <c r="AA26" s="132">
        <f t="shared" si="9"/>
        <v>0</v>
      </c>
      <c r="AB26" s="371">
        <f t="shared" si="9"/>
        <v>0</v>
      </c>
    </row>
    <row r="27" spans="2:28" ht="13" x14ac:dyDescent="0.3">
      <c r="B27" s="647">
        <v>2013</v>
      </c>
      <c r="C27" s="359">
        <f t="shared" si="5"/>
        <v>43330.17796048538</v>
      </c>
      <c r="D27" s="344">
        <f t="shared" si="6"/>
        <v>22319.562549983006</v>
      </c>
      <c r="E27" s="344">
        <f t="shared" si="6"/>
        <v>20812.461130502368</v>
      </c>
      <c r="F27" s="345">
        <f>+K27</f>
        <v>196.92788000000002</v>
      </c>
      <c r="G27" s="345">
        <f>+L27</f>
        <v>1.2264000000000002</v>
      </c>
      <c r="H27" s="346">
        <f t="shared" si="2"/>
        <v>40664.666419178968</v>
      </c>
      <c r="I27" s="364">
        <f>+'5.3 y 5.4'!E26+'5.3 y 5.4'!M26</f>
        <v>21709.384683427139</v>
      </c>
      <c r="J27" s="349">
        <f>+'5.3 y 5.4'!F26+'5.3 y 5.4'!N26</f>
        <v>18757.127455751826</v>
      </c>
      <c r="K27" s="349">
        <f>+'5.3 y 5.4'!G26</f>
        <v>196.92788000000002</v>
      </c>
      <c r="L27" s="364">
        <f>'5.3 y 5.4'!H26+'5.3 y 5.4'!P26</f>
        <v>1.2264000000000002</v>
      </c>
      <c r="M27" s="351">
        <f t="shared" si="3"/>
        <v>2665.5115413064063</v>
      </c>
      <c r="N27" s="349">
        <f>+'5.3 y 5.4'!E95+'5.3 y 5.4'!K95</f>
        <v>610.17786655586588</v>
      </c>
      <c r="O27" s="352">
        <f>+'5.3 y 5.4'!F95+'5.3 y 5.4'!L95</f>
        <v>2055.3336747505405</v>
      </c>
      <c r="Q27" s="371"/>
      <c r="R27" s="315">
        <v>1997</v>
      </c>
      <c r="S27" s="375">
        <f t="shared" si="8"/>
        <v>13214.529482000002</v>
      </c>
      <c r="T27" s="375">
        <f t="shared" si="8"/>
        <v>4738.3224370000007</v>
      </c>
      <c r="W27" s="321"/>
      <c r="X27">
        <f>+R35</f>
        <v>2005</v>
      </c>
      <c r="Y27" s="132">
        <f t="shared" ref="Y27:AB27" si="10">+S35</f>
        <v>17976.993336</v>
      </c>
      <c r="Z27" s="132">
        <f t="shared" si="10"/>
        <v>7531.5170790000029</v>
      </c>
      <c r="AA27" s="132">
        <f t="shared" si="10"/>
        <v>0</v>
      </c>
      <c r="AB27" s="371">
        <f t="shared" si="10"/>
        <v>0</v>
      </c>
    </row>
    <row r="28" spans="2:28" ht="13" x14ac:dyDescent="0.3">
      <c r="B28" s="578">
        <v>2014</v>
      </c>
      <c r="C28" s="365">
        <f>SUM(D28:G28)</f>
        <v>45549.819572254804</v>
      </c>
      <c r="D28" s="366">
        <f t="shared" si="6"/>
        <v>22210.659487894649</v>
      </c>
      <c r="E28" s="366">
        <f t="shared" si="6"/>
        <v>22882.315829837717</v>
      </c>
      <c r="F28" s="1309">
        <f>+K28</f>
        <v>199.30359694553749</v>
      </c>
      <c r="G28" s="1309">
        <f>+L28</f>
        <v>257.5406575769008</v>
      </c>
      <c r="H28" s="368">
        <f>SUM(I28:L28)</f>
        <v>42846.247729121009</v>
      </c>
      <c r="I28" s="369">
        <f>+'5.3 y 5.4'!E27+'5.3 y 5.4'!M27</f>
        <v>21610.924675940143</v>
      </c>
      <c r="J28" s="372">
        <f>+'5.3 y 5.4'!F27+'5.3 y 5.4'!N27</f>
        <v>20778.478798658423</v>
      </c>
      <c r="K28" s="372">
        <f>+'5.3 y 5.4'!G27</f>
        <v>199.30359694553749</v>
      </c>
      <c r="L28" s="369">
        <f>'5.3 y 5.4'!H27+'5.3 y 5.4'!P27</f>
        <v>257.5406575769008</v>
      </c>
      <c r="M28" s="371">
        <f>SUM(N28:O28)</f>
        <v>2703.5718431337973</v>
      </c>
      <c r="N28" s="372">
        <f>+'5.3 y 5.4'!E96+'5.3 y 5.4'!K96</f>
        <v>599.73481195450518</v>
      </c>
      <c r="O28" s="373">
        <f>+'5.3 y 5.4'!F96+'5.3 y 5.4'!L96</f>
        <v>2103.8370311792924</v>
      </c>
      <c r="Q28" s="371"/>
      <c r="R28" s="315">
        <v>1998</v>
      </c>
      <c r="S28" s="375">
        <f t="shared" si="8"/>
        <v>13808.285138000003</v>
      </c>
      <c r="T28" s="375">
        <f t="shared" si="8"/>
        <v>4773.7272680000005</v>
      </c>
      <c r="W28" s="321"/>
      <c r="X28">
        <f>+R40</f>
        <v>2010</v>
      </c>
      <c r="Y28" s="132">
        <f t="shared" ref="Y28:AB40" si="11">+S40</f>
        <v>20052.129280199999</v>
      </c>
      <c r="Z28" s="132">
        <f t="shared" si="11"/>
        <v>15854.652260999999</v>
      </c>
      <c r="AA28" s="132">
        <f t="shared" si="11"/>
        <v>0</v>
      </c>
      <c r="AB28" s="371">
        <f t="shared" si="11"/>
        <v>0</v>
      </c>
    </row>
    <row r="29" spans="2:28" ht="13" x14ac:dyDescent="0.3">
      <c r="B29" s="647">
        <v>2015</v>
      </c>
      <c r="C29" s="359">
        <f>SUM(D29:G29)</f>
        <v>48270.411515715838</v>
      </c>
      <c r="D29" s="344">
        <f>SUM(I29,N29)</f>
        <v>23722.747563457575</v>
      </c>
      <c r="E29" s="344">
        <f>SUM(J29,O29)</f>
        <v>23721.80807776959</v>
      </c>
      <c r="F29" s="345">
        <f>+K29</f>
        <v>230.25534300000001</v>
      </c>
      <c r="G29" s="345">
        <f>+L29</f>
        <v>595.60053148867019</v>
      </c>
      <c r="H29" s="346">
        <f>SUM(I29:L29)</f>
        <v>45711.387877385663</v>
      </c>
      <c r="I29" s="364">
        <f>+'5.3 y 5.4'!E28+'5.3 y 5.4'!M28</f>
        <v>23127.103615596483</v>
      </c>
      <c r="J29" s="349">
        <f>+'5.3 y 5.4'!F28+'5.3 y 5.4'!N28</f>
        <v>21758.428387300512</v>
      </c>
      <c r="K29" s="349">
        <f>+'5.3 y 5.4'!G28</f>
        <v>230.25534300000001</v>
      </c>
      <c r="L29" s="364">
        <f>'5.3 y 5.4'!H28+'5.3 y 5.4'!P28</f>
        <v>595.60053148867019</v>
      </c>
      <c r="M29" s="351">
        <f>SUM(N29:O29)</f>
        <v>2559.0236383301703</v>
      </c>
      <c r="N29" s="349">
        <f>+'5.3 y 5.4'!E97+'5.3 y 5.4'!K97</f>
        <v>595.64394786109222</v>
      </c>
      <c r="O29" s="352">
        <f>+'5.3 y 5.4'!F97+'5.3 y 5.4'!L97</f>
        <v>1963.3796904690782</v>
      </c>
      <c r="Q29" s="371"/>
      <c r="R29" s="315">
        <v>1999</v>
      </c>
      <c r="S29" s="375">
        <f t="shared" si="8"/>
        <v>14540.581285</v>
      </c>
      <c r="T29" s="375">
        <f t="shared" si="8"/>
        <v>4508.4115320000001</v>
      </c>
      <c r="W29" s="321"/>
      <c r="X29">
        <f t="shared" ref="X29:X40" si="12">+R41</f>
        <v>2011</v>
      </c>
      <c r="Y29" s="132">
        <f t="shared" si="11"/>
        <v>21557.326716785243</v>
      </c>
      <c r="Z29" s="132">
        <f t="shared" si="11"/>
        <v>17247.908127223669</v>
      </c>
      <c r="AA29" s="132">
        <f t="shared" si="11"/>
        <v>0</v>
      </c>
      <c r="AB29" s="371">
        <f t="shared" si="11"/>
        <v>0</v>
      </c>
    </row>
    <row r="30" spans="2:28" ht="13" x14ac:dyDescent="0.3">
      <c r="B30" s="578">
        <v>2016</v>
      </c>
      <c r="C30" s="365">
        <f t="shared" ref="C30:C36" si="13">SUM(D30:G30)</f>
        <v>51699.973931207227</v>
      </c>
      <c r="D30" s="366">
        <f t="shared" ref="D30:E36" si="14">SUM(I30,N30)</f>
        <v>24171.687750762609</v>
      </c>
      <c r="E30" s="366">
        <f t="shared" si="14"/>
        <v>26223.448536038159</v>
      </c>
      <c r="F30" s="1309">
        <f t="shared" ref="F30:G36" si="15">+K30</f>
        <v>241.00855899999999</v>
      </c>
      <c r="G30" s="1309">
        <f t="shared" si="15"/>
        <v>1063.8290854064544</v>
      </c>
      <c r="H30" s="368">
        <f t="shared" ref="H30:H36" si="16">SUM(I30:L30)</f>
        <v>49534.080910786695</v>
      </c>
      <c r="I30" s="369">
        <f>+'5.3 y 5.4'!E29+'5.3 y 5.4'!M29</f>
        <v>23652.579328757867</v>
      </c>
      <c r="J30" s="372">
        <f>+'5.3 y 5.4'!F29+'5.3 y 5.4'!N29</f>
        <v>24576.663937622372</v>
      </c>
      <c r="K30" s="372">
        <f>+'5.3 y 5.4'!G29</f>
        <v>241.00855899999999</v>
      </c>
      <c r="L30" s="369">
        <f>'5.3 y 5.4'!H29+'5.3 y 5.4'!P29</f>
        <v>1063.8290854064544</v>
      </c>
      <c r="M30" s="371">
        <f t="shared" ref="M30:M36" si="17">SUM(N30:O30)</f>
        <v>2165.8930204205285</v>
      </c>
      <c r="N30" s="372">
        <f>+'5.3 y 5.4'!E98+'5.3 y 5.4'!K98</f>
        <v>519.10842200474076</v>
      </c>
      <c r="O30" s="373">
        <f>+'5.3 y 5.4'!F98+'5.3 y 5.4'!L98</f>
        <v>1646.7845984157877</v>
      </c>
      <c r="Q30" s="371"/>
      <c r="R30" s="315">
        <v>2000</v>
      </c>
      <c r="S30" s="375">
        <f t="shared" si="8"/>
        <v>16176.051366</v>
      </c>
      <c r="T30" s="375">
        <f t="shared" si="8"/>
        <v>3745.8002719999995</v>
      </c>
      <c r="W30" s="321"/>
      <c r="X30">
        <f t="shared" si="12"/>
        <v>2012</v>
      </c>
      <c r="Y30" s="132">
        <f t="shared" si="11"/>
        <v>22031.93804599997</v>
      </c>
      <c r="Z30" s="132">
        <f t="shared" si="11"/>
        <v>18943.135640407931</v>
      </c>
      <c r="AA30" s="132">
        <f t="shared" si="11"/>
        <v>59.682986800000002</v>
      </c>
      <c r="AB30" s="371">
        <f t="shared" si="11"/>
        <v>0</v>
      </c>
    </row>
    <row r="31" spans="2:28" ht="13" x14ac:dyDescent="0.3">
      <c r="B31" s="647">
        <v>2017</v>
      </c>
      <c r="C31" s="359">
        <f t="shared" si="13"/>
        <v>52700.053320272818</v>
      </c>
      <c r="D31" s="344">
        <f t="shared" si="14"/>
        <v>29074.513497615771</v>
      </c>
      <c r="E31" s="344">
        <f t="shared" si="14"/>
        <v>22264.907211657053</v>
      </c>
      <c r="F31" s="345">
        <f t="shared" si="15"/>
        <v>287.20034300000003</v>
      </c>
      <c r="G31" s="345">
        <f t="shared" si="15"/>
        <v>1073.432268</v>
      </c>
      <c r="H31" s="346">
        <f t="shared" si="16"/>
        <v>50344.862184776517</v>
      </c>
      <c r="I31" s="364">
        <f>+'5.3 y 5.4'!E30+'5.3 y 5.4'!M30</f>
        <v>28393.01122177652</v>
      </c>
      <c r="J31" s="349">
        <f>+'5.3 y 5.4'!F30+'5.3 y 5.4'!N30</f>
        <v>20591.218352000004</v>
      </c>
      <c r="K31" s="349">
        <f>+'5.3 y 5.4'!G30</f>
        <v>287.20034300000003</v>
      </c>
      <c r="L31" s="364">
        <f>'5.3 y 5.4'!H30+'5.3 y 5.4'!P30</f>
        <v>1073.432268</v>
      </c>
      <c r="M31" s="351">
        <f t="shared" si="17"/>
        <v>2355.1911354963022</v>
      </c>
      <c r="N31" s="349">
        <f>+'5.3 y 5.4'!E99+'5.3 y 5.4'!K99</f>
        <v>681.50227583925118</v>
      </c>
      <c r="O31" s="352">
        <f>+'5.3 y 5.4'!F99+'5.3 y 5.4'!L99</f>
        <v>1673.6888596570511</v>
      </c>
      <c r="Q31" s="371"/>
      <c r="R31" s="315">
        <v>2001</v>
      </c>
      <c r="S31" s="375">
        <f t="shared" si="8"/>
        <v>17614.760199999997</v>
      </c>
      <c r="T31" s="375">
        <f t="shared" si="8"/>
        <v>3169.7389349999999</v>
      </c>
      <c r="W31" s="321"/>
      <c r="X31">
        <f t="shared" si="12"/>
        <v>2013</v>
      </c>
      <c r="Y31" s="132">
        <f t="shared" si="11"/>
        <v>22319.562549983006</v>
      </c>
      <c r="Z31" s="132">
        <f t="shared" si="11"/>
        <v>20812.461130502368</v>
      </c>
      <c r="AA31" s="132">
        <f t="shared" si="11"/>
        <v>196.92788000000002</v>
      </c>
      <c r="AB31" s="371">
        <f t="shared" si="11"/>
        <v>0</v>
      </c>
    </row>
    <row r="32" spans="2:28" ht="13" x14ac:dyDescent="0.3">
      <c r="B32" s="578">
        <v>2018</v>
      </c>
      <c r="C32" s="365">
        <f t="shared" si="13"/>
        <v>54893.157159426497</v>
      </c>
      <c r="D32" s="366">
        <f t="shared" si="14"/>
        <v>30737.457609388184</v>
      </c>
      <c r="E32" s="366">
        <f t="shared" si="14"/>
        <v>21907.860842221638</v>
      </c>
      <c r="F32" s="1309">
        <f t="shared" si="15"/>
        <v>745.40054000000009</v>
      </c>
      <c r="G32" s="1309">
        <f t="shared" si="15"/>
        <v>1502.4381678166665</v>
      </c>
      <c r="H32" s="368">
        <f t="shared" si="16"/>
        <v>52362.394586699447</v>
      </c>
      <c r="I32" s="369">
        <f>+'5.3 y 5.4'!E31+'5.3 y 5.4'!M31</f>
        <v>29989.333366932777</v>
      </c>
      <c r="J32" s="372">
        <f>+'5.3 y 5.4'!F31+'5.3 y 5.4'!N31</f>
        <v>20125.22251195</v>
      </c>
      <c r="K32" s="372">
        <f>+'5.3 y 5.4'!G31</f>
        <v>745.40054000000009</v>
      </c>
      <c r="L32" s="369">
        <f>'5.3 y 5.4'!H31+'5.3 y 5.4'!P31</f>
        <v>1502.4381678166665</v>
      </c>
      <c r="M32" s="371">
        <f t="shared" si="17"/>
        <v>2530.7625727270452</v>
      </c>
      <c r="N32" s="372">
        <f>+'5.3 y 5.4'!E100+'5.3 y 5.4'!K100</f>
        <v>748.12424245540797</v>
      </c>
      <c r="O32" s="373">
        <f>+'5.3 y 5.4'!F100+'5.3 y 5.4'!L100</f>
        <v>1782.6383302716372</v>
      </c>
      <c r="Q32" s="371"/>
      <c r="R32" s="315">
        <v>2002</v>
      </c>
      <c r="S32" s="375">
        <f t="shared" si="8"/>
        <v>18040.127915000005</v>
      </c>
      <c r="T32" s="375">
        <f t="shared" si="8"/>
        <v>3940.9688570000035</v>
      </c>
      <c r="W32" s="321"/>
      <c r="X32">
        <f t="shared" si="12"/>
        <v>2014</v>
      </c>
      <c r="Y32" s="132">
        <f t="shared" si="11"/>
        <v>22210.659487894649</v>
      </c>
      <c r="Z32" s="132">
        <f t="shared" si="11"/>
        <v>22882.315829837717</v>
      </c>
      <c r="AA32" s="132">
        <f t="shared" si="11"/>
        <v>199.30359694553749</v>
      </c>
      <c r="AB32" s="371">
        <f t="shared" si="11"/>
        <v>257.5406575769008</v>
      </c>
    </row>
    <row r="33" spans="2:28" ht="13" x14ac:dyDescent="0.3">
      <c r="B33" s="647">
        <v>2019</v>
      </c>
      <c r="C33" s="359">
        <f t="shared" si="13"/>
        <v>56968.504122236824</v>
      </c>
      <c r="D33" s="344">
        <f t="shared" si="14"/>
        <v>31462.088372515354</v>
      </c>
      <c r="E33" s="344">
        <f t="shared" si="14"/>
        <v>23088.318116721464</v>
      </c>
      <c r="F33" s="345">
        <f t="shared" si="15"/>
        <v>763.05863999999997</v>
      </c>
      <c r="G33" s="345">
        <f t="shared" si="15"/>
        <v>1655.0389929999997</v>
      </c>
      <c r="H33" s="346">
        <f t="shared" si="16"/>
        <v>54448.591958633806</v>
      </c>
      <c r="I33" s="364">
        <f>+'5.3 y 5.4'!E32+'5.3 y 5.4'!M32</f>
        <v>30769.211305633798</v>
      </c>
      <c r="J33" s="349">
        <f>+'5.3 y 5.4'!F32+'5.3 y 5.4'!N32</f>
        <v>21261.283020000006</v>
      </c>
      <c r="K33" s="349">
        <f>+'5.3 y 5.4'!G32+'5.3 y 5.4'!O32</f>
        <v>763.05863999999997</v>
      </c>
      <c r="L33" s="364">
        <f>'5.3 y 5.4'!H32+'5.3 y 5.4'!P32</f>
        <v>1655.0389929999997</v>
      </c>
      <c r="M33" s="351">
        <f t="shared" si="17"/>
        <v>2519.9121636030145</v>
      </c>
      <c r="N33" s="349">
        <f>+'5.3 y 5.4'!E101+'5.3 y 5.4'!K101</f>
        <v>692.8770668815547</v>
      </c>
      <c r="O33" s="352">
        <f>+'5.3 y 5.4'!F101+'5.3 y 5.4'!L101</f>
        <v>1827.0350967214597</v>
      </c>
      <c r="Q33" s="371"/>
      <c r="R33" s="315">
        <v>2003</v>
      </c>
      <c r="S33" s="375">
        <f t="shared" si="8"/>
        <v>18533.720860999994</v>
      </c>
      <c r="T33" s="375">
        <f t="shared" si="8"/>
        <v>4388.4066130000028</v>
      </c>
      <c r="W33" s="321"/>
      <c r="X33">
        <f t="shared" si="12"/>
        <v>2015</v>
      </c>
      <c r="Y33" s="132">
        <f t="shared" si="11"/>
        <v>23722.747563457575</v>
      </c>
      <c r="Z33" s="132">
        <f t="shared" si="11"/>
        <v>23721.80807776959</v>
      </c>
      <c r="AA33" s="132">
        <f t="shared" si="11"/>
        <v>230.25534300000001</v>
      </c>
      <c r="AB33" s="371">
        <f t="shared" si="11"/>
        <v>595.60053148867019</v>
      </c>
    </row>
    <row r="34" spans="2:28" ht="13" x14ac:dyDescent="0.3">
      <c r="B34" s="578">
        <v>2020</v>
      </c>
      <c r="C34" s="365">
        <f t="shared" si="13"/>
        <v>52743.710685599595</v>
      </c>
      <c r="D34" s="366">
        <f t="shared" si="14"/>
        <v>30510.304202127467</v>
      </c>
      <c r="E34" s="366">
        <f t="shared" si="14"/>
        <v>19641.098247472131</v>
      </c>
      <c r="F34" s="1309">
        <f t="shared" si="15"/>
        <v>778.20613200000014</v>
      </c>
      <c r="G34" s="1309">
        <f t="shared" si="15"/>
        <v>1814.1021040000003</v>
      </c>
      <c r="H34" s="368">
        <f t="shared" si="16"/>
        <v>50657.021359539765</v>
      </c>
      <c r="I34" s="369">
        <f>+'5.3 y 5.4'!E33+'5.3 y 5.4'!M33</f>
        <v>29895.459940539775</v>
      </c>
      <c r="J34" s="372">
        <f>+'5.3 y 5.4'!F33+'5.3 y 5.4'!N33</f>
        <v>18169.253182999993</v>
      </c>
      <c r="K34" s="372">
        <f>+'5.3 y 5.4'!G33+'5.3 y 5.4'!O33</f>
        <v>778.20613200000014</v>
      </c>
      <c r="L34" s="369">
        <f>'5.3 y 5.4'!H33+'5.3 y 5.4'!P33</f>
        <v>1814.1021040000003</v>
      </c>
      <c r="M34" s="371">
        <f t="shared" si="17"/>
        <v>2086.689326059829</v>
      </c>
      <c r="N34" s="372">
        <f>+'5.3 y 5.4'!E102+'5.3 y 5.4'!K102</f>
        <v>614.84426158769077</v>
      </c>
      <c r="O34" s="373">
        <f>+'5.3 y 5.4'!F102+'5.3 y 5.4'!L102</f>
        <v>1471.8450644721383</v>
      </c>
      <c r="Q34" s="371"/>
      <c r="R34" s="315">
        <v>2004</v>
      </c>
      <c r="S34" s="375">
        <f t="shared" si="8"/>
        <v>17525.338961000005</v>
      </c>
      <c r="T34" s="375">
        <f t="shared" si="8"/>
        <v>6740.4467100000011</v>
      </c>
      <c r="W34" s="321"/>
      <c r="X34">
        <f t="shared" si="12"/>
        <v>2016</v>
      </c>
      <c r="Y34" s="132">
        <f t="shared" si="11"/>
        <v>24171.687750762609</v>
      </c>
      <c r="Z34" s="132">
        <f t="shared" si="11"/>
        <v>26223.448536038159</v>
      </c>
      <c r="AA34" s="132">
        <f t="shared" si="11"/>
        <v>241.00855899999999</v>
      </c>
      <c r="AB34" s="371">
        <f t="shared" si="11"/>
        <v>1063.8290854064544</v>
      </c>
    </row>
    <row r="35" spans="2:28" ht="13" x14ac:dyDescent="0.3">
      <c r="B35" s="647">
        <v>2021</v>
      </c>
      <c r="C35" s="359">
        <f t="shared" si="13"/>
        <v>57397.015803761678</v>
      </c>
      <c r="D35" s="344">
        <f t="shared" ref="D35" si="18">SUM(I35,N35)</f>
        <v>31925.680936000001</v>
      </c>
      <c r="E35" s="344">
        <f t="shared" ref="E35" si="19">SUM(J35,O35)</f>
        <v>22847.062425761673</v>
      </c>
      <c r="F35" s="345">
        <f t="shared" ref="F35" si="20">+K35</f>
        <v>801.69745300000022</v>
      </c>
      <c r="G35" s="345">
        <f t="shared" ref="G35" si="21">+L35</f>
        <v>1822.574989</v>
      </c>
      <c r="H35" s="346">
        <f t="shared" ref="H35" si="22">SUM(I35:L35)</f>
        <v>55537.755878000004</v>
      </c>
      <c r="I35" s="364">
        <f>+'5.3 y 5.4'!E34+'5.3 y 5.4'!M34</f>
        <v>31293.611004000002</v>
      </c>
      <c r="J35" s="349">
        <f>+'5.3 y 5.4'!F34+'5.3 y 5.4'!N34</f>
        <v>21619.872432</v>
      </c>
      <c r="K35" s="349">
        <f>+'5.3 y 5.4'!G34+'5.3 y 5.4'!O34</f>
        <v>801.69745300000022</v>
      </c>
      <c r="L35" s="364">
        <f>'5.3 y 5.4'!H34+'5.3 y 5.4'!P34</f>
        <v>1822.574989</v>
      </c>
      <c r="M35" s="351">
        <f t="shared" ref="M35" si="23">SUM(N35:O35)</f>
        <v>1859.2599257616712</v>
      </c>
      <c r="N35" s="349">
        <f>+'5.3 y 5.4'!E103+'5.3 y 5.4'!K103</f>
        <v>632.06993199999999</v>
      </c>
      <c r="O35" s="352">
        <f>+'5.3 y 5.4'!F103+'5.3 y 5.4'!L103</f>
        <v>1227.1899937616713</v>
      </c>
      <c r="Q35" s="371"/>
      <c r="R35" s="315">
        <v>2005</v>
      </c>
      <c r="S35" s="375">
        <f t="shared" ref="S35:S36" si="24">D19</f>
        <v>17976.993336</v>
      </c>
      <c r="T35" s="375">
        <f t="shared" ref="T35:T36" si="25">E19</f>
        <v>7531.5170790000029</v>
      </c>
      <c r="W35" s="321"/>
      <c r="X35">
        <f t="shared" si="12"/>
        <v>2017</v>
      </c>
      <c r="Y35" s="132">
        <f t="shared" si="11"/>
        <v>29074.513497615771</v>
      </c>
      <c r="Z35" s="132">
        <f t="shared" si="11"/>
        <v>22264.907211657053</v>
      </c>
      <c r="AA35" s="132">
        <f t="shared" si="11"/>
        <v>287.20034300000003</v>
      </c>
      <c r="AB35" s="371">
        <f t="shared" si="11"/>
        <v>1073.432268</v>
      </c>
    </row>
    <row r="36" spans="2:28" ht="13.5" thickBot="1" x14ac:dyDescent="0.35">
      <c r="B36" s="701">
        <v>2022</v>
      </c>
      <c r="C36" s="365">
        <f t="shared" si="13"/>
        <v>59712.573961987255</v>
      </c>
      <c r="D36" s="366">
        <f t="shared" si="14"/>
        <v>29743.804973672315</v>
      </c>
      <c r="E36" s="366">
        <f t="shared" si="14"/>
        <v>27215.911490314935</v>
      </c>
      <c r="F36" s="1309">
        <f t="shared" si="15"/>
        <v>820.98820499999999</v>
      </c>
      <c r="G36" s="1309">
        <f t="shared" si="15"/>
        <v>1931.8692930000004</v>
      </c>
      <c r="H36" s="368">
        <f t="shared" si="16"/>
        <v>57814.458084759979</v>
      </c>
      <c r="I36" s="369">
        <f>+'5.3 y 5.4'!E35+'5.3 y 5.4'!M35</f>
        <v>29164.347417939978</v>
      </c>
      <c r="J36" s="372">
        <f>+'5.3 y 5.4'!F35+'5.3 y 5.4'!N35</f>
        <v>25897.253168819996</v>
      </c>
      <c r="K36" s="372">
        <f>+'5.3 y 5.4'!G35+'5.3 y 5.4'!O35</f>
        <v>820.98820499999999</v>
      </c>
      <c r="L36" s="369">
        <f>'5.3 y 5.4'!H35+'5.3 y 5.4'!P35</f>
        <v>1931.8692930000004</v>
      </c>
      <c r="M36" s="371">
        <f t="shared" si="17"/>
        <v>1898.1158772272759</v>
      </c>
      <c r="N36" s="372">
        <f>+'5.3 y 5.4'!E104+'5.3 y 5.4'!K104</f>
        <v>579.45755573233851</v>
      </c>
      <c r="O36" s="373">
        <f>+'5.3 y 5.4'!F104+'5.3 y 5.4'!L104</f>
        <v>1318.6583214949374</v>
      </c>
      <c r="Q36" s="371"/>
      <c r="R36" s="315">
        <v>2006</v>
      </c>
      <c r="S36" s="375">
        <f t="shared" si="24"/>
        <v>19594.347163999995</v>
      </c>
      <c r="T36" s="375">
        <f t="shared" si="25"/>
        <v>7774.255163580001</v>
      </c>
      <c r="W36" s="321"/>
      <c r="X36">
        <f t="shared" si="12"/>
        <v>2018</v>
      </c>
      <c r="Y36" s="132">
        <f t="shared" si="11"/>
        <v>30737.457609388184</v>
      </c>
      <c r="Z36" s="132">
        <f t="shared" si="11"/>
        <v>21907.860842221638</v>
      </c>
      <c r="AA36" s="132">
        <f t="shared" si="11"/>
        <v>745.40054000000009</v>
      </c>
      <c r="AB36" s="371">
        <f t="shared" si="11"/>
        <v>1502.4381678166665</v>
      </c>
    </row>
    <row r="37" spans="2:28" s="493" customFormat="1" ht="18.75" customHeight="1" x14ac:dyDescent="0.25">
      <c r="B37" s="740" t="s">
        <v>161</v>
      </c>
      <c r="C37" s="810">
        <f>(C36/C35)-1</f>
        <v>4.0342831866771345E-2</v>
      </c>
      <c r="D37" s="832">
        <f>(D36/D35)-1</f>
        <v>-6.8342346924458619E-2</v>
      </c>
      <c r="E37" s="832">
        <f t="shared" ref="E37:J37" si="26">(E36/E35)-1</f>
        <v>0.19122147885528928</v>
      </c>
      <c r="F37" s="832">
        <f t="shared" si="26"/>
        <v>2.4062384042524476E-2</v>
      </c>
      <c r="G37" s="832">
        <f t="shared" si="26"/>
        <v>5.9966972365821603E-2</v>
      </c>
      <c r="H37" s="832">
        <f t="shared" si="26"/>
        <v>4.0993773888905682E-2</v>
      </c>
      <c r="I37" s="832">
        <f t="shared" si="26"/>
        <v>-6.8041479322659804E-2</v>
      </c>
      <c r="J37" s="832">
        <f t="shared" si="26"/>
        <v>0.19784486473143859</v>
      </c>
      <c r="K37" s="832">
        <f>(K36/K35)-1</f>
        <v>2.4062384042524476E-2</v>
      </c>
      <c r="L37" s="832">
        <f t="shared" ref="L37:O37" si="27">(L36/L35)-1</f>
        <v>5.9966972365821603E-2</v>
      </c>
      <c r="M37" s="832">
        <f t="shared" si="27"/>
        <v>2.0898611822489865E-2</v>
      </c>
      <c r="N37" s="832">
        <f t="shared" si="27"/>
        <v>-8.3238220336134372E-2</v>
      </c>
      <c r="O37" s="834">
        <f t="shared" si="27"/>
        <v>7.4534773098084539E-2</v>
      </c>
      <c r="R37" s="863">
        <v>2007</v>
      </c>
      <c r="S37" s="864">
        <f t="shared" ref="S37:S52" si="28">D21</f>
        <v>19548.782020000002</v>
      </c>
      <c r="T37" s="864">
        <f t="shared" ref="T37:T52" si="29">E21</f>
        <v>10393.038722000001</v>
      </c>
      <c r="X37">
        <f t="shared" si="12"/>
        <v>2019</v>
      </c>
      <c r="Y37" s="132">
        <f t="shared" si="11"/>
        <v>31462.088372515354</v>
      </c>
      <c r="Z37" s="132">
        <f t="shared" si="11"/>
        <v>23088.318116721464</v>
      </c>
      <c r="AA37" s="132">
        <f t="shared" si="11"/>
        <v>763.05863999999997</v>
      </c>
      <c r="AB37" s="743">
        <f t="shared" si="11"/>
        <v>1655.0389929999997</v>
      </c>
    </row>
    <row r="38" spans="2:28" s="493" customFormat="1" ht="18.75" customHeight="1" x14ac:dyDescent="0.25">
      <c r="B38" s="865" t="s">
        <v>162</v>
      </c>
      <c r="C38" s="811">
        <f>((C36/C31)^(1/5))-1</f>
        <v>2.5299976738813346E-2</v>
      </c>
      <c r="D38" s="835">
        <f t="shared" ref="D38:O38" si="30">((D36/D31)^(1/5))-1</f>
        <v>4.5621568008602509E-3</v>
      </c>
      <c r="E38" s="835">
        <f t="shared" si="30"/>
        <v>4.0975237830270794E-2</v>
      </c>
      <c r="F38" s="835">
        <f t="shared" si="30"/>
        <v>0.23375916739673896</v>
      </c>
      <c r="G38" s="835">
        <f t="shared" si="30"/>
        <v>0.12471016077468899</v>
      </c>
      <c r="H38" s="835">
        <f t="shared" si="30"/>
        <v>2.8054789164275951E-2</v>
      </c>
      <c r="I38" s="835">
        <f t="shared" si="30"/>
        <v>5.375185407414218E-3</v>
      </c>
      <c r="J38" s="835">
        <f t="shared" si="30"/>
        <v>4.6922013354415704E-2</v>
      </c>
      <c r="K38" s="835">
        <f t="shared" si="30"/>
        <v>0.23375916739673896</v>
      </c>
      <c r="L38" s="835">
        <f t="shared" si="30"/>
        <v>0.12471016077468899</v>
      </c>
      <c r="M38" s="835">
        <f t="shared" si="30"/>
        <v>-4.2234227285613213E-2</v>
      </c>
      <c r="N38" s="835">
        <f t="shared" si="30"/>
        <v>-3.1920855964369887E-2</v>
      </c>
      <c r="O38" s="836">
        <f t="shared" si="30"/>
        <v>-4.6564077263198222E-2</v>
      </c>
      <c r="R38" s="493">
        <v>2008</v>
      </c>
      <c r="S38" s="864">
        <f t="shared" si="28"/>
        <v>19059.617748999997</v>
      </c>
      <c r="T38" s="864">
        <f t="shared" si="29"/>
        <v>13402.262134000001</v>
      </c>
      <c r="X38">
        <f t="shared" si="12"/>
        <v>2020</v>
      </c>
      <c r="Y38" s="132">
        <f t="shared" si="11"/>
        <v>30510.304202127467</v>
      </c>
      <c r="Z38" s="132">
        <f t="shared" si="11"/>
        <v>19641.098247472131</v>
      </c>
      <c r="AA38" s="132">
        <f t="shared" si="11"/>
        <v>778.20613200000014</v>
      </c>
      <c r="AB38" s="743">
        <f t="shared" si="11"/>
        <v>1814.1021040000003</v>
      </c>
    </row>
    <row r="39" spans="2:28" s="493" customFormat="1" ht="18.75" customHeight="1" x14ac:dyDescent="0.25">
      <c r="B39" s="867" t="s">
        <v>163</v>
      </c>
      <c r="C39" s="812">
        <f>(C36/C26)-1</f>
        <v>0.45512717108447109</v>
      </c>
      <c r="D39" s="837">
        <f t="shared" ref="D39:E39" si="31">(D36/D26)-1</f>
        <v>0.35003125515199418</v>
      </c>
      <c r="E39" s="837">
        <f t="shared" si="31"/>
        <v>0.4367162864135441</v>
      </c>
      <c r="F39" s="837" t="s">
        <v>32</v>
      </c>
      <c r="G39" s="837" t="s">
        <v>32</v>
      </c>
      <c r="H39" s="837">
        <f t="shared" ref="H39:J39" si="32">(H36/H26)-1</f>
        <v>0.50711435741558142</v>
      </c>
      <c r="I39" s="837">
        <f t="shared" si="32"/>
        <v>0.35706148764949841</v>
      </c>
      <c r="J39" s="837">
        <f t="shared" si="32"/>
        <v>0.54064917829421644</v>
      </c>
      <c r="K39" s="837" t="s">
        <v>32</v>
      </c>
      <c r="L39" s="837" t="s">
        <v>32</v>
      </c>
      <c r="M39" s="837">
        <f t="shared" ref="M39:O39" si="33">(M36/M26)-1</f>
        <v>-0.2904116978806115</v>
      </c>
      <c r="N39" s="837">
        <f t="shared" si="33"/>
        <v>7.0827981455882316E-2</v>
      </c>
      <c r="O39" s="838">
        <f t="shared" si="33"/>
        <v>-0.38202085853975953</v>
      </c>
      <c r="R39" s="493">
        <v>2009</v>
      </c>
      <c r="S39" s="864">
        <f t="shared" si="28"/>
        <v>19903.776404</v>
      </c>
      <c r="T39" s="864">
        <f t="shared" si="29"/>
        <v>13039.733016999999</v>
      </c>
      <c r="X39">
        <f t="shared" si="12"/>
        <v>2021</v>
      </c>
      <c r="Y39" s="132">
        <f t="shared" si="11"/>
        <v>31925.680936000001</v>
      </c>
      <c r="Z39" s="132">
        <f t="shared" si="11"/>
        <v>22847.062425761673</v>
      </c>
      <c r="AA39" s="132">
        <f t="shared" si="11"/>
        <v>801.69745300000022</v>
      </c>
      <c r="AB39" s="743">
        <f t="shared" si="11"/>
        <v>1822.574989</v>
      </c>
    </row>
    <row r="40" spans="2:28" s="493" customFormat="1" ht="18.75" customHeight="1" thickBot="1" x14ac:dyDescent="0.3">
      <c r="B40" s="868" t="s">
        <v>164</v>
      </c>
      <c r="C40" s="839">
        <f>((C36/C26)^(1/10))-1</f>
        <v>3.8221683604584777E-2</v>
      </c>
      <c r="D40" s="840">
        <f t="shared" ref="D40:N40" si="34">((D36/D26)^(1/10))-1</f>
        <v>3.0467697491117995E-2</v>
      </c>
      <c r="E40" s="840">
        <f t="shared" si="34"/>
        <v>3.6900542001981451E-2</v>
      </c>
      <c r="F40" s="840">
        <f t="shared" si="34"/>
        <v>0.29971651345742423</v>
      </c>
      <c r="G40" s="840">
        <f t="shared" si="34"/>
        <v>1.0880195458548383</v>
      </c>
      <c r="H40" s="840">
        <f t="shared" si="34"/>
        <v>4.1872609492142665E-2</v>
      </c>
      <c r="I40" s="840">
        <f t="shared" si="34"/>
        <v>3.1003055985103112E-2</v>
      </c>
      <c r="J40" s="840">
        <f t="shared" si="34"/>
        <v>4.4167990748923192E-2</v>
      </c>
      <c r="K40" s="840">
        <f t="shared" si="34"/>
        <v>0.29971651345742423</v>
      </c>
      <c r="L40" s="840">
        <f t="shared" si="34"/>
        <v>1.0880195458548383</v>
      </c>
      <c r="M40" s="840">
        <f t="shared" si="34"/>
        <v>-3.3725219475649659E-2</v>
      </c>
      <c r="N40" s="840">
        <f t="shared" si="34"/>
        <v>6.8666846753413502E-3</v>
      </c>
      <c r="O40" s="842">
        <f>((O36/O26)^(1/10))-1</f>
        <v>-4.6990166942650569E-2</v>
      </c>
      <c r="R40" s="493">
        <v>2010</v>
      </c>
      <c r="S40" s="864">
        <f t="shared" si="28"/>
        <v>20052.129280199999</v>
      </c>
      <c r="T40" s="864">
        <f t="shared" si="29"/>
        <v>15854.652260999999</v>
      </c>
      <c r="X40">
        <f t="shared" si="12"/>
        <v>2022</v>
      </c>
      <c r="Y40" s="132">
        <f t="shared" si="11"/>
        <v>29743.804973672315</v>
      </c>
      <c r="Z40" s="132">
        <f t="shared" si="11"/>
        <v>27215.911490314935</v>
      </c>
      <c r="AA40" s="132">
        <f t="shared" si="11"/>
        <v>820.98820499999999</v>
      </c>
      <c r="AB40" s="743">
        <f t="shared" si="11"/>
        <v>1931.8692930000004</v>
      </c>
    </row>
    <row r="41" spans="2:28" x14ac:dyDescent="0.25">
      <c r="B41" s="379"/>
      <c r="C41" s="377"/>
      <c r="D41" s="377"/>
      <c r="E41" s="377"/>
      <c r="F41" s="377"/>
      <c r="G41" s="378"/>
      <c r="H41" s="377"/>
      <c r="I41" s="377"/>
      <c r="J41" s="377"/>
      <c r="K41" s="377"/>
      <c r="L41" s="378"/>
      <c r="M41" s="377"/>
      <c r="N41" s="377"/>
      <c r="O41" s="377"/>
      <c r="R41" s="315">
        <v>2011</v>
      </c>
      <c r="S41" s="375">
        <f t="shared" si="28"/>
        <v>21557.326716785243</v>
      </c>
      <c r="T41" s="375">
        <f t="shared" si="29"/>
        <v>17247.908127223669</v>
      </c>
    </row>
    <row r="42" spans="2:28" x14ac:dyDescent="0.25">
      <c r="B42" s="380"/>
      <c r="C42" s="381"/>
      <c r="R42" s="315">
        <v>2012</v>
      </c>
      <c r="S42" s="375">
        <f t="shared" si="28"/>
        <v>22031.93804599997</v>
      </c>
      <c r="T42" s="375">
        <f t="shared" si="29"/>
        <v>18943.135640407931</v>
      </c>
      <c r="U42" s="375">
        <f t="shared" ref="U42:U52" si="35">F26</f>
        <v>59.682986800000002</v>
      </c>
      <c r="V42" s="375"/>
    </row>
    <row r="43" spans="2:28" x14ac:dyDescent="0.25">
      <c r="B43" s="382"/>
      <c r="C43" s="381"/>
      <c r="R43" s="315">
        <v>2013</v>
      </c>
      <c r="S43" s="375">
        <f t="shared" si="28"/>
        <v>22319.562549983006</v>
      </c>
      <c r="T43" s="375">
        <f t="shared" si="29"/>
        <v>20812.461130502368</v>
      </c>
      <c r="U43" s="375">
        <f t="shared" si="35"/>
        <v>196.92788000000002</v>
      </c>
      <c r="V43" s="375"/>
    </row>
    <row r="44" spans="2:28" x14ac:dyDescent="0.25">
      <c r="B44" s="383"/>
      <c r="C44" s="381"/>
      <c r="R44" s="315">
        <v>2014</v>
      </c>
      <c r="S44" s="375">
        <f t="shared" si="28"/>
        <v>22210.659487894649</v>
      </c>
      <c r="T44" s="375">
        <f t="shared" si="29"/>
        <v>22882.315829837717</v>
      </c>
      <c r="U44" s="375">
        <f t="shared" si="35"/>
        <v>199.30359694553749</v>
      </c>
      <c r="V44" s="375">
        <f t="shared" ref="V44:V52" si="36">G28</f>
        <v>257.5406575769008</v>
      </c>
    </row>
    <row r="45" spans="2:28" x14ac:dyDescent="0.25">
      <c r="B45" s="382"/>
      <c r="R45" s="376">
        <v>2015</v>
      </c>
      <c r="S45" s="375">
        <f t="shared" si="28"/>
        <v>23722.747563457575</v>
      </c>
      <c r="T45" s="375">
        <f t="shared" si="29"/>
        <v>23721.80807776959</v>
      </c>
      <c r="U45" s="375">
        <f t="shared" si="35"/>
        <v>230.25534300000001</v>
      </c>
      <c r="V45" s="375">
        <f t="shared" si="36"/>
        <v>595.60053148867019</v>
      </c>
    </row>
    <row r="46" spans="2:28" x14ac:dyDescent="0.25">
      <c r="R46" s="315">
        <v>2016</v>
      </c>
      <c r="S46" s="375">
        <f t="shared" si="28"/>
        <v>24171.687750762609</v>
      </c>
      <c r="T46" s="375">
        <f t="shared" si="29"/>
        <v>26223.448536038159</v>
      </c>
      <c r="U46" s="375">
        <f t="shared" si="35"/>
        <v>241.00855899999999</v>
      </c>
      <c r="V46" s="375">
        <f t="shared" si="36"/>
        <v>1063.8290854064544</v>
      </c>
    </row>
    <row r="47" spans="2:28" x14ac:dyDescent="0.25">
      <c r="R47" s="315">
        <v>2017</v>
      </c>
      <c r="S47" s="375">
        <f t="shared" si="28"/>
        <v>29074.513497615771</v>
      </c>
      <c r="T47" s="375">
        <f t="shared" si="29"/>
        <v>22264.907211657053</v>
      </c>
      <c r="U47" s="375">
        <f t="shared" si="35"/>
        <v>287.20034300000003</v>
      </c>
      <c r="V47" s="375">
        <f t="shared" si="36"/>
        <v>1073.432268</v>
      </c>
    </row>
    <row r="48" spans="2:28" x14ac:dyDescent="0.25">
      <c r="R48" s="315">
        <v>2018</v>
      </c>
      <c r="S48" s="375">
        <f t="shared" si="28"/>
        <v>30737.457609388184</v>
      </c>
      <c r="T48" s="375">
        <f t="shared" si="29"/>
        <v>21907.860842221638</v>
      </c>
      <c r="U48" s="375">
        <f t="shared" si="35"/>
        <v>745.40054000000009</v>
      </c>
      <c r="V48" s="375">
        <f t="shared" si="36"/>
        <v>1502.4381678166665</v>
      </c>
    </row>
    <row r="49" spans="18:28" x14ac:dyDescent="0.25">
      <c r="R49" s="315">
        <v>2019</v>
      </c>
      <c r="S49" s="375">
        <f t="shared" si="28"/>
        <v>31462.088372515354</v>
      </c>
      <c r="T49" s="375">
        <f t="shared" si="29"/>
        <v>23088.318116721464</v>
      </c>
      <c r="U49" s="375">
        <f t="shared" si="35"/>
        <v>763.05863999999997</v>
      </c>
      <c r="V49" s="375">
        <f t="shared" si="36"/>
        <v>1655.0389929999997</v>
      </c>
    </row>
    <row r="50" spans="18:28" x14ac:dyDescent="0.25">
      <c r="R50" s="315">
        <v>2020</v>
      </c>
      <c r="S50" s="375">
        <f t="shared" si="28"/>
        <v>30510.304202127467</v>
      </c>
      <c r="T50" s="375">
        <f t="shared" si="29"/>
        <v>19641.098247472131</v>
      </c>
      <c r="U50" s="375">
        <f t="shared" si="35"/>
        <v>778.20613200000014</v>
      </c>
      <c r="V50" s="375">
        <f t="shared" si="36"/>
        <v>1814.1021040000003</v>
      </c>
    </row>
    <row r="51" spans="18:28" x14ac:dyDescent="0.25">
      <c r="R51" s="315">
        <v>2021</v>
      </c>
      <c r="S51" s="375">
        <f t="shared" si="28"/>
        <v>31925.680936000001</v>
      </c>
      <c r="T51" s="375">
        <f t="shared" si="29"/>
        <v>22847.062425761673</v>
      </c>
      <c r="U51" s="375">
        <f t="shared" si="35"/>
        <v>801.69745300000022</v>
      </c>
      <c r="V51" s="375">
        <f t="shared" si="36"/>
        <v>1822.574989</v>
      </c>
    </row>
    <row r="52" spans="18:28" x14ac:dyDescent="0.25">
      <c r="R52" s="315">
        <v>2022</v>
      </c>
      <c r="S52" s="375">
        <f t="shared" si="28"/>
        <v>29743.804973672315</v>
      </c>
      <c r="T52" s="375">
        <f t="shared" si="29"/>
        <v>27215.911490314935</v>
      </c>
      <c r="U52" s="375">
        <f t="shared" si="35"/>
        <v>820.98820499999999</v>
      </c>
      <c r="V52" s="375">
        <f t="shared" si="36"/>
        <v>1931.8692930000004</v>
      </c>
    </row>
    <row r="53" spans="18:28" ht="13" x14ac:dyDescent="0.3">
      <c r="W53" s="1513"/>
      <c r="X53" s="1513"/>
      <c r="Y53" s="1513"/>
      <c r="Z53" s="1513"/>
    </row>
    <row r="55" spans="18:28" ht="13" x14ac:dyDescent="0.3">
      <c r="X55" s="384"/>
      <c r="Y55" s="384"/>
      <c r="Z55" s="384"/>
    </row>
    <row r="56" spans="18:28" ht="13" x14ac:dyDescent="0.3">
      <c r="W56" s="334"/>
      <c r="X56" s="371"/>
      <c r="Y56" s="371"/>
      <c r="Z56" s="385"/>
    </row>
    <row r="57" spans="18:28" ht="13" x14ac:dyDescent="0.3">
      <c r="S57" s="315" t="s">
        <v>113</v>
      </c>
      <c r="W57" s="334"/>
      <c r="X57" s="371"/>
      <c r="Y57" s="371"/>
      <c r="Z57" s="385"/>
    </row>
    <row r="58" spans="18:28" ht="13" x14ac:dyDescent="0.3">
      <c r="S58" s="315" t="s">
        <v>76</v>
      </c>
      <c r="T58" s="315" t="s">
        <v>77</v>
      </c>
      <c r="U58" s="315" t="s">
        <v>74</v>
      </c>
      <c r="V58" s="315" t="s">
        <v>75</v>
      </c>
      <c r="W58" s="334"/>
      <c r="X58" s="1284"/>
      <c r="Y58" s="316" t="s">
        <v>76</v>
      </c>
      <c r="Z58" s="316" t="s">
        <v>77</v>
      </c>
      <c r="AA58" s="1285" t="s">
        <v>74</v>
      </c>
      <c r="AB58" s="1285" t="s">
        <v>75</v>
      </c>
    </row>
    <row r="59" spans="18:28" x14ac:dyDescent="0.25">
      <c r="R59" s="315">
        <v>1995</v>
      </c>
      <c r="S59" s="375">
        <f t="shared" ref="S59:S83" si="37">I9</f>
        <v>11540.590328999999</v>
      </c>
      <c r="T59" s="375">
        <f t="shared" ref="T59:T83" si="38">J9</f>
        <v>1565.7227680000001</v>
      </c>
      <c r="X59" s="94">
        <f>+R59</f>
        <v>1995</v>
      </c>
      <c r="Y59" s="822">
        <f t="shared" ref="Y59" si="39">+S59</f>
        <v>11540.590328999999</v>
      </c>
      <c r="Z59" s="822">
        <f t="shared" ref="Z59" si="40">+T59</f>
        <v>1565.7227680000001</v>
      </c>
      <c r="AA59" s="822">
        <f t="shared" ref="AA59" si="41">+U59</f>
        <v>0</v>
      </c>
      <c r="AB59" s="371">
        <f t="shared" ref="AB59" si="42">+V59</f>
        <v>0</v>
      </c>
    </row>
    <row r="60" spans="18:28" x14ac:dyDescent="0.25">
      <c r="R60" s="315">
        <v>1996</v>
      </c>
      <c r="S60" s="375">
        <f t="shared" si="37"/>
        <v>11847.925377</v>
      </c>
      <c r="T60" s="375">
        <f t="shared" si="38"/>
        <v>1459.2416440000002</v>
      </c>
      <c r="X60">
        <f>+R64</f>
        <v>2000</v>
      </c>
      <c r="Y60" s="132">
        <f t="shared" ref="Y60" si="43">+S64</f>
        <v>15747.323264999999</v>
      </c>
      <c r="Z60" s="132">
        <f t="shared" ref="Z60" si="44">+T64</f>
        <v>2579.7287539999998</v>
      </c>
      <c r="AA60" s="132">
        <f t="shared" ref="AA60" si="45">+U64</f>
        <v>0</v>
      </c>
      <c r="AB60" s="371">
        <f t="shared" ref="AB60" si="46">+V64</f>
        <v>0</v>
      </c>
    </row>
    <row r="61" spans="18:28" x14ac:dyDescent="0.25">
      <c r="R61" s="315">
        <v>1997</v>
      </c>
      <c r="S61" s="375">
        <f t="shared" si="37"/>
        <v>12264.791790000001</v>
      </c>
      <c r="T61" s="375">
        <f t="shared" si="38"/>
        <v>3083.2094300000008</v>
      </c>
      <c r="X61">
        <f>+R69</f>
        <v>2005</v>
      </c>
      <c r="Y61" s="132">
        <f t="shared" ref="Y61" si="47">+S69</f>
        <v>17567.105377792748</v>
      </c>
      <c r="Z61" s="132">
        <f t="shared" ref="Z61" si="48">+T69</f>
        <v>6242.5431669999998</v>
      </c>
      <c r="AA61" s="132">
        <f t="shared" ref="AA61" si="49">+U69</f>
        <v>0</v>
      </c>
      <c r="AB61" s="371">
        <f t="shared" ref="AB61" si="50">+V69</f>
        <v>0</v>
      </c>
    </row>
    <row r="62" spans="18:28" x14ac:dyDescent="0.25">
      <c r="R62" s="315">
        <v>1998</v>
      </c>
      <c r="S62" s="375">
        <f t="shared" si="37"/>
        <v>13367.193777000002</v>
      </c>
      <c r="T62" s="375">
        <f t="shared" si="38"/>
        <v>3448.2166299999999</v>
      </c>
      <c r="X62">
        <f>+R74</f>
        <v>2010</v>
      </c>
      <c r="Y62" s="132">
        <f t="shared" ref="Y62:Y74" si="51">+S74</f>
        <v>19567.404609199999</v>
      </c>
      <c r="Z62" s="132">
        <f t="shared" ref="Z62:Z74" si="52">+T74</f>
        <v>13977.184797999998</v>
      </c>
      <c r="AA62" s="132">
        <f t="shared" ref="AA62:AA74" si="53">+U74</f>
        <v>0</v>
      </c>
      <c r="AB62" s="371">
        <f t="shared" ref="AB62:AB74" si="54">+V74</f>
        <v>0</v>
      </c>
    </row>
    <row r="63" spans="18:28" x14ac:dyDescent="0.25">
      <c r="R63" s="315">
        <v>1999</v>
      </c>
      <c r="S63" s="375">
        <f t="shared" si="37"/>
        <v>14110.592026</v>
      </c>
      <c r="T63" s="375">
        <f t="shared" si="38"/>
        <v>3255.0052719999999</v>
      </c>
      <c r="X63">
        <f t="shared" ref="X63:X74" si="55">+R75</f>
        <v>2011</v>
      </c>
      <c r="Y63" s="132">
        <f t="shared" si="51"/>
        <v>21027.418404235243</v>
      </c>
      <c r="Z63" s="132">
        <f t="shared" si="52"/>
        <v>15219.887485999998</v>
      </c>
      <c r="AA63" s="132">
        <f t="shared" si="53"/>
        <v>0</v>
      </c>
      <c r="AB63" s="371">
        <f t="shared" si="54"/>
        <v>0</v>
      </c>
    </row>
    <row r="64" spans="18:28" x14ac:dyDescent="0.25">
      <c r="R64" s="315">
        <v>2000</v>
      </c>
      <c r="S64" s="375">
        <f t="shared" si="37"/>
        <v>15747.323264999999</v>
      </c>
      <c r="T64" s="375">
        <f t="shared" si="38"/>
        <v>2579.7287539999998</v>
      </c>
      <c r="X64">
        <f t="shared" si="55"/>
        <v>2012</v>
      </c>
      <c r="Y64" s="132">
        <f t="shared" si="51"/>
        <v>21490.80766299997</v>
      </c>
      <c r="Z64" s="132">
        <f t="shared" si="52"/>
        <v>16809.312290999984</v>
      </c>
      <c r="AA64" s="132">
        <f t="shared" si="53"/>
        <v>59.682986800000002</v>
      </c>
      <c r="AB64" s="371">
        <f t="shared" si="54"/>
        <v>0</v>
      </c>
    </row>
    <row r="65" spans="18:28" x14ac:dyDescent="0.25">
      <c r="R65" s="315">
        <v>2001</v>
      </c>
      <c r="S65" s="375">
        <f t="shared" si="37"/>
        <v>17188.330773999998</v>
      </c>
      <c r="T65" s="375">
        <f t="shared" si="38"/>
        <v>2024.9494680000003</v>
      </c>
      <c r="X65">
        <f t="shared" si="55"/>
        <v>2013</v>
      </c>
      <c r="Y65" s="132">
        <f t="shared" si="51"/>
        <v>21709.384683427139</v>
      </c>
      <c r="Z65" s="132">
        <f t="shared" si="52"/>
        <v>18757.127455751826</v>
      </c>
      <c r="AA65" s="132">
        <f t="shared" si="53"/>
        <v>196.92788000000002</v>
      </c>
      <c r="AB65" s="371">
        <f t="shared" si="54"/>
        <v>0</v>
      </c>
    </row>
    <row r="66" spans="18:28" x14ac:dyDescent="0.25">
      <c r="R66" s="315">
        <v>2002</v>
      </c>
      <c r="S66" s="375">
        <f t="shared" si="37"/>
        <v>17638.158238000004</v>
      </c>
      <c r="T66" s="375">
        <f t="shared" si="38"/>
        <v>2780.1240350000003</v>
      </c>
      <c r="X66">
        <f t="shared" si="55"/>
        <v>2014</v>
      </c>
      <c r="Y66" s="132">
        <f t="shared" si="51"/>
        <v>21610.924675940143</v>
      </c>
      <c r="Z66" s="132">
        <f t="shared" si="52"/>
        <v>20778.478798658423</v>
      </c>
      <c r="AA66" s="132">
        <f t="shared" si="53"/>
        <v>199.30359694553749</v>
      </c>
      <c r="AB66" s="371">
        <f t="shared" si="54"/>
        <v>257.5406575769008</v>
      </c>
    </row>
    <row r="67" spans="18:28" x14ac:dyDescent="0.25">
      <c r="R67" s="315">
        <v>2003</v>
      </c>
      <c r="S67" s="375">
        <f t="shared" si="37"/>
        <v>18118.333137999995</v>
      </c>
      <c r="T67" s="375">
        <f t="shared" si="38"/>
        <v>3241.9033919999997</v>
      </c>
      <c r="X67">
        <f t="shared" si="55"/>
        <v>2015</v>
      </c>
      <c r="Y67" s="132">
        <f t="shared" si="51"/>
        <v>23127.103615596483</v>
      </c>
      <c r="Z67" s="132">
        <f t="shared" si="52"/>
        <v>21758.428387300512</v>
      </c>
      <c r="AA67" s="132">
        <f t="shared" si="53"/>
        <v>230.25534300000001</v>
      </c>
      <c r="AB67" s="371">
        <f t="shared" si="54"/>
        <v>595.60053148867019</v>
      </c>
    </row>
    <row r="68" spans="18:28" x14ac:dyDescent="0.25">
      <c r="R68" s="315">
        <v>2004</v>
      </c>
      <c r="S68" s="375">
        <f t="shared" si="37"/>
        <v>17100.664633000004</v>
      </c>
      <c r="T68" s="375">
        <f t="shared" si="38"/>
        <v>5518.0477580000006</v>
      </c>
      <c r="X68">
        <f t="shared" si="55"/>
        <v>2016</v>
      </c>
      <c r="Y68" s="132">
        <f t="shared" si="51"/>
        <v>23652.579328757867</v>
      </c>
      <c r="Z68" s="132">
        <f t="shared" si="52"/>
        <v>24576.663937622372</v>
      </c>
      <c r="AA68" s="132">
        <f t="shared" si="53"/>
        <v>241.00855899999999</v>
      </c>
      <c r="AB68" s="371">
        <f t="shared" si="54"/>
        <v>1063.8290854064544</v>
      </c>
    </row>
    <row r="69" spans="18:28" x14ac:dyDescent="0.25">
      <c r="R69" s="315">
        <v>2005</v>
      </c>
      <c r="S69" s="375">
        <f t="shared" si="37"/>
        <v>17567.105377792748</v>
      </c>
      <c r="T69" s="375">
        <f t="shared" si="38"/>
        <v>6242.5431669999998</v>
      </c>
      <c r="X69">
        <f t="shared" si="55"/>
        <v>2017</v>
      </c>
      <c r="Y69" s="132">
        <f t="shared" si="51"/>
        <v>28393.01122177652</v>
      </c>
      <c r="Z69" s="132">
        <f t="shared" si="52"/>
        <v>20591.218352000004</v>
      </c>
      <c r="AA69" s="132">
        <f t="shared" si="53"/>
        <v>287.20034300000003</v>
      </c>
      <c r="AB69" s="371">
        <f t="shared" si="54"/>
        <v>1073.432268</v>
      </c>
    </row>
    <row r="70" spans="18:28" x14ac:dyDescent="0.25">
      <c r="R70" s="315">
        <v>2006</v>
      </c>
      <c r="S70" s="375">
        <f t="shared" si="37"/>
        <v>19160.751642958581</v>
      </c>
      <c r="T70" s="375">
        <f t="shared" si="38"/>
        <v>6451.7857470000008</v>
      </c>
      <c r="X70">
        <f t="shared" si="55"/>
        <v>2018</v>
      </c>
      <c r="Y70" s="132">
        <f t="shared" si="51"/>
        <v>29989.333366932777</v>
      </c>
      <c r="Z70" s="132">
        <f t="shared" si="52"/>
        <v>20125.22251195</v>
      </c>
      <c r="AA70" s="132">
        <f t="shared" si="53"/>
        <v>745.40054000000009</v>
      </c>
      <c r="AB70" s="371">
        <f t="shared" si="54"/>
        <v>1502.4381678166665</v>
      </c>
    </row>
    <row r="71" spans="18:28" x14ac:dyDescent="0.25">
      <c r="R71" s="376">
        <v>2007</v>
      </c>
      <c r="S71" s="375">
        <f t="shared" si="37"/>
        <v>19107.193966340001</v>
      </c>
      <c r="T71" s="375">
        <f t="shared" si="38"/>
        <v>9092.0707240000011</v>
      </c>
      <c r="X71">
        <f t="shared" si="55"/>
        <v>2019</v>
      </c>
      <c r="Y71" s="132">
        <f t="shared" si="51"/>
        <v>30769.211305633798</v>
      </c>
      <c r="Z71" s="132">
        <f t="shared" si="52"/>
        <v>21261.283020000006</v>
      </c>
      <c r="AA71" s="132">
        <f t="shared" si="53"/>
        <v>763.05863999999997</v>
      </c>
      <c r="AB71" s="743">
        <f t="shared" si="54"/>
        <v>1655.0389929999997</v>
      </c>
    </row>
    <row r="72" spans="18:28" x14ac:dyDescent="0.25">
      <c r="R72" s="315">
        <v>2008</v>
      </c>
      <c r="S72" s="375">
        <f t="shared" si="37"/>
        <v>18607.792106999997</v>
      </c>
      <c r="T72" s="375">
        <f t="shared" si="38"/>
        <v>11965.692749000002</v>
      </c>
      <c r="X72">
        <f t="shared" si="55"/>
        <v>2020</v>
      </c>
      <c r="Y72" s="132">
        <f t="shared" si="51"/>
        <v>29895.459940539775</v>
      </c>
      <c r="Z72" s="132">
        <f t="shared" si="52"/>
        <v>18169.253182999993</v>
      </c>
      <c r="AA72" s="132">
        <f t="shared" si="53"/>
        <v>778.20613200000014</v>
      </c>
      <c r="AB72" s="743">
        <f t="shared" si="54"/>
        <v>1814.1021040000003</v>
      </c>
    </row>
    <row r="73" spans="18:28" x14ac:dyDescent="0.25">
      <c r="R73" s="315">
        <v>2009</v>
      </c>
      <c r="S73" s="375">
        <f t="shared" si="37"/>
        <v>19419.221612000001</v>
      </c>
      <c r="T73" s="375">
        <f t="shared" si="38"/>
        <v>11501.454770999999</v>
      </c>
      <c r="X73">
        <f t="shared" si="55"/>
        <v>2021</v>
      </c>
      <c r="Y73" s="132">
        <f t="shared" si="51"/>
        <v>31293.611004000002</v>
      </c>
      <c r="Z73" s="132">
        <f t="shared" si="52"/>
        <v>21619.872432</v>
      </c>
      <c r="AA73" s="132">
        <f t="shared" si="53"/>
        <v>801.69745300000022</v>
      </c>
      <c r="AB73" s="743">
        <f t="shared" si="54"/>
        <v>1822.574989</v>
      </c>
    </row>
    <row r="74" spans="18:28" x14ac:dyDescent="0.25">
      <c r="R74" s="315">
        <v>2010</v>
      </c>
      <c r="S74" s="375">
        <f t="shared" si="37"/>
        <v>19567.404609199999</v>
      </c>
      <c r="T74" s="375">
        <f t="shared" si="38"/>
        <v>13977.184797999998</v>
      </c>
      <c r="X74">
        <f t="shared" si="55"/>
        <v>2022</v>
      </c>
      <c r="Y74" s="132">
        <f t="shared" si="51"/>
        <v>29164.347417939978</v>
      </c>
      <c r="Z74" s="132">
        <f t="shared" si="52"/>
        <v>25897.253168819996</v>
      </c>
      <c r="AA74" s="132">
        <f t="shared" si="53"/>
        <v>820.98820499999999</v>
      </c>
      <c r="AB74" s="743">
        <f t="shared" si="54"/>
        <v>1931.8692930000004</v>
      </c>
    </row>
    <row r="75" spans="18:28" x14ac:dyDescent="0.25">
      <c r="R75" s="315">
        <v>2011</v>
      </c>
      <c r="S75" s="375">
        <f t="shared" si="37"/>
        <v>21027.418404235243</v>
      </c>
      <c r="T75" s="375">
        <f t="shared" si="38"/>
        <v>15219.887485999998</v>
      </c>
    </row>
    <row r="76" spans="18:28" x14ac:dyDescent="0.25">
      <c r="R76" s="315">
        <v>2012</v>
      </c>
      <c r="S76" s="375">
        <f t="shared" si="37"/>
        <v>21490.80766299997</v>
      </c>
      <c r="T76" s="375">
        <f t="shared" si="38"/>
        <v>16809.312290999984</v>
      </c>
      <c r="U76" s="375">
        <f t="shared" ref="U76:U83" si="56">K26</f>
        <v>59.682986800000002</v>
      </c>
    </row>
    <row r="77" spans="18:28" x14ac:dyDescent="0.25">
      <c r="R77" s="315">
        <v>2013</v>
      </c>
      <c r="S77" s="375">
        <f t="shared" si="37"/>
        <v>21709.384683427139</v>
      </c>
      <c r="T77" s="375">
        <f t="shared" si="38"/>
        <v>18757.127455751826</v>
      </c>
      <c r="U77" s="375">
        <f t="shared" si="56"/>
        <v>196.92788000000002</v>
      </c>
    </row>
    <row r="78" spans="18:28" x14ac:dyDescent="0.25">
      <c r="R78" s="315">
        <v>2014</v>
      </c>
      <c r="S78" s="375">
        <f t="shared" si="37"/>
        <v>21610.924675940143</v>
      </c>
      <c r="T78" s="375">
        <f t="shared" si="38"/>
        <v>20778.478798658423</v>
      </c>
      <c r="U78" s="375">
        <f t="shared" si="56"/>
        <v>199.30359694553749</v>
      </c>
      <c r="V78" s="375">
        <f t="shared" ref="V78:V83" si="57">L28</f>
        <v>257.5406575769008</v>
      </c>
    </row>
    <row r="79" spans="18:28" x14ac:dyDescent="0.25">
      <c r="R79" s="376">
        <v>2015</v>
      </c>
      <c r="S79" s="375">
        <f t="shared" si="37"/>
        <v>23127.103615596483</v>
      </c>
      <c r="T79" s="375">
        <f t="shared" si="38"/>
        <v>21758.428387300512</v>
      </c>
      <c r="U79" s="375">
        <f t="shared" si="56"/>
        <v>230.25534300000001</v>
      </c>
      <c r="V79" s="375">
        <f t="shared" si="57"/>
        <v>595.60053148867019</v>
      </c>
    </row>
    <row r="80" spans="18:28" x14ac:dyDescent="0.25">
      <c r="R80" s="315">
        <v>2016</v>
      </c>
      <c r="S80" s="375">
        <f t="shared" si="37"/>
        <v>23652.579328757867</v>
      </c>
      <c r="T80" s="375">
        <f t="shared" si="38"/>
        <v>24576.663937622372</v>
      </c>
      <c r="U80" s="375">
        <f t="shared" si="56"/>
        <v>241.00855899999999</v>
      </c>
      <c r="V80" s="375">
        <f t="shared" si="57"/>
        <v>1063.8290854064544</v>
      </c>
    </row>
    <row r="81" spans="18:22" x14ac:dyDescent="0.25">
      <c r="R81" s="315">
        <v>2017</v>
      </c>
      <c r="S81" s="375">
        <f t="shared" si="37"/>
        <v>28393.01122177652</v>
      </c>
      <c r="T81" s="375">
        <f t="shared" si="38"/>
        <v>20591.218352000004</v>
      </c>
      <c r="U81" s="375">
        <f t="shared" si="56"/>
        <v>287.20034300000003</v>
      </c>
      <c r="V81" s="375">
        <f t="shared" si="57"/>
        <v>1073.432268</v>
      </c>
    </row>
    <row r="82" spans="18:22" x14ac:dyDescent="0.25">
      <c r="R82" s="315">
        <v>2018</v>
      </c>
      <c r="S82" s="375">
        <f t="shared" si="37"/>
        <v>29989.333366932777</v>
      </c>
      <c r="T82" s="375">
        <f t="shared" si="38"/>
        <v>20125.22251195</v>
      </c>
      <c r="U82" s="375">
        <f t="shared" si="56"/>
        <v>745.40054000000009</v>
      </c>
      <c r="V82" s="375">
        <f t="shared" si="57"/>
        <v>1502.4381678166665</v>
      </c>
    </row>
    <row r="83" spans="18:22" x14ac:dyDescent="0.25">
      <c r="R83" s="315">
        <v>2019</v>
      </c>
      <c r="S83" s="375">
        <f t="shared" si="37"/>
        <v>30769.211305633798</v>
      </c>
      <c r="T83" s="375">
        <f t="shared" si="38"/>
        <v>21261.283020000006</v>
      </c>
      <c r="U83" s="375">
        <f t="shared" si="56"/>
        <v>763.05863999999997</v>
      </c>
      <c r="V83" s="375">
        <f t="shared" si="57"/>
        <v>1655.0389929999997</v>
      </c>
    </row>
    <row r="84" spans="18:22" x14ac:dyDescent="0.25">
      <c r="R84" s="315">
        <v>2020</v>
      </c>
      <c r="S84" s="375">
        <f t="shared" ref="S84:S86" si="58">I34</f>
        <v>29895.459940539775</v>
      </c>
      <c r="T84" s="375">
        <f t="shared" ref="T84:T86" si="59">J34</f>
        <v>18169.253182999993</v>
      </c>
      <c r="U84" s="375">
        <f t="shared" ref="U84:U86" si="60">K34</f>
        <v>778.20613200000014</v>
      </c>
      <c r="V84" s="375">
        <f t="shared" ref="V84:V86" si="61">L34</f>
        <v>1814.1021040000003</v>
      </c>
    </row>
    <row r="85" spans="18:22" x14ac:dyDescent="0.25">
      <c r="R85" s="315">
        <v>2021</v>
      </c>
      <c r="S85" s="375">
        <f t="shared" si="58"/>
        <v>31293.611004000002</v>
      </c>
      <c r="T85" s="375">
        <f t="shared" si="59"/>
        <v>21619.872432</v>
      </c>
      <c r="U85" s="375">
        <f t="shared" si="60"/>
        <v>801.69745300000022</v>
      </c>
      <c r="V85" s="375">
        <f t="shared" si="61"/>
        <v>1822.574989</v>
      </c>
    </row>
    <row r="86" spans="18:22" x14ac:dyDescent="0.25">
      <c r="R86" s="315">
        <v>2022</v>
      </c>
      <c r="S86" s="375">
        <f t="shared" si="58"/>
        <v>29164.347417939978</v>
      </c>
      <c r="T86" s="375">
        <f t="shared" si="59"/>
        <v>25897.253168819996</v>
      </c>
      <c r="U86" s="375">
        <f t="shared" si="60"/>
        <v>820.98820499999999</v>
      </c>
      <c r="V86" s="375">
        <f t="shared" si="61"/>
        <v>1931.8692930000004</v>
      </c>
    </row>
    <row r="87" spans="18:22" x14ac:dyDescent="0.25">
      <c r="S87" s="315" t="s">
        <v>79</v>
      </c>
    </row>
    <row r="88" spans="18:22" x14ac:dyDescent="0.25">
      <c r="S88" s="315" t="s">
        <v>76</v>
      </c>
      <c r="T88" s="315" t="s">
        <v>77</v>
      </c>
    </row>
    <row r="89" spans="18:22" x14ac:dyDescent="0.25">
      <c r="R89" s="315">
        <v>1995</v>
      </c>
      <c r="S89" s="375">
        <f t="shared" ref="S89:S113" si="62">N9</f>
        <v>1396.9631319999999</v>
      </c>
      <c r="T89" s="375">
        <f t="shared" ref="T89:T113" si="63">O9</f>
        <v>2376.8383720000002</v>
      </c>
    </row>
    <row r="90" spans="18:22" x14ac:dyDescent="0.25">
      <c r="R90" s="315">
        <v>1996</v>
      </c>
      <c r="S90" s="375">
        <f t="shared" si="62"/>
        <v>1475.6467010000001</v>
      </c>
      <c r="T90" s="375">
        <f t="shared" si="63"/>
        <v>2496.5885710000002</v>
      </c>
    </row>
    <row r="91" spans="18:22" x14ac:dyDescent="0.25">
      <c r="R91" s="315">
        <v>1997</v>
      </c>
      <c r="S91" s="375">
        <f t="shared" si="62"/>
        <v>949.73769199999992</v>
      </c>
      <c r="T91" s="375">
        <f t="shared" si="63"/>
        <v>1655.1130069999999</v>
      </c>
    </row>
    <row r="92" spans="18:22" x14ac:dyDescent="0.25">
      <c r="R92" s="315">
        <v>1998</v>
      </c>
      <c r="S92" s="375">
        <f t="shared" si="62"/>
        <v>441.09136100000001</v>
      </c>
      <c r="T92" s="375">
        <f t="shared" si="63"/>
        <v>1325.5106380000002</v>
      </c>
    </row>
    <row r="93" spans="18:22" x14ac:dyDescent="0.25">
      <c r="R93" s="315">
        <v>1999</v>
      </c>
      <c r="S93" s="375">
        <f t="shared" si="62"/>
        <v>429.98925900000006</v>
      </c>
      <c r="T93" s="375">
        <f t="shared" si="63"/>
        <v>1253.40626</v>
      </c>
    </row>
    <row r="94" spans="18:22" x14ac:dyDescent="0.25">
      <c r="R94" s="315">
        <v>2000</v>
      </c>
      <c r="S94" s="375">
        <f t="shared" si="62"/>
        <v>428.72810099999998</v>
      </c>
      <c r="T94" s="375">
        <f t="shared" si="63"/>
        <v>1166.0715179999995</v>
      </c>
    </row>
    <row r="95" spans="18:22" x14ac:dyDescent="0.25">
      <c r="R95" s="315">
        <v>2001</v>
      </c>
      <c r="S95" s="375">
        <f t="shared" si="62"/>
        <v>426.42942600000003</v>
      </c>
      <c r="T95" s="375">
        <f t="shared" si="63"/>
        <v>1144.7894669999996</v>
      </c>
    </row>
    <row r="96" spans="18:22" x14ac:dyDescent="0.25">
      <c r="R96" s="315">
        <v>2002</v>
      </c>
      <c r="S96" s="375">
        <f t="shared" si="62"/>
        <v>401.9696770000001</v>
      </c>
      <c r="T96" s="375">
        <f t="shared" si="63"/>
        <v>1160.8448220000034</v>
      </c>
    </row>
    <row r="97" spans="18:20" x14ac:dyDescent="0.25">
      <c r="R97" s="315">
        <v>2003</v>
      </c>
      <c r="S97" s="375">
        <f t="shared" si="62"/>
        <v>415.38772300000005</v>
      </c>
      <c r="T97" s="375">
        <f t="shared" si="63"/>
        <v>1146.5032210000034</v>
      </c>
    </row>
    <row r="98" spans="18:20" x14ac:dyDescent="0.25">
      <c r="R98" s="315">
        <v>2004</v>
      </c>
      <c r="S98" s="375">
        <f t="shared" si="62"/>
        <v>424.674328</v>
      </c>
      <c r="T98" s="375">
        <f t="shared" si="63"/>
        <v>1222.3989520000002</v>
      </c>
    </row>
    <row r="99" spans="18:20" x14ac:dyDescent="0.25">
      <c r="R99" s="315">
        <v>2005</v>
      </c>
      <c r="S99" s="375">
        <f t="shared" si="62"/>
        <v>409.88795820724977</v>
      </c>
      <c r="T99" s="375">
        <f t="shared" si="63"/>
        <v>1288.9739120000033</v>
      </c>
    </row>
    <row r="100" spans="18:20" x14ac:dyDescent="0.25">
      <c r="R100" s="315">
        <v>2006</v>
      </c>
      <c r="S100" s="375">
        <f t="shared" si="62"/>
        <v>433.59552104141386</v>
      </c>
      <c r="T100" s="375">
        <f t="shared" si="63"/>
        <v>1322.4694165800001</v>
      </c>
    </row>
    <row r="101" spans="18:20" x14ac:dyDescent="0.25">
      <c r="R101" s="376">
        <v>2007</v>
      </c>
      <c r="S101" s="375">
        <f t="shared" si="62"/>
        <v>441.58805366000001</v>
      </c>
      <c r="T101" s="375">
        <f t="shared" si="63"/>
        <v>1300.9679980000003</v>
      </c>
    </row>
    <row r="102" spans="18:20" x14ac:dyDescent="0.25">
      <c r="R102" s="315">
        <v>2008</v>
      </c>
      <c r="S102" s="375">
        <f t="shared" si="62"/>
        <v>451.82564200000002</v>
      </c>
      <c r="T102" s="375">
        <f t="shared" si="63"/>
        <v>1436.5693849999998</v>
      </c>
    </row>
    <row r="103" spans="18:20" x14ac:dyDescent="0.25">
      <c r="R103" s="315">
        <v>2009</v>
      </c>
      <c r="S103" s="375">
        <f t="shared" si="62"/>
        <v>484.55479200000008</v>
      </c>
      <c r="T103" s="375">
        <f t="shared" si="63"/>
        <v>1538.2782460000001</v>
      </c>
    </row>
    <row r="104" spans="18:20" x14ac:dyDescent="0.25">
      <c r="R104" s="315">
        <v>2010</v>
      </c>
      <c r="S104" s="375">
        <f t="shared" si="62"/>
        <v>484.72467099999994</v>
      </c>
      <c r="T104" s="375">
        <f t="shared" si="63"/>
        <v>1877.467463</v>
      </c>
    </row>
    <row r="105" spans="18:20" x14ac:dyDescent="0.25">
      <c r="R105" s="315">
        <v>2011</v>
      </c>
      <c r="S105" s="375">
        <f t="shared" si="62"/>
        <v>529.90831255000001</v>
      </c>
      <c r="T105" s="375">
        <f t="shared" si="63"/>
        <v>2028.0206412236719</v>
      </c>
    </row>
    <row r="106" spans="18:20" x14ac:dyDescent="0.25">
      <c r="R106" s="315">
        <v>2012</v>
      </c>
      <c r="S106" s="375">
        <f t="shared" si="62"/>
        <v>541.13038300000005</v>
      </c>
      <c r="T106" s="375">
        <f t="shared" si="63"/>
        <v>2133.8233494079464</v>
      </c>
    </row>
    <row r="107" spans="18:20" x14ac:dyDescent="0.25">
      <c r="R107" s="315">
        <v>2013</v>
      </c>
      <c r="S107" s="375">
        <f t="shared" si="62"/>
        <v>610.17786655586588</v>
      </c>
      <c r="T107" s="375">
        <f t="shared" si="63"/>
        <v>2055.3336747505405</v>
      </c>
    </row>
    <row r="108" spans="18:20" x14ac:dyDescent="0.25">
      <c r="R108" s="315">
        <v>2014</v>
      </c>
      <c r="S108" s="375">
        <f t="shared" si="62"/>
        <v>599.73481195450518</v>
      </c>
      <c r="T108" s="375">
        <f t="shared" si="63"/>
        <v>2103.8370311792924</v>
      </c>
    </row>
    <row r="109" spans="18:20" x14ac:dyDescent="0.25">
      <c r="R109" s="376">
        <v>2015</v>
      </c>
      <c r="S109" s="375">
        <f t="shared" si="62"/>
        <v>595.64394786109222</v>
      </c>
      <c r="T109" s="375">
        <f t="shared" si="63"/>
        <v>1963.3796904690782</v>
      </c>
    </row>
    <row r="110" spans="18:20" x14ac:dyDescent="0.25">
      <c r="R110" s="315">
        <v>2016</v>
      </c>
      <c r="S110" s="375">
        <f t="shared" si="62"/>
        <v>519.10842200474076</v>
      </c>
      <c r="T110" s="375">
        <f t="shared" si="63"/>
        <v>1646.7845984157877</v>
      </c>
    </row>
    <row r="111" spans="18:20" x14ac:dyDescent="0.25">
      <c r="R111" s="376">
        <v>2017</v>
      </c>
      <c r="S111" s="375">
        <f t="shared" si="62"/>
        <v>681.50227583925118</v>
      </c>
      <c r="T111" s="375">
        <f t="shared" si="63"/>
        <v>1673.6888596570511</v>
      </c>
    </row>
    <row r="112" spans="18:20" x14ac:dyDescent="0.25">
      <c r="R112" s="315">
        <v>2018</v>
      </c>
      <c r="S112" s="375">
        <f t="shared" si="62"/>
        <v>748.12424245540797</v>
      </c>
      <c r="T112" s="375">
        <f t="shared" si="63"/>
        <v>1782.6383302716372</v>
      </c>
    </row>
    <row r="113" spans="18:20" x14ac:dyDescent="0.25">
      <c r="R113" s="376">
        <v>2019</v>
      </c>
      <c r="S113" s="375">
        <f t="shared" si="62"/>
        <v>692.8770668815547</v>
      </c>
      <c r="T113" s="375">
        <f t="shared" si="63"/>
        <v>1827.0350967214597</v>
      </c>
    </row>
    <row r="114" spans="18:20" x14ac:dyDescent="0.25">
      <c r="R114" s="376">
        <v>2020</v>
      </c>
      <c r="S114" s="375">
        <f t="shared" ref="S114:S116" si="64">N34</f>
        <v>614.84426158769077</v>
      </c>
      <c r="T114" s="375">
        <f t="shared" ref="T114:T116" si="65">O34</f>
        <v>1471.8450644721383</v>
      </c>
    </row>
    <row r="115" spans="18:20" x14ac:dyDescent="0.25">
      <c r="R115" s="376">
        <v>2021</v>
      </c>
      <c r="S115" s="375">
        <f t="shared" si="64"/>
        <v>632.06993199999999</v>
      </c>
      <c r="T115" s="375">
        <f t="shared" si="65"/>
        <v>1227.1899937616713</v>
      </c>
    </row>
    <row r="116" spans="18:20" x14ac:dyDescent="0.25">
      <c r="R116" s="376">
        <v>2022</v>
      </c>
      <c r="S116" s="375">
        <f t="shared" si="64"/>
        <v>579.45755573233851</v>
      </c>
      <c r="T116" s="375">
        <f t="shared" si="65"/>
        <v>1318.6583214949374</v>
      </c>
    </row>
  </sheetData>
  <mergeCells count="4">
    <mergeCell ref="W53:Z53"/>
    <mergeCell ref="B7:B8"/>
    <mergeCell ref="C7:G7"/>
    <mergeCell ref="B5:H5"/>
  </mergeCells>
  <printOptions horizontalCentered="1" verticalCentered="1"/>
  <pageMargins left="0.39370078740157483" right="0.19685039370078741" top="0.51181102362204722" bottom="0.27559055118110237" header="0" footer="0"/>
  <pageSetup paperSize="9" scale="53" orientation="portrait" horizontalDpi="300" verticalDpi="300" r:id="rId1"/>
  <headerFooter alignWithMargins="0"/>
  <ignoredErrors>
    <ignoredError sqref="C10:O33 C34:H34 M34 M36 D36:H36 C35:O35 C36 I36:L36 N36:O36 C9:F9 H9:O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113"/>
  <sheetViews>
    <sheetView showGridLines="0" view="pageBreakPreview" zoomScaleNormal="85" zoomScaleSheetLayoutView="100" workbookViewId="0">
      <selection activeCell="P44" sqref="P44"/>
    </sheetView>
  </sheetViews>
  <sheetFormatPr baseColWidth="10" defaultColWidth="11.453125" defaultRowHeight="12.5" x14ac:dyDescent="0.25"/>
  <cols>
    <col min="1" max="1" width="4.453125" style="333" customWidth="1"/>
    <col min="2" max="2" width="21.7265625" style="315" customWidth="1"/>
    <col min="3" max="3" width="11.7265625" style="315" customWidth="1"/>
    <col min="4" max="14" width="10.26953125" style="315" customWidth="1"/>
    <col min="15" max="16" width="11.453125" style="315"/>
    <col min="17" max="17" width="13.7265625" style="315" bestFit="1" customWidth="1"/>
    <col min="18" max="18" width="14.26953125" style="315" bestFit="1" customWidth="1"/>
    <col min="19" max="19" width="13.7265625" style="315" bestFit="1" customWidth="1"/>
    <col min="20" max="16384" width="11.453125" style="315"/>
  </cols>
  <sheetData>
    <row r="1" spans="1:16" s="333" customFormat="1" ht="18" x14ac:dyDescent="0.4">
      <c r="B1" s="1639" t="s">
        <v>201</v>
      </c>
      <c r="C1" s="1639"/>
      <c r="D1" s="1639"/>
      <c r="E1" s="1639"/>
      <c r="F1" s="1639"/>
      <c r="G1" s="1639"/>
      <c r="H1" s="1639"/>
      <c r="I1" s="1639"/>
      <c r="J1" s="1639"/>
      <c r="K1" s="1639"/>
      <c r="L1" s="1639"/>
      <c r="M1" s="1639"/>
      <c r="N1" s="1639"/>
    </row>
    <row r="2" spans="1:16" s="333" customFormat="1" ht="11.25" customHeight="1" thickBot="1" x14ac:dyDescent="0.3"/>
    <row r="3" spans="1:16" s="493" customFormat="1" ht="15" customHeight="1" x14ac:dyDescent="0.25">
      <c r="A3" s="492"/>
      <c r="B3" s="1514" t="s">
        <v>39</v>
      </c>
      <c r="C3" s="1516" t="s">
        <v>167</v>
      </c>
      <c r="D3" s="1517"/>
      <c r="E3" s="1517"/>
      <c r="F3" s="1518"/>
      <c r="G3" s="1062" t="s">
        <v>70</v>
      </c>
      <c r="H3" s="1063"/>
      <c r="I3" s="1063"/>
      <c r="J3" s="1064"/>
      <c r="K3" s="1062" t="s">
        <v>71</v>
      </c>
      <c r="L3" s="1063"/>
      <c r="M3" s="1063"/>
      <c r="N3" s="1065"/>
    </row>
    <row r="4" spans="1:16" s="493" customFormat="1" ht="13.5" thickBot="1" x14ac:dyDescent="0.3">
      <c r="A4" s="492"/>
      <c r="B4" s="1515"/>
      <c r="C4" s="1207" t="s">
        <v>53</v>
      </c>
      <c r="D4" s="1310" t="s">
        <v>82</v>
      </c>
      <c r="E4" s="1101" t="s">
        <v>83</v>
      </c>
      <c r="F4" s="1101" t="s">
        <v>84</v>
      </c>
      <c r="G4" s="1068" t="s">
        <v>53</v>
      </c>
      <c r="H4" s="1067" t="s">
        <v>82</v>
      </c>
      <c r="I4" s="1067" t="s">
        <v>83</v>
      </c>
      <c r="J4" s="1067" t="s">
        <v>84</v>
      </c>
      <c r="K4" s="1069" t="s">
        <v>53</v>
      </c>
      <c r="L4" s="1070" t="s">
        <v>82</v>
      </c>
      <c r="M4" s="1070" t="s">
        <v>83</v>
      </c>
      <c r="N4" s="1071" t="s">
        <v>84</v>
      </c>
    </row>
    <row r="5" spans="1:16" ht="13" x14ac:dyDescent="0.3">
      <c r="B5" s="1407">
        <v>1995</v>
      </c>
      <c r="C5" s="343">
        <f t="shared" ref="C5:C10" si="0">SUM(D5:F5)</f>
        <v>16880.114601000001</v>
      </c>
      <c r="D5" s="345">
        <f t="shared" ref="D5:D10" si="1">(H5+L5)</f>
        <v>12350.392384999999</v>
      </c>
      <c r="E5" s="346">
        <f t="shared" ref="E5:F10" si="2">I5+M5</f>
        <v>2224.1583129999999</v>
      </c>
      <c r="F5" s="347">
        <f t="shared" si="2"/>
        <v>2305.5639030000002</v>
      </c>
      <c r="G5" s="348">
        <f t="shared" ref="G5:G10" si="3">SUM(H5:J5)</f>
        <v>13106.313096999998</v>
      </c>
      <c r="H5" s="349">
        <f>+'5.3 y 5.4'!D7</f>
        <v>11079.863100999999</v>
      </c>
      <c r="I5" s="349">
        <f>+'5.3 y 5.4'!I7</f>
        <v>1347.0061020000001</v>
      </c>
      <c r="J5" s="350">
        <f>+'5.3 y 5.4'!L7</f>
        <v>679.443894</v>
      </c>
      <c r="K5" s="351">
        <f t="shared" ref="K5:K10" si="4">SUM(L5:N5)</f>
        <v>3773.801504</v>
      </c>
      <c r="L5" s="349">
        <f>+'5.3 y 5.4'!D76</f>
        <v>1270.529284</v>
      </c>
      <c r="M5" s="349">
        <f>+'5.3 y 5.4'!G76</f>
        <v>877.15221099999997</v>
      </c>
      <c r="N5" s="352">
        <f>+'5.3 y 5.4'!J76</f>
        <v>1626.1200090000002</v>
      </c>
      <c r="P5" s="371"/>
    </row>
    <row r="6" spans="1:16" ht="13" x14ac:dyDescent="0.3">
      <c r="B6" s="1408">
        <v>1996</v>
      </c>
      <c r="C6" s="355">
        <f t="shared" si="0"/>
        <v>17279.812292999999</v>
      </c>
      <c r="D6" s="337">
        <f t="shared" si="1"/>
        <v>12544.471256000001</v>
      </c>
      <c r="E6" s="338">
        <f t="shared" si="2"/>
        <v>2511.2305689999998</v>
      </c>
      <c r="F6" s="356">
        <f t="shared" si="2"/>
        <v>2224.1104679999999</v>
      </c>
      <c r="G6" s="338">
        <f t="shared" si="3"/>
        <v>13307.577020999999</v>
      </c>
      <c r="H6" s="340">
        <f>+'5.3 y 5.4'!D8</f>
        <v>11114.304966</v>
      </c>
      <c r="I6" s="340">
        <f>+'5.3 y 5.4'!I8</f>
        <v>1571.1488599999998</v>
      </c>
      <c r="J6" s="357">
        <f>+'5.3 y 5.4'!L8</f>
        <v>622.1231949999999</v>
      </c>
      <c r="K6" s="358">
        <f t="shared" si="4"/>
        <v>3972.2352719999999</v>
      </c>
      <c r="L6" s="340">
        <f>+'5.3 y 5.4'!D77</f>
        <v>1430.1662900000001</v>
      </c>
      <c r="M6" s="340">
        <f>+'5.3 y 5.4'!G77</f>
        <v>940.08170900000005</v>
      </c>
      <c r="N6" s="342">
        <f>+'5.3 y 5.4'!J77</f>
        <v>1601.987273</v>
      </c>
      <c r="P6" s="371"/>
    </row>
    <row r="7" spans="1:16" ht="13" x14ac:dyDescent="0.3">
      <c r="B7" s="1407">
        <v>1997</v>
      </c>
      <c r="C7" s="359">
        <f t="shared" si="0"/>
        <v>17953.407574999997</v>
      </c>
      <c r="D7" s="345">
        <f t="shared" si="1"/>
        <v>13122.068599999999</v>
      </c>
      <c r="E7" s="346">
        <f t="shared" si="2"/>
        <v>2722.108283</v>
      </c>
      <c r="F7" s="347">
        <f t="shared" si="2"/>
        <v>2109.2306920000001</v>
      </c>
      <c r="G7" s="348">
        <f t="shared" si="3"/>
        <v>15348.556876000001</v>
      </c>
      <c r="H7" s="349">
        <f>+'5.3 y 5.4'!D9</f>
        <v>12278.077456999999</v>
      </c>
      <c r="I7" s="349">
        <f>+'5.3 y 5.4'!I9</f>
        <v>2428.93273</v>
      </c>
      <c r="J7" s="350">
        <f>+'5.3 y 5.4'!L9</f>
        <v>641.54668900000013</v>
      </c>
      <c r="K7" s="351">
        <f t="shared" si="4"/>
        <v>2604.8506989999996</v>
      </c>
      <c r="L7" s="349">
        <f>+'5.3 y 5.4'!D78</f>
        <v>843.99114299999997</v>
      </c>
      <c r="M7" s="349">
        <f>+'5.3 y 5.4'!G78</f>
        <v>293.17555299999998</v>
      </c>
      <c r="N7" s="352">
        <f>+'5.3 y 5.4'!J78</f>
        <v>1467.6840029999998</v>
      </c>
      <c r="P7" s="371"/>
    </row>
    <row r="8" spans="1:16" ht="13" x14ac:dyDescent="0.3">
      <c r="B8" s="1408">
        <v>1998</v>
      </c>
      <c r="C8" s="335">
        <f t="shared" si="0"/>
        <v>18582.538846000003</v>
      </c>
      <c r="D8" s="337">
        <f t="shared" si="1"/>
        <v>13724.100323000002</v>
      </c>
      <c r="E8" s="338">
        <f t="shared" si="2"/>
        <v>2703.1393589999998</v>
      </c>
      <c r="F8" s="356">
        <f t="shared" si="2"/>
        <v>2155.299164</v>
      </c>
      <c r="G8" s="339">
        <f t="shared" si="3"/>
        <v>16815.936847000001</v>
      </c>
      <c r="H8" s="340">
        <f>+'5.3 y 5.4'!D10</f>
        <v>13526.540201000002</v>
      </c>
      <c r="I8" s="340">
        <f>+'5.3 y 5.4'!I10</f>
        <v>2661.583983</v>
      </c>
      <c r="J8" s="360">
        <f>+'5.3 y 5.4'!L10</f>
        <v>627.81266299999982</v>
      </c>
      <c r="K8" s="341">
        <f t="shared" si="4"/>
        <v>1766.601999</v>
      </c>
      <c r="L8" s="340">
        <f>+'5.3 y 5.4'!D79</f>
        <v>197.56012199999998</v>
      </c>
      <c r="M8" s="340">
        <f>+'5.3 y 5.4'!G79</f>
        <v>41.555376000000003</v>
      </c>
      <c r="N8" s="342">
        <f>+'5.3 y 5.4'!J79</f>
        <v>1527.4865010000001</v>
      </c>
      <c r="P8" s="371"/>
    </row>
    <row r="9" spans="1:16" ht="13" x14ac:dyDescent="0.3">
      <c r="B9" s="1407">
        <v>1999</v>
      </c>
      <c r="C9" s="359">
        <f t="shared" si="0"/>
        <v>19049.617397000002</v>
      </c>
      <c r="D9" s="345">
        <f t="shared" si="1"/>
        <v>14016.392114</v>
      </c>
      <c r="E9" s="346">
        <f t="shared" si="2"/>
        <v>2936.148103</v>
      </c>
      <c r="F9" s="347">
        <f t="shared" si="2"/>
        <v>2097.0771800000002</v>
      </c>
      <c r="G9" s="348">
        <f t="shared" si="3"/>
        <v>17366.221878</v>
      </c>
      <c r="H9" s="349">
        <f>+'5.3 y 5.4'!D11</f>
        <v>13890.757992000001</v>
      </c>
      <c r="I9" s="349">
        <f>+'5.3 y 5.4'!I11</f>
        <v>2868.6487069999998</v>
      </c>
      <c r="J9" s="350">
        <f>+'5.3 y 5.4'!L11</f>
        <v>606.81517900000006</v>
      </c>
      <c r="K9" s="351">
        <f t="shared" si="4"/>
        <v>1683.3955190000001</v>
      </c>
      <c r="L9" s="349">
        <f>+'5.3 y 5.4'!D80</f>
        <v>125.634122</v>
      </c>
      <c r="M9" s="349">
        <f>+'5.3 y 5.4'!G80</f>
        <v>67.499396000000019</v>
      </c>
      <c r="N9" s="352">
        <f>+'5.3 y 5.4'!J80</f>
        <v>1490.2620010000001</v>
      </c>
      <c r="P9" s="371"/>
    </row>
    <row r="10" spans="1:16" ht="13" x14ac:dyDescent="0.3">
      <c r="B10" s="1408">
        <v>2000</v>
      </c>
      <c r="C10" s="355">
        <f t="shared" si="0"/>
        <v>19922.697337999998</v>
      </c>
      <c r="D10" s="337">
        <f t="shared" si="1"/>
        <v>14754.526630999999</v>
      </c>
      <c r="E10" s="338">
        <f t="shared" si="2"/>
        <v>3116.4113620000003</v>
      </c>
      <c r="F10" s="356">
        <f t="shared" si="2"/>
        <v>2051.7593449999995</v>
      </c>
      <c r="G10" s="339">
        <f t="shared" si="3"/>
        <v>18327.897719000001</v>
      </c>
      <c r="H10" s="340">
        <f>+'5.3 y 5.4'!D12</f>
        <v>14635.889037999999</v>
      </c>
      <c r="I10" s="340">
        <f>+'5.3 y 5.4'!I12</f>
        <v>3091.9220970000001</v>
      </c>
      <c r="J10" s="360">
        <f>+'5.3 y 5.4'!L12</f>
        <v>600.0865839999999</v>
      </c>
      <c r="K10" s="341">
        <f t="shared" si="4"/>
        <v>1594.7996189999994</v>
      </c>
      <c r="L10" s="340">
        <f>+'5.3 y 5.4'!D81</f>
        <v>118.63759300000001</v>
      </c>
      <c r="M10" s="340">
        <f>+'5.3 y 5.4'!G81</f>
        <v>24.489265</v>
      </c>
      <c r="N10" s="342">
        <f>+'5.3 y 5.4'!J81</f>
        <v>1451.6727609999994</v>
      </c>
      <c r="P10" s="371"/>
    </row>
    <row r="11" spans="1:16" ht="13" x14ac:dyDescent="0.3">
      <c r="B11" s="1408"/>
      <c r="C11" s="355"/>
      <c r="D11" s="1460" t="s">
        <v>93</v>
      </c>
      <c r="E11" s="1460"/>
      <c r="F11" s="356"/>
      <c r="G11" s="339"/>
      <c r="H11" s="1460" t="s">
        <v>93</v>
      </c>
      <c r="I11" s="1460"/>
      <c r="J11" s="360"/>
      <c r="K11" s="341"/>
      <c r="L11" s="1460" t="s">
        <v>93</v>
      </c>
      <c r="M11" s="1460"/>
      <c r="N11" s="342"/>
      <c r="P11" s="371"/>
    </row>
    <row r="12" spans="1:16" ht="13" x14ac:dyDescent="0.3">
      <c r="B12" s="647">
        <v>2001</v>
      </c>
      <c r="C12" s="343">
        <f t="shared" ref="C12:C33" si="5">SUM(D12:F12)</f>
        <v>20785.725534999994</v>
      </c>
      <c r="D12" s="1465">
        <f t="shared" ref="D12:D33" si="6">(H12+L12)</f>
        <v>18754.582593999996</v>
      </c>
      <c r="E12" s="1466"/>
      <c r="F12" s="347">
        <f t="shared" ref="F12:F33" si="7">J12+N12</f>
        <v>2031.1429409999996</v>
      </c>
      <c r="G12" s="348">
        <f t="shared" ref="G12:G33" si="8">SUM(H12:J12)</f>
        <v>19214.506641999997</v>
      </c>
      <c r="H12" s="1465">
        <f>+'5.3 y 5.4'!D14</f>
        <v>18630.491470999998</v>
      </c>
      <c r="I12" s="1466"/>
      <c r="J12" s="350">
        <f>+'5.3 y 5.4'!L14</f>
        <v>584.01517100000001</v>
      </c>
      <c r="K12" s="351">
        <f t="shared" ref="K12:K33" si="9">SUM(L12:N12)</f>
        <v>1571.2188929999995</v>
      </c>
      <c r="L12" s="1465">
        <f>+'5.3 y 5.4'!D83</f>
        <v>124.09112300000001</v>
      </c>
      <c r="M12" s="1466"/>
      <c r="N12" s="352">
        <f>+'5.3 y 5.4'!J83</f>
        <v>1447.1277699999996</v>
      </c>
      <c r="P12" s="371"/>
    </row>
    <row r="13" spans="1:16" ht="13" x14ac:dyDescent="0.3">
      <c r="B13" s="446">
        <v>2002</v>
      </c>
      <c r="C13" s="355">
        <f t="shared" si="5"/>
        <v>21982.323172000008</v>
      </c>
      <c r="D13" s="1461">
        <f t="shared" si="6"/>
        <v>20017.881547000005</v>
      </c>
      <c r="E13" s="1462"/>
      <c r="F13" s="361">
        <f t="shared" si="7"/>
        <v>1964.4416250000036</v>
      </c>
      <c r="G13" s="338">
        <f t="shared" si="8"/>
        <v>20419.508673000004</v>
      </c>
      <c r="H13" s="1461">
        <f>+'5.3 y 5.4'!D15</f>
        <v>19906.120506000003</v>
      </c>
      <c r="I13" s="1462"/>
      <c r="J13" s="360">
        <f>+'5.3 y 5.4'!L15</f>
        <v>513.38816700000007</v>
      </c>
      <c r="K13" s="341">
        <f t="shared" si="9"/>
        <v>1562.8144990000035</v>
      </c>
      <c r="L13" s="1461">
        <f>+'5.3 y 5.4'!D84</f>
        <v>111.76104100000001</v>
      </c>
      <c r="M13" s="1462"/>
      <c r="N13" s="342">
        <f>+'5.3 y 5.4'!J84</f>
        <v>1451.0534580000035</v>
      </c>
      <c r="P13" s="371"/>
    </row>
    <row r="14" spans="1:16" ht="13" x14ac:dyDescent="0.3">
      <c r="B14" s="647">
        <v>2003</v>
      </c>
      <c r="C14" s="343">
        <f t="shared" si="5"/>
        <v>22923.353874</v>
      </c>
      <c r="D14" s="1463">
        <f t="shared" si="6"/>
        <v>20998.783541999997</v>
      </c>
      <c r="E14" s="1464"/>
      <c r="F14" s="363">
        <f t="shared" si="7"/>
        <v>1924.5703320000036</v>
      </c>
      <c r="G14" s="346">
        <f t="shared" si="8"/>
        <v>21361.462929999994</v>
      </c>
      <c r="H14" s="1463">
        <f>+'5.3 y 5.4'!D16</f>
        <v>20890.822373999996</v>
      </c>
      <c r="I14" s="1464"/>
      <c r="J14" s="350">
        <f>+'5.3 y 5.4'!L16</f>
        <v>470.64055600000029</v>
      </c>
      <c r="K14" s="351">
        <f t="shared" si="9"/>
        <v>1561.8909440000034</v>
      </c>
      <c r="L14" s="1463">
        <f>+'5.3 y 5.4'!D85</f>
        <v>107.96116799999999</v>
      </c>
      <c r="M14" s="1464"/>
      <c r="N14" s="352">
        <f>+'5.3 y 5.4'!J85</f>
        <v>1453.9297760000034</v>
      </c>
      <c r="P14" s="371"/>
    </row>
    <row r="15" spans="1:16" ht="13" x14ac:dyDescent="0.3">
      <c r="B15" s="446">
        <v>2004</v>
      </c>
      <c r="C15" s="355">
        <f t="shared" si="5"/>
        <v>24267.012071000005</v>
      </c>
      <c r="D15" s="1461">
        <f t="shared" si="6"/>
        <v>22287.983366000004</v>
      </c>
      <c r="E15" s="1462"/>
      <c r="F15" s="361">
        <f t="shared" si="7"/>
        <v>1979.0287050000002</v>
      </c>
      <c r="G15" s="338">
        <f t="shared" si="8"/>
        <v>22619.938791000004</v>
      </c>
      <c r="H15" s="1461">
        <f>+'5.3 y 5.4'!D17</f>
        <v>22091.989912000005</v>
      </c>
      <c r="I15" s="1462"/>
      <c r="J15" s="360">
        <f>+'5.3 y 5.4'!L17</f>
        <v>527.94887900000003</v>
      </c>
      <c r="K15" s="341">
        <f t="shared" si="9"/>
        <v>1647.0732800000001</v>
      </c>
      <c r="L15" s="1461">
        <f>+'5.3 y 5.4'!D86</f>
        <v>195.99345399999999</v>
      </c>
      <c r="M15" s="1462"/>
      <c r="N15" s="342">
        <f>+'5.3 y 5.4'!J86</f>
        <v>1451.0798260000001</v>
      </c>
      <c r="P15" s="371"/>
    </row>
    <row r="16" spans="1:16" ht="13" x14ac:dyDescent="0.3">
      <c r="B16" s="647">
        <v>2005</v>
      </c>
      <c r="C16" s="343">
        <f t="shared" si="5"/>
        <v>25509.736815000004</v>
      </c>
      <c r="D16" s="1463">
        <f t="shared" si="6"/>
        <v>23433.609762</v>
      </c>
      <c r="E16" s="1464"/>
      <c r="F16" s="363">
        <f t="shared" si="7"/>
        <v>2076.1270530000033</v>
      </c>
      <c r="G16" s="346">
        <f t="shared" si="8"/>
        <v>23810.874944792748</v>
      </c>
      <c r="H16" s="1463">
        <f>+'5.3 y 5.4'!D18</f>
        <v>23233.479606792749</v>
      </c>
      <c r="I16" s="1464"/>
      <c r="J16" s="350">
        <f>+'5.3 y 5.4'!L18</f>
        <v>577.39533800000004</v>
      </c>
      <c r="K16" s="351">
        <f t="shared" si="9"/>
        <v>1698.8618702072531</v>
      </c>
      <c r="L16" s="1463">
        <f>+'5.3 y 5.4'!D87</f>
        <v>200.13015520724974</v>
      </c>
      <c r="M16" s="1464"/>
      <c r="N16" s="352">
        <f>+'5.3 y 5.4'!J87</f>
        <v>1498.7317150000033</v>
      </c>
      <c r="P16" s="371"/>
    </row>
    <row r="17" spans="2:23" ht="13" x14ac:dyDescent="0.3">
      <c r="B17" s="446">
        <v>2006</v>
      </c>
      <c r="C17" s="355">
        <f t="shared" si="5"/>
        <v>27369.828727579996</v>
      </c>
      <c r="D17" s="1461">
        <f t="shared" si="6"/>
        <v>25257.180576999996</v>
      </c>
      <c r="E17" s="1462"/>
      <c r="F17" s="361">
        <f t="shared" si="7"/>
        <v>2112.6481505800002</v>
      </c>
      <c r="G17" s="338">
        <f t="shared" si="8"/>
        <v>25613.763789958582</v>
      </c>
      <c r="H17" s="1461">
        <f>+'5.3 y 5.4'!D19</f>
        <v>25037.083984958583</v>
      </c>
      <c r="I17" s="1462"/>
      <c r="J17" s="360">
        <f>+'5.3 y 5.4'!L19</f>
        <v>576.67980499999999</v>
      </c>
      <c r="K17" s="341">
        <f t="shared" si="9"/>
        <v>1756.0649376214139</v>
      </c>
      <c r="L17" s="1461">
        <f>+'5.3 y 5.4'!D88</f>
        <v>220.09659204141394</v>
      </c>
      <c r="M17" s="1462"/>
      <c r="N17" s="342">
        <f>+'5.3 y 5.4'!J88</f>
        <v>1535.96834558</v>
      </c>
      <c r="P17" s="371"/>
    </row>
    <row r="18" spans="2:23" ht="13" x14ac:dyDescent="0.3">
      <c r="B18" s="647">
        <v>2007</v>
      </c>
      <c r="C18" s="359">
        <f t="shared" si="5"/>
        <v>29943.047141999999</v>
      </c>
      <c r="D18" s="1463">
        <f t="shared" si="6"/>
        <v>27806.212583</v>
      </c>
      <c r="E18" s="1464"/>
      <c r="F18" s="363">
        <f t="shared" si="7"/>
        <v>2136.8345590000004</v>
      </c>
      <c r="G18" s="346">
        <f t="shared" si="8"/>
        <v>28200.491090340001</v>
      </c>
      <c r="H18" s="1463">
        <f>+'5.3 y 5.4'!D20</f>
        <v>27593.789342340002</v>
      </c>
      <c r="I18" s="1464"/>
      <c r="J18" s="350">
        <f>+'5.3 y 5.4'!L20</f>
        <v>606.70174800000007</v>
      </c>
      <c r="K18" s="351">
        <f t="shared" si="9"/>
        <v>1742.5560516600003</v>
      </c>
      <c r="L18" s="1463">
        <f>+'5.3 y 5.4'!D89</f>
        <v>212.42324065999998</v>
      </c>
      <c r="M18" s="1464"/>
      <c r="N18" s="352">
        <f>+'5.3 y 5.4'!J89</f>
        <v>1530.1328110000004</v>
      </c>
      <c r="P18" s="371"/>
      <c r="R18" s="315" t="s">
        <v>81</v>
      </c>
      <c r="S18" s="315" t="s">
        <v>84</v>
      </c>
      <c r="U18" s="1311"/>
      <c r="V18" s="115" t="s">
        <v>81</v>
      </c>
      <c r="W18" s="115" t="s">
        <v>84</v>
      </c>
    </row>
    <row r="19" spans="2:23" ht="13" x14ac:dyDescent="0.3">
      <c r="B19" s="578">
        <v>2008</v>
      </c>
      <c r="C19" s="365">
        <f t="shared" si="5"/>
        <v>32463.106282999997</v>
      </c>
      <c r="D19" s="1461">
        <f t="shared" si="6"/>
        <v>30103.595441999998</v>
      </c>
      <c r="E19" s="1462"/>
      <c r="F19" s="367">
        <f t="shared" si="7"/>
        <v>2359.5108409999998</v>
      </c>
      <c r="G19" s="368">
        <f t="shared" si="8"/>
        <v>30574.711255999999</v>
      </c>
      <c r="H19" s="1461">
        <f>+'5.3 y 5.4'!D21</f>
        <v>29905.853190999998</v>
      </c>
      <c r="I19" s="1462"/>
      <c r="J19" s="370">
        <f>+'5.3 y 5.4'!L21</f>
        <v>668.8580649999999</v>
      </c>
      <c r="K19" s="371">
        <f t="shared" si="9"/>
        <v>1888.395027</v>
      </c>
      <c r="L19" s="1461">
        <f>+'5.3 y 5.4'!D90</f>
        <v>197.74225100000001</v>
      </c>
      <c r="M19" s="1462"/>
      <c r="N19" s="373">
        <f>+'5.3 y 5.4'!J90</f>
        <v>1690.6527759999999</v>
      </c>
      <c r="P19" s="371"/>
      <c r="Q19" s="315">
        <v>1995</v>
      </c>
      <c r="R19" s="375">
        <f>+D5+E5</f>
        <v>14574.550697999999</v>
      </c>
      <c r="S19" s="375">
        <f t="shared" ref="S19:S24" si="10">F5</f>
        <v>2305.5639030000002</v>
      </c>
      <c r="U19" s="315">
        <f>+Q19</f>
        <v>1995</v>
      </c>
      <c r="V19" s="822">
        <f>+R19</f>
        <v>14574.550697999999</v>
      </c>
      <c r="W19" s="822">
        <f>+S19</f>
        <v>2305.5639030000002</v>
      </c>
    </row>
    <row r="20" spans="2:23" ht="13" x14ac:dyDescent="0.3">
      <c r="B20" s="647">
        <v>2009</v>
      </c>
      <c r="C20" s="359">
        <f t="shared" si="5"/>
        <v>32944.735821000002</v>
      </c>
      <c r="D20" s="1463">
        <f t="shared" si="6"/>
        <v>30493.066697000002</v>
      </c>
      <c r="E20" s="1464"/>
      <c r="F20" s="363">
        <f t="shared" si="7"/>
        <v>2451.669124</v>
      </c>
      <c r="G20" s="346">
        <f t="shared" si="8"/>
        <v>30921.902783000001</v>
      </c>
      <c r="H20" s="1463">
        <f>+'5.3 y 5.4'!D22</f>
        <v>30289.076649000002</v>
      </c>
      <c r="I20" s="1464"/>
      <c r="J20" s="350">
        <f>+'5.3 y 5.4'!L22</f>
        <v>632.82613400000002</v>
      </c>
      <c r="K20" s="351">
        <f t="shared" si="9"/>
        <v>2022.8330380000002</v>
      </c>
      <c r="L20" s="1463">
        <f>+'5.3 y 5.4'!D91</f>
        <v>203.990048</v>
      </c>
      <c r="M20" s="1464"/>
      <c r="N20" s="352">
        <f>+'5.3 y 5.4'!J91</f>
        <v>1818.8429900000001</v>
      </c>
      <c r="P20" s="371"/>
      <c r="Q20" s="315">
        <v>1996</v>
      </c>
      <c r="R20" s="375">
        <f t="shared" ref="R20:R24" si="11">+D6+E6</f>
        <v>15055.701825</v>
      </c>
      <c r="S20" s="375">
        <f t="shared" si="10"/>
        <v>2224.1104679999999</v>
      </c>
      <c r="U20" s="315">
        <f>+Q24</f>
        <v>2000</v>
      </c>
      <c r="V20" s="132">
        <f>+R24</f>
        <v>17870.937993</v>
      </c>
      <c r="W20" s="132">
        <f>+S24</f>
        <v>2051.7593449999995</v>
      </c>
    </row>
    <row r="21" spans="2:23" ht="13" x14ac:dyDescent="0.3">
      <c r="B21" s="578">
        <v>2010</v>
      </c>
      <c r="C21" s="365">
        <f t="shared" si="5"/>
        <v>35908.007941199998</v>
      </c>
      <c r="D21" s="1461">
        <f t="shared" si="6"/>
        <v>33326.486475999998</v>
      </c>
      <c r="E21" s="1462"/>
      <c r="F21" s="367">
        <f t="shared" si="7"/>
        <v>2581.5214652</v>
      </c>
      <c r="G21" s="368">
        <f t="shared" si="8"/>
        <v>33545.815807200001</v>
      </c>
      <c r="H21" s="1461">
        <f>+'5.3 y 5.4'!D23</f>
        <v>33073.914225</v>
      </c>
      <c r="I21" s="1462"/>
      <c r="J21" s="370">
        <f>+'5.3 y 5.4'!L23</f>
        <v>471.90158220000001</v>
      </c>
      <c r="K21" s="371">
        <f t="shared" si="9"/>
        <v>2362.1921339999999</v>
      </c>
      <c r="L21" s="1461">
        <f>+'5.3 y 5.4'!D92</f>
        <v>252.57225099999999</v>
      </c>
      <c r="M21" s="1462"/>
      <c r="N21" s="373">
        <f>+'5.3 y 5.4'!J92</f>
        <v>2109.6198829999998</v>
      </c>
      <c r="P21" s="371"/>
      <c r="Q21" s="315">
        <v>1997</v>
      </c>
      <c r="R21" s="375">
        <f t="shared" si="11"/>
        <v>15844.176882999998</v>
      </c>
      <c r="S21" s="375">
        <f t="shared" si="10"/>
        <v>2109.2306920000001</v>
      </c>
      <c r="U21" s="315">
        <f>+Q29</f>
        <v>2005</v>
      </c>
      <c r="V21" s="132">
        <f>+R29</f>
        <v>23433.609762</v>
      </c>
      <c r="W21" s="132">
        <f>+S29</f>
        <v>2076.1270530000033</v>
      </c>
    </row>
    <row r="22" spans="2:23" ht="13" x14ac:dyDescent="0.3">
      <c r="B22" s="647">
        <v>2011</v>
      </c>
      <c r="C22" s="359">
        <f t="shared" si="5"/>
        <v>38806.461244008911</v>
      </c>
      <c r="D22" s="1463">
        <f t="shared" si="6"/>
        <v>36076.210898600002</v>
      </c>
      <c r="E22" s="1464"/>
      <c r="F22" s="363">
        <f t="shared" si="7"/>
        <v>2730.2503454089119</v>
      </c>
      <c r="G22" s="346">
        <f t="shared" si="8"/>
        <v>36248.532290235242</v>
      </c>
      <c r="H22" s="1463">
        <f>+'5.3 y 5.4'!D24</f>
        <v>35769.459710000003</v>
      </c>
      <c r="I22" s="1464"/>
      <c r="J22" s="350">
        <f>+'5.3 y 5.4'!L24</f>
        <v>479.07258023523991</v>
      </c>
      <c r="K22" s="351">
        <f t="shared" si="9"/>
        <v>2557.9289537736722</v>
      </c>
      <c r="L22" s="1463">
        <f>+'5.3 y 5.4'!D93</f>
        <v>306.75118860000003</v>
      </c>
      <c r="M22" s="1464"/>
      <c r="N22" s="352">
        <f>+'5.3 y 5.4'!J93</f>
        <v>2251.177765173672</v>
      </c>
      <c r="P22" s="371"/>
      <c r="Q22" s="315">
        <v>1998</v>
      </c>
      <c r="R22" s="375">
        <f t="shared" si="11"/>
        <v>16427.239682000003</v>
      </c>
      <c r="S22" s="375">
        <f t="shared" si="10"/>
        <v>2155.299164</v>
      </c>
      <c r="U22" s="315">
        <f t="shared" ref="U22:U34" si="12">+Q34</f>
        <v>2010</v>
      </c>
      <c r="V22" s="132">
        <f t="shared" ref="V22:V34" si="13">+R34</f>
        <v>33326.486475999998</v>
      </c>
      <c r="W22" s="132">
        <f t="shared" ref="W22:W34" si="14">+S34</f>
        <v>2581.5214652</v>
      </c>
    </row>
    <row r="23" spans="2:23" ht="13" x14ac:dyDescent="0.3">
      <c r="B23" s="578">
        <v>2012</v>
      </c>
      <c r="C23" s="365">
        <f t="shared" si="5"/>
        <v>41035.983073207899</v>
      </c>
      <c r="D23" s="1461">
        <f t="shared" si="6"/>
        <v>38199.929373799954</v>
      </c>
      <c r="E23" s="1462"/>
      <c r="F23" s="367">
        <f t="shared" si="7"/>
        <v>2836.0536994079462</v>
      </c>
      <c r="G23" s="368">
        <f t="shared" si="8"/>
        <v>38361.029340799956</v>
      </c>
      <c r="H23" s="1461">
        <f>+'5.3 y 5.4'!D25</f>
        <v>37886.352608799956</v>
      </c>
      <c r="I23" s="1462"/>
      <c r="J23" s="370">
        <f>+'5.3 y 5.4'!L25</f>
        <v>474.67673200000002</v>
      </c>
      <c r="K23" s="371">
        <f t="shared" si="9"/>
        <v>2674.9537324079461</v>
      </c>
      <c r="L23" s="1461">
        <f>+'5.3 y 5.4'!D94</f>
        <v>313.57676499999991</v>
      </c>
      <c r="M23" s="1462"/>
      <c r="N23" s="373">
        <f>+'5.3 y 5.4'!J94</f>
        <v>2361.3769674079463</v>
      </c>
      <c r="P23" s="371"/>
      <c r="Q23" s="315">
        <v>1999</v>
      </c>
      <c r="R23" s="375">
        <f t="shared" si="11"/>
        <v>16952.540217000002</v>
      </c>
      <c r="S23" s="375">
        <f t="shared" si="10"/>
        <v>2097.0771800000002</v>
      </c>
      <c r="U23" s="315">
        <f t="shared" si="12"/>
        <v>2011</v>
      </c>
      <c r="V23" s="132">
        <f t="shared" si="13"/>
        <v>36076.210898600002</v>
      </c>
      <c r="W23" s="132">
        <f t="shared" si="14"/>
        <v>2730.2503454089119</v>
      </c>
    </row>
    <row r="24" spans="2:23" ht="13" x14ac:dyDescent="0.3">
      <c r="B24" s="647">
        <v>2013</v>
      </c>
      <c r="C24" s="359">
        <f t="shared" si="5"/>
        <v>43330.177960485373</v>
      </c>
      <c r="D24" s="1463">
        <f t="shared" si="6"/>
        <v>40481.748241767418</v>
      </c>
      <c r="E24" s="1464"/>
      <c r="F24" s="363">
        <f t="shared" si="7"/>
        <v>2848.4297187179518</v>
      </c>
      <c r="G24" s="346">
        <f t="shared" si="8"/>
        <v>40664.66641917896</v>
      </c>
      <c r="H24" s="1463">
        <f>+'5.3 y 5.4'!D26</f>
        <v>40158.779292273408</v>
      </c>
      <c r="I24" s="1464"/>
      <c r="J24" s="350">
        <f>+'5.3 y 5.4'!L26</f>
        <v>505.88712690555536</v>
      </c>
      <c r="K24" s="351">
        <f t="shared" si="9"/>
        <v>2665.5115413064068</v>
      </c>
      <c r="L24" s="1463">
        <f>+'5.3 y 5.4'!D95</f>
        <v>322.96894949401008</v>
      </c>
      <c r="M24" s="1464"/>
      <c r="N24" s="352">
        <f>+'5.3 y 5.4'!J95</f>
        <v>2342.5425918123965</v>
      </c>
      <c r="P24" s="371"/>
      <c r="Q24" s="315">
        <v>2000</v>
      </c>
      <c r="R24" s="375">
        <f t="shared" si="11"/>
        <v>17870.937993</v>
      </c>
      <c r="S24" s="375">
        <f t="shared" si="10"/>
        <v>2051.7593449999995</v>
      </c>
      <c r="U24" s="315">
        <f t="shared" si="12"/>
        <v>2012</v>
      </c>
      <c r="V24" s="132">
        <f t="shared" si="13"/>
        <v>38199.929373799954</v>
      </c>
      <c r="W24" s="132">
        <f t="shared" si="14"/>
        <v>2836.0536994079462</v>
      </c>
    </row>
    <row r="25" spans="2:23" ht="13" x14ac:dyDescent="0.3">
      <c r="B25" s="578">
        <v>2014</v>
      </c>
      <c r="C25" s="365">
        <f t="shared" si="5"/>
        <v>45549.819572254804</v>
      </c>
      <c r="D25" s="1461">
        <f t="shared" si="6"/>
        <v>42624.418012779774</v>
      </c>
      <c r="E25" s="1462"/>
      <c r="F25" s="367">
        <f t="shared" si="7"/>
        <v>2925.4015594750294</v>
      </c>
      <c r="G25" s="368">
        <f t="shared" si="8"/>
        <v>42846.247729121009</v>
      </c>
      <c r="H25" s="1461">
        <f>+'5.3 y 5.4'!D27</f>
        <v>42313.748256544015</v>
      </c>
      <c r="I25" s="1462"/>
      <c r="J25" s="370">
        <f>+'5.3 y 5.4'!L27</f>
        <v>532.49947257699353</v>
      </c>
      <c r="K25" s="371">
        <f t="shared" si="9"/>
        <v>2703.5718431337973</v>
      </c>
      <c r="L25" s="1461">
        <f>+'5.3 y 5.4'!D96</f>
        <v>310.66975623576116</v>
      </c>
      <c r="M25" s="1462"/>
      <c r="N25" s="373">
        <f>+'5.3 y 5.4'!J96</f>
        <v>2392.902086898036</v>
      </c>
      <c r="P25" s="371"/>
      <c r="Q25" s="315">
        <v>2001</v>
      </c>
      <c r="R25" s="375">
        <f t="shared" ref="R25:R46" si="15">D12</f>
        <v>18754.582593999996</v>
      </c>
      <c r="S25" s="375">
        <f t="shared" ref="S25:S46" si="16">F12</f>
        <v>2031.1429409999996</v>
      </c>
      <c r="U25" s="315">
        <f t="shared" si="12"/>
        <v>2013</v>
      </c>
      <c r="V25" s="132">
        <f t="shared" si="13"/>
        <v>40481.748241767418</v>
      </c>
      <c r="W25" s="132">
        <f t="shared" si="14"/>
        <v>2848.4297187179518</v>
      </c>
    </row>
    <row r="26" spans="2:23" ht="13" x14ac:dyDescent="0.3">
      <c r="B26" s="647">
        <v>2015</v>
      </c>
      <c r="C26" s="359">
        <f t="shared" si="5"/>
        <v>48270.411515715838</v>
      </c>
      <c r="D26" s="1463">
        <f t="shared" si="6"/>
        <v>45488.564160288843</v>
      </c>
      <c r="E26" s="1464"/>
      <c r="F26" s="363">
        <f t="shared" si="7"/>
        <v>2781.8473554269958</v>
      </c>
      <c r="G26" s="346">
        <f t="shared" si="8"/>
        <v>45711.38787738567</v>
      </c>
      <c r="H26" s="1463">
        <f>+'5.3 y 5.4'!D28</f>
        <v>45130.706744322175</v>
      </c>
      <c r="I26" s="1464"/>
      <c r="J26" s="350">
        <f>+'5.3 y 5.4'!L28</f>
        <v>580.6811330634921</v>
      </c>
      <c r="K26" s="351">
        <f t="shared" si="9"/>
        <v>2559.0236383301708</v>
      </c>
      <c r="L26" s="1463">
        <f>+'5.3 y 5.4'!D97</f>
        <v>357.85741596666662</v>
      </c>
      <c r="M26" s="1464"/>
      <c r="N26" s="352">
        <f>+'5.3 y 5.4'!J97</f>
        <v>2201.1662223635039</v>
      </c>
      <c r="P26" s="371"/>
      <c r="Q26" s="315">
        <v>2002</v>
      </c>
      <c r="R26" s="375">
        <f t="shared" si="15"/>
        <v>20017.881547000005</v>
      </c>
      <c r="S26" s="375">
        <f t="shared" si="16"/>
        <v>1964.4416250000036</v>
      </c>
      <c r="U26" s="315">
        <f t="shared" si="12"/>
        <v>2014</v>
      </c>
      <c r="V26" s="132">
        <f t="shared" si="13"/>
        <v>42624.418012779774</v>
      </c>
      <c r="W26" s="132">
        <f t="shared" si="14"/>
        <v>2925.4015594750294</v>
      </c>
    </row>
    <row r="27" spans="2:23" ht="13" x14ac:dyDescent="0.3">
      <c r="B27" s="578">
        <v>2016</v>
      </c>
      <c r="C27" s="365">
        <f t="shared" si="5"/>
        <v>51699.973931207227</v>
      </c>
      <c r="D27" s="1461">
        <f t="shared" si="6"/>
        <v>49254.489689866197</v>
      </c>
      <c r="E27" s="1462"/>
      <c r="F27" s="367">
        <f t="shared" si="7"/>
        <v>2445.4842413410315</v>
      </c>
      <c r="G27" s="368">
        <f t="shared" si="8"/>
        <v>49534.080910786695</v>
      </c>
      <c r="H27" s="1461">
        <f>+'5.3 y 5.4'!D29</f>
        <v>48912.137763786697</v>
      </c>
      <c r="I27" s="1462"/>
      <c r="J27" s="370">
        <f>+'5.3 y 5.4'!L29</f>
        <v>621.94314699999995</v>
      </c>
      <c r="K27" s="371">
        <f t="shared" si="9"/>
        <v>2165.8930204205285</v>
      </c>
      <c r="L27" s="1461">
        <f>+'5.3 y 5.4'!D98</f>
        <v>342.35192607949659</v>
      </c>
      <c r="M27" s="1462"/>
      <c r="N27" s="373">
        <f>+'5.3 y 5.4'!J98</f>
        <v>1823.5410943410318</v>
      </c>
      <c r="P27" s="371"/>
      <c r="Q27" s="315">
        <v>2003</v>
      </c>
      <c r="R27" s="375">
        <f t="shared" si="15"/>
        <v>20998.783541999997</v>
      </c>
      <c r="S27" s="375">
        <f t="shared" si="16"/>
        <v>1924.5703320000036</v>
      </c>
      <c r="U27" s="315">
        <f t="shared" si="12"/>
        <v>2015</v>
      </c>
      <c r="V27" s="132">
        <f t="shared" si="13"/>
        <v>45488.564160288843</v>
      </c>
      <c r="W27" s="132">
        <f t="shared" si="14"/>
        <v>2781.8473554269958</v>
      </c>
    </row>
    <row r="28" spans="2:23" ht="13" x14ac:dyDescent="0.3">
      <c r="B28" s="647">
        <v>2017</v>
      </c>
      <c r="C28" s="359">
        <f t="shared" si="5"/>
        <v>52700.053320272826</v>
      </c>
      <c r="D28" s="1463">
        <f t="shared" si="6"/>
        <v>50285.041576258191</v>
      </c>
      <c r="E28" s="1464"/>
      <c r="F28" s="363">
        <f t="shared" si="7"/>
        <v>2415.0117440146319</v>
      </c>
      <c r="G28" s="346">
        <f t="shared" si="8"/>
        <v>50344.862184776517</v>
      </c>
      <c r="H28" s="1463">
        <f>+'5.3 y 5.4'!D30</f>
        <v>49822.47724177652</v>
      </c>
      <c r="I28" s="1464"/>
      <c r="J28" s="350">
        <f>+'5.3 y 5.4'!L30</f>
        <v>522.38494300000002</v>
      </c>
      <c r="K28" s="351">
        <f t="shared" si="9"/>
        <v>2355.1911354963022</v>
      </c>
      <c r="L28" s="1463">
        <f>+'5.3 y 5.4'!D99</f>
        <v>462.56433448167047</v>
      </c>
      <c r="M28" s="1464"/>
      <c r="N28" s="352">
        <f>+'5.3 y 5.4'!J99</f>
        <v>1892.6268010146318</v>
      </c>
      <c r="P28" s="371"/>
      <c r="Q28" s="315">
        <v>2004</v>
      </c>
      <c r="R28" s="375">
        <f t="shared" si="15"/>
        <v>22287.983366000004</v>
      </c>
      <c r="S28" s="375">
        <f t="shared" si="16"/>
        <v>1979.0287050000002</v>
      </c>
      <c r="U28" s="315">
        <f t="shared" si="12"/>
        <v>2016</v>
      </c>
      <c r="V28" s="132">
        <f t="shared" si="13"/>
        <v>49254.489689866197</v>
      </c>
      <c r="W28" s="132">
        <f t="shared" si="14"/>
        <v>2445.4842413410315</v>
      </c>
    </row>
    <row r="29" spans="2:23" ht="13" x14ac:dyDescent="0.3">
      <c r="B29" s="578">
        <v>2018</v>
      </c>
      <c r="C29" s="365">
        <f t="shared" si="5"/>
        <v>54893.157159426497</v>
      </c>
      <c r="D29" s="1461">
        <f t="shared" si="6"/>
        <v>52387.495028213569</v>
      </c>
      <c r="E29" s="1462"/>
      <c r="F29" s="367">
        <f t="shared" si="7"/>
        <v>2505.6621312129259</v>
      </c>
      <c r="G29" s="368">
        <f t="shared" si="8"/>
        <v>52362.394586699447</v>
      </c>
      <c r="H29" s="1461">
        <f>+'5.3 y 5.4'!D31</f>
        <v>51842.337486627679</v>
      </c>
      <c r="I29" s="1462"/>
      <c r="J29" s="370">
        <f>+'5.3 y 5.4'!L31</f>
        <v>520.05710007177129</v>
      </c>
      <c r="K29" s="371">
        <f t="shared" si="9"/>
        <v>2530.7625727270452</v>
      </c>
      <c r="L29" s="1461">
        <f>+'5.3 y 5.4'!D100</f>
        <v>545.15754158589084</v>
      </c>
      <c r="M29" s="1462"/>
      <c r="N29" s="373">
        <f>+'5.3 y 5.4'!J100</f>
        <v>1985.6050311411545</v>
      </c>
      <c r="P29" s="371"/>
      <c r="Q29" s="315">
        <v>2005</v>
      </c>
      <c r="R29" s="375">
        <f t="shared" si="15"/>
        <v>23433.609762</v>
      </c>
      <c r="S29" s="375">
        <f t="shared" si="16"/>
        <v>2076.1270530000033</v>
      </c>
      <c r="U29" s="315">
        <f t="shared" si="12"/>
        <v>2017</v>
      </c>
      <c r="V29" s="132">
        <f t="shared" si="13"/>
        <v>50285.041576258191</v>
      </c>
      <c r="W29" s="132">
        <f t="shared" si="14"/>
        <v>2415.0117440146319</v>
      </c>
    </row>
    <row r="30" spans="2:23" ht="13" x14ac:dyDescent="0.3">
      <c r="B30" s="647">
        <v>2019</v>
      </c>
      <c r="C30" s="359">
        <f t="shared" si="5"/>
        <v>56968.504122236824</v>
      </c>
      <c r="D30" s="1463">
        <f t="shared" si="6"/>
        <v>54494.117354885595</v>
      </c>
      <c r="E30" s="1464"/>
      <c r="F30" s="363">
        <f t="shared" si="7"/>
        <v>2474.3867673512254</v>
      </c>
      <c r="G30" s="346">
        <f t="shared" si="8"/>
        <v>54448.591958633806</v>
      </c>
      <c r="H30" s="1463">
        <f>+'5.3 y 5.4'!D32</f>
        <v>53963.239364748246</v>
      </c>
      <c r="I30" s="1464"/>
      <c r="J30" s="350">
        <f>+'5.3 y 5.4'!L32</f>
        <v>485.35259388556244</v>
      </c>
      <c r="K30" s="351">
        <f t="shared" si="9"/>
        <v>2519.9121636030145</v>
      </c>
      <c r="L30" s="1463">
        <f>+'5.3 y 5.4'!D101</f>
        <v>530.87799013735162</v>
      </c>
      <c r="M30" s="1464"/>
      <c r="N30" s="352">
        <f>+'5.3 y 5.4'!J101</f>
        <v>1989.0341734656629</v>
      </c>
      <c r="P30" s="371"/>
      <c r="Q30" s="315">
        <v>2006</v>
      </c>
      <c r="R30" s="375">
        <f t="shared" si="15"/>
        <v>25257.180576999996</v>
      </c>
      <c r="S30" s="375">
        <f t="shared" si="16"/>
        <v>2112.6481505800002</v>
      </c>
      <c r="U30" s="315">
        <f t="shared" si="12"/>
        <v>2018</v>
      </c>
      <c r="V30" s="132">
        <f t="shared" si="13"/>
        <v>52387.495028213569</v>
      </c>
      <c r="W30" s="132">
        <f t="shared" si="14"/>
        <v>2505.6621312129259</v>
      </c>
    </row>
    <row r="31" spans="2:23" ht="13" x14ac:dyDescent="0.3">
      <c r="B31" s="578">
        <v>2020</v>
      </c>
      <c r="C31" s="365">
        <f t="shared" si="5"/>
        <v>52743.710685599595</v>
      </c>
      <c r="D31" s="1461">
        <f t="shared" si="6"/>
        <v>50681.430098538403</v>
      </c>
      <c r="E31" s="1462"/>
      <c r="F31" s="367">
        <f t="shared" si="7"/>
        <v>2062.280587061191</v>
      </c>
      <c r="G31" s="368">
        <f t="shared" si="8"/>
        <v>50657.021359539765</v>
      </c>
      <c r="H31" s="1461">
        <f>+'5.3 y 5.4'!D33</f>
        <v>50203.913568538403</v>
      </c>
      <c r="I31" s="1462"/>
      <c r="J31" s="370">
        <f>+'5.3 y 5.4'!L33</f>
        <v>453.10779100136199</v>
      </c>
      <c r="K31" s="371">
        <f t="shared" si="9"/>
        <v>2086.689326059829</v>
      </c>
      <c r="L31" s="1461">
        <f>+'5.3 y 5.4'!D102</f>
        <v>477.51652999999999</v>
      </c>
      <c r="M31" s="1462"/>
      <c r="N31" s="373">
        <f>+'5.3 y 5.4'!J102</f>
        <v>1609.1727960598291</v>
      </c>
      <c r="P31" s="371"/>
      <c r="Q31" s="386">
        <v>2007</v>
      </c>
      <c r="R31" s="375">
        <f t="shared" si="15"/>
        <v>27806.212583</v>
      </c>
      <c r="S31" s="375">
        <f t="shared" si="16"/>
        <v>2136.8345590000004</v>
      </c>
      <c r="U31" s="315">
        <f t="shared" si="12"/>
        <v>2019</v>
      </c>
      <c r="V31" s="132">
        <f t="shared" si="13"/>
        <v>54494.117354885595</v>
      </c>
      <c r="W31" s="132">
        <f t="shared" si="14"/>
        <v>2474.3867673512254</v>
      </c>
    </row>
    <row r="32" spans="2:23" ht="13" x14ac:dyDescent="0.3">
      <c r="B32" s="647">
        <v>2021</v>
      </c>
      <c r="C32" s="359">
        <f t="shared" si="5"/>
        <v>57397.015803761671</v>
      </c>
      <c r="D32" s="1463">
        <f t="shared" si="6"/>
        <v>55538.784548000003</v>
      </c>
      <c r="E32" s="1464"/>
      <c r="F32" s="363">
        <f t="shared" si="7"/>
        <v>1858.231255761671</v>
      </c>
      <c r="G32" s="346">
        <f t="shared" si="8"/>
        <v>55537.755878000004</v>
      </c>
      <c r="H32" s="1463">
        <f>+'5.3 y 5.4'!D34</f>
        <v>55051.788649000002</v>
      </c>
      <c r="I32" s="1464"/>
      <c r="J32" s="350">
        <f>+'5.3 y 5.4'!L34</f>
        <v>485.96722899999975</v>
      </c>
      <c r="K32" s="351">
        <f t="shared" si="9"/>
        <v>1859.2599257616712</v>
      </c>
      <c r="L32" s="1463">
        <f>+'5.3 y 5.4'!D103</f>
        <v>486.99589900000001</v>
      </c>
      <c r="M32" s="1464"/>
      <c r="N32" s="352">
        <f>+'5.3 y 5.4'!J103</f>
        <v>1372.2640267616712</v>
      </c>
      <c r="P32" s="371"/>
      <c r="Q32" s="333">
        <v>2008</v>
      </c>
      <c r="R32" s="375">
        <f t="shared" si="15"/>
        <v>30103.595441999998</v>
      </c>
      <c r="S32" s="375">
        <f t="shared" si="16"/>
        <v>2359.5108409999998</v>
      </c>
      <c r="U32" s="315">
        <f t="shared" si="12"/>
        <v>2020</v>
      </c>
      <c r="V32" s="132">
        <f t="shared" si="13"/>
        <v>50681.430098538403</v>
      </c>
      <c r="W32" s="132">
        <f t="shared" si="14"/>
        <v>2062.280587061191</v>
      </c>
    </row>
    <row r="33" spans="1:23" ht="13.5" thickBot="1" x14ac:dyDescent="0.35">
      <c r="B33" s="701">
        <v>2022</v>
      </c>
      <c r="C33" s="365">
        <f t="shared" si="5"/>
        <v>59712.573961987247</v>
      </c>
      <c r="D33" s="1489">
        <f t="shared" si="6"/>
        <v>57807.823658759975</v>
      </c>
      <c r="E33" s="1490"/>
      <c r="F33" s="367">
        <f t="shared" si="7"/>
        <v>1904.7503032272759</v>
      </c>
      <c r="G33" s="368">
        <f t="shared" si="8"/>
        <v>57814.458084759979</v>
      </c>
      <c r="H33" s="1489">
        <f>+'5.3 y 5.4'!D35</f>
        <v>57314.559138759978</v>
      </c>
      <c r="I33" s="1490"/>
      <c r="J33" s="370">
        <f>+'5.3 y 5.4'!L35</f>
        <v>499.89894599999997</v>
      </c>
      <c r="K33" s="371">
        <f t="shared" si="9"/>
        <v>1898.1158772272759</v>
      </c>
      <c r="L33" s="1489">
        <f>+'5.3 y 5.4'!D104</f>
        <v>493.26452</v>
      </c>
      <c r="M33" s="1490"/>
      <c r="N33" s="373">
        <f>+'5.3 y 5.4'!J104</f>
        <v>1404.8513572272759</v>
      </c>
      <c r="P33" s="371"/>
      <c r="Q33" s="492">
        <v>2009</v>
      </c>
      <c r="R33" s="864">
        <f t="shared" si="15"/>
        <v>30493.066697000002</v>
      </c>
      <c r="S33" s="864">
        <f t="shared" si="16"/>
        <v>2451.669124</v>
      </c>
      <c r="U33" s="315">
        <f t="shared" si="12"/>
        <v>2021</v>
      </c>
      <c r="V33" s="132">
        <f t="shared" si="13"/>
        <v>55538.784548000003</v>
      </c>
      <c r="W33" s="132">
        <f t="shared" si="14"/>
        <v>1858.231255761671</v>
      </c>
    </row>
    <row r="34" spans="1:23" s="493" customFormat="1" ht="15" customHeight="1" x14ac:dyDescent="0.25">
      <c r="A34" s="492"/>
      <c r="B34" s="740" t="s">
        <v>161</v>
      </c>
      <c r="C34" s="833">
        <f>(C33/C32)-1</f>
        <v>4.0342831866771345E-2</v>
      </c>
      <c r="D34" s="1488">
        <f>(D33/D32)-1</f>
        <v>4.0855037236166458E-2</v>
      </c>
      <c r="E34" s="1488"/>
      <c r="F34" s="832">
        <f>(F33/F32)-1</f>
        <v>2.5034046392970133E-2</v>
      </c>
      <c r="G34" s="832">
        <f>(G33/G32)-1</f>
        <v>4.0993773888905682E-2</v>
      </c>
      <c r="H34" s="1488">
        <f>(H33/H32)-1</f>
        <v>4.1102578958641667E-2</v>
      </c>
      <c r="I34" s="1488"/>
      <c r="J34" s="832">
        <f>(J33/J32)-1</f>
        <v>2.8668017447736727E-2</v>
      </c>
      <c r="K34" s="832">
        <f>(K33/K32)-1</f>
        <v>2.0898611822489865E-2</v>
      </c>
      <c r="L34" s="1488">
        <f>(L33/L32)-1</f>
        <v>1.2872020098879666E-2</v>
      </c>
      <c r="M34" s="1488"/>
      <c r="N34" s="834">
        <f>(N33/N32)-1</f>
        <v>2.3747128708537124E-2</v>
      </c>
      <c r="Q34" s="492">
        <v>2010</v>
      </c>
      <c r="R34" s="864">
        <f t="shared" si="15"/>
        <v>33326.486475999998</v>
      </c>
      <c r="S34" s="864">
        <f t="shared" si="16"/>
        <v>2581.5214652</v>
      </c>
      <c r="U34" s="315">
        <f t="shared" si="12"/>
        <v>2022</v>
      </c>
      <c r="V34" s="132">
        <f t="shared" si="13"/>
        <v>57807.823658759975</v>
      </c>
      <c r="W34" s="132">
        <f t="shared" si="14"/>
        <v>1904.7503032272759</v>
      </c>
    </row>
    <row r="35" spans="1:23" s="493" customFormat="1" ht="15" customHeight="1" x14ac:dyDescent="0.25">
      <c r="A35" s="492"/>
      <c r="B35" s="865" t="s">
        <v>162</v>
      </c>
      <c r="C35" s="824">
        <f>((C33/C28)^(1/5))-1</f>
        <v>2.5299976738813346E-2</v>
      </c>
      <c r="D35" s="1491">
        <f>((D33/D28)^(1/5))-1</f>
        <v>2.827567255307506E-2</v>
      </c>
      <c r="E35" s="1491"/>
      <c r="F35" s="1158">
        <f>((F33/F28)^(1/5))-1</f>
        <v>-4.6361533120440779E-2</v>
      </c>
      <c r="G35" s="1158">
        <f>((G33/G28)^(1/5))-1</f>
        <v>2.8054789164275951E-2</v>
      </c>
      <c r="H35" s="1491">
        <f>((H33/H28)^(1/5))-1</f>
        <v>2.8413875914374387E-2</v>
      </c>
      <c r="I35" s="1491"/>
      <c r="J35" s="1158">
        <f>((J33/J28)^(1/5))-1</f>
        <v>-8.7611524205601921E-3</v>
      </c>
      <c r="K35" s="1158">
        <f>((K33/K28)^(1/5))-1</f>
        <v>-4.2234227285613213E-2</v>
      </c>
      <c r="L35" s="1491">
        <f>((L33/L28)^(1/5))-1</f>
        <v>1.2934928323640849E-2</v>
      </c>
      <c r="M35" s="1491"/>
      <c r="N35" s="1159">
        <f>((N33/N28)^(1/5))-1</f>
        <v>-5.7865130289834532E-2</v>
      </c>
      <c r="Q35" s="492">
        <v>2011</v>
      </c>
      <c r="R35" s="864">
        <f t="shared" si="15"/>
        <v>36076.210898600002</v>
      </c>
      <c r="S35" s="864">
        <f t="shared" si="16"/>
        <v>2730.2503454089119</v>
      </c>
    </row>
    <row r="36" spans="1:23" s="493" customFormat="1" ht="15" customHeight="1" x14ac:dyDescent="0.25">
      <c r="A36" s="492"/>
      <c r="B36" s="867" t="s">
        <v>163</v>
      </c>
      <c r="C36" s="818">
        <f>(C33/C23)-1</f>
        <v>0.45512717108447109</v>
      </c>
      <c r="D36" s="1492">
        <f>(D33/D23)-1</f>
        <v>0.51329661092013468</v>
      </c>
      <c r="E36" s="1492"/>
      <c r="F36" s="796">
        <f>(F33/F23)-1</f>
        <v>-0.32838002904355756</v>
      </c>
      <c r="G36" s="796">
        <f>(G33/G23)-1</f>
        <v>0.5071143574155812</v>
      </c>
      <c r="H36" s="1492">
        <f>(H33/H23)-1</f>
        <v>0.51280224123362528</v>
      </c>
      <c r="I36" s="1492"/>
      <c r="J36" s="796">
        <f>(J33/J23)-1</f>
        <v>5.313556005521658E-2</v>
      </c>
      <c r="K36" s="796">
        <f>(K33/K23)-1</f>
        <v>-0.29041169788061139</v>
      </c>
      <c r="L36" s="1492">
        <f>(L33/L23)-1</f>
        <v>0.57302636883826574</v>
      </c>
      <c r="M36" s="1492"/>
      <c r="N36" s="798">
        <f>(N33/N23)-1</f>
        <v>-0.40507111883564972</v>
      </c>
      <c r="Q36" s="492">
        <v>2012</v>
      </c>
      <c r="R36" s="864">
        <f t="shared" si="15"/>
        <v>38199.929373799954</v>
      </c>
      <c r="S36" s="864">
        <f t="shared" si="16"/>
        <v>2836.0536994079462</v>
      </c>
    </row>
    <row r="37" spans="1:23" s="493" customFormat="1" ht="15" customHeight="1" thickBot="1" x14ac:dyDescent="0.3">
      <c r="A37" s="492"/>
      <c r="B37" s="868" t="s">
        <v>164</v>
      </c>
      <c r="C37" s="841">
        <f>((C33/C23)^(1/10))-1</f>
        <v>3.8221683604584777E-2</v>
      </c>
      <c r="D37" s="1493">
        <f>((D33/D23)^(1/10))-1</f>
        <v>4.2299203635942639E-2</v>
      </c>
      <c r="E37" s="1493"/>
      <c r="F37" s="840">
        <f>((F33/F23)^(1/10))-1</f>
        <v>-3.9024401182808921E-2</v>
      </c>
      <c r="G37" s="840">
        <f>((G33/G23)^(1/10))-1</f>
        <v>4.1872609492142665E-2</v>
      </c>
      <c r="H37" s="1493">
        <f>((H33/H23)^(1/10))-1</f>
        <v>4.2265148389083684E-2</v>
      </c>
      <c r="I37" s="1493"/>
      <c r="J37" s="840">
        <f>((J33/J23)^(1/10))-1</f>
        <v>5.1906210238938932E-3</v>
      </c>
      <c r="K37" s="840">
        <f>((K33/K23)^(1/10))-1</f>
        <v>-3.3725219475649659E-2</v>
      </c>
      <c r="L37" s="1493">
        <f>((L33/L23)^(1/10))-1</f>
        <v>4.6341860506045274E-2</v>
      </c>
      <c r="M37" s="1493"/>
      <c r="N37" s="1286">
        <f>((N33/N23)^(1/10))-1</f>
        <v>-5.06059507622727E-2</v>
      </c>
      <c r="Q37" s="333">
        <v>2013</v>
      </c>
      <c r="R37" s="375">
        <f t="shared" si="15"/>
        <v>40481.748241767418</v>
      </c>
      <c r="S37" s="375">
        <f t="shared" si="16"/>
        <v>2848.4297187179518</v>
      </c>
    </row>
    <row r="38" spans="1:23" x14ac:dyDescent="0.25">
      <c r="B38" s="379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Q38" s="333">
        <v>2014</v>
      </c>
      <c r="R38" s="375">
        <f t="shared" si="15"/>
        <v>42624.418012779774</v>
      </c>
      <c r="S38" s="375">
        <f t="shared" si="16"/>
        <v>2925.4015594750294</v>
      </c>
    </row>
    <row r="39" spans="1:23" s="333" customFormat="1" x14ac:dyDescent="0.25">
      <c r="B39" s="380"/>
      <c r="C39" s="387"/>
      <c r="Q39" s="333">
        <v>2015</v>
      </c>
      <c r="R39" s="375">
        <f t="shared" si="15"/>
        <v>45488.564160288843</v>
      </c>
      <c r="S39" s="375">
        <f t="shared" si="16"/>
        <v>2781.8473554269958</v>
      </c>
    </row>
    <row r="40" spans="1:23" s="333" customFormat="1" x14ac:dyDescent="0.25">
      <c r="B40" s="388"/>
      <c r="C40" s="387"/>
      <c r="Q40" s="333">
        <v>2016</v>
      </c>
      <c r="R40" s="375">
        <f t="shared" si="15"/>
        <v>49254.489689866197</v>
      </c>
      <c r="S40" s="375">
        <f t="shared" si="16"/>
        <v>2445.4842413410315</v>
      </c>
    </row>
    <row r="41" spans="1:23" s="333" customFormat="1" x14ac:dyDescent="0.25">
      <c r="B41" s="389"/>
      <c r="Q41" s="333">
        <v>2017</v>
      </c>
      <c r="R41" s="375">
        <f t="shared" si="15"/>
        <v>50285.041576258191</v>
      </c>
      <c r="S41" s="375">
        <f t="shared" si="16"/>
        <v>2415.0117440146319</v>
      </c>
    </row>
    <row r="42" spans="1:23" s="333" customFormat="1" x14ac:dyDescent="0.25">
      <c r="Q42" s="333">
        <v>2018</v>
      </c>
      <c r="R42" s="375">
        <f t="shared" si="15"/>
        <v>52387.495028213569</v>
      </c>
      <c r="S42" s="375">
        <f t="shared" si="16"/>
        <v>2505.6621312129259</v>
      </c>
    </row>
    <row r="43" spans="1:23" s="333" customFormat="1" x14ac:dyDescent="0.25">
      <c r="Q43" s="333">
        <v>2019</v>
      </c>
      <c r="R43" s="375">
        <f t="shared" si="15"/>
        <v>54494.117354885595</v>
      </c>
      <c r="S43" s="375">
        <f t="shared" si="16"/>
        <v>2474.3867673512254</v>
      </c>
    </row>
    <row r="44" spans="1:23" s="333" customFormat="1" x14ac:dyDescent="0.25">
      <c r="Q44" s="333">
        <v>2020</v>
      </c>
      <c r="R44" s="375">
        <f t="shared" si="15"/>
        <v>50681.430098538403</v>
      </c>
      <c r="S44" s="375">
        <f t="shared" si="16"/>
        <v>2062.280587061191</v>
      </c>
    </row>
    <row r="45" spans="1:23" s="333" customFormat="1" x14ac:dyDescent="0.25">
      <c r="Q45" s="333">
        <v>2021</v>
      </c>
      <c r="R45" s="375">
        <f t="shared" si="15"/>
        <v>55538.784548000003</v>
      </c>
      <c r="S45" s="375">
        <f t="shared" si="16"/>
        <v>1858.231255761671</v>
      </c>
    </row>
    <row r="46" spans="1:23" s="333" customFormat="1" x14ac:dyDescent="0.25">
      <c r="Q46" s="333">
        <v>2022</v>
      </c>
      <c r="R46" s="375">
        <f t="shared" si="15"/>
        <v>57807.823658759975</v>
      </c>
      <c r="S46" s="375">
        <f t="shared" si="16"/>
        <v>1904.7503032272759</v>
      </c>
    </row>
    <row r="47" spans="1:23" s="333" customFormat="1" x14ac:dyDescent="0.25"/>
    <row r="48" spans="1:23" s="333" customFormat="1" x14ac:dyDescent="0.25"/>
    <row r="49" spans="17:24" s="333" customFormat="1" x14ac:dyDescent="0.25"/>
    <row r="50" spans="17:24" s="333" customFormat="1" x14ac:dyDescent="0.25"/>
    <row r="51" spans="17:24" s="333" customFormat="1" x14ac:dyDescent="0.25"/>
    <row r="52" spans="17:24" s="333" customFormat="1" x14ac:dyDescent="0.25"/>
    <row r="53" spans="17:24" s="333" customFormat="1" x14ac:dyDescent="0.25">
      <c r="R53" s="333" t="s">
        <v>78</v>
      </c>
    </row>
    <row r="54" spans="17:24" s="333" customFormat="1" x14ac:dyDescent="0.25">
      <c r="R54" s="333" t="s">
        <v>81</v>
      </c>
      <c r="S54" s="333" t="s">
        <v>84</v>
      </c>
      <c r="V54" s="1311"/>
      <c r="W54" s="115" t="s">
        <v>81</v>
      </c>
      <c r="X54" s="115" t="s">
        <v>84</v>
      </c>
    </row>
    <row r="55" spans="17:24" s="333" customFormat="1" x14ac:dyDescent="0.25">
      <c r="Q55" s="333">
        <v>1995</v>
      </c>
      <c r="R55" s="390">
        <f>+H5+I5</f>
        <v>12426.869202999998</v>
      </c>
      <c r="S55" s="390">
        <f t="shared" ref="S55:S60" si="17">J5</f>
        <v>679.443894</v>
      </c>
      <c r="V55" s="315">
        <f t="shared" ref="V55" si="18">+Q55</f>
        <v>1995</v>
      </c>
      <c r="W55" s="822">
        <f>+R55</f>
        <v>12426.869202999998</v>
      </c>
      <c r="X55" s="822">
        <f>+S55</f>
        <v>679.443894</v>
      </c>
    </row>
    <row r="56" spans="17:24" s="333" customFormat="1" x14ac:dyDescent="0.25">
      <c r="Q56" s="333">
        <v>1996</v>
      </c>
      <c r="R56" s="390">
        <f t="shared" ref="R56:R60" si="19">+H6+I6</f>
        <v>12685.453825999999</v>
      </c>
      <c r="S56" s="390">
        <f t="shared" si="17"/>
        <v>622.1231949999999</v>
      </c>
      <c r="V56" s="315">
        <f t="shared" ref="V56" si="20">+Q60</f>
        <v>2000</v>
      </c>
      <c r="W56" s="132">
        <f t="shared" ref="W56" si="21">+R60</f>
        <v>17727.811135</v>
      </c>
      <c r="X56" s="132">
        <f t="shared" ref="X56" si="22">+S60</f>
        <v>600.0865839999999</v>
      </c>
    </row>
    <row r="57" spans="17:24" s="333" customFormat="1" x14ac:dyDescent="0.25">
      <c r="Q57" s="333">
        <v>1997</v>
      </c>
      <c r="R57" s="390">
        <f t="shared" si="19"/>
        <v>14707.010187</v>
      </c>
      <c r="S57" s="390">
        <f t="shared" si="17"/>
        <v>641.54668900000013</v>
      </c>
      <c r="V57" s="315">
        <f t="shared" ref="V57" si="23">+Q65</f>
        <v>2005</v>
      </c>
      <c r="W57" s="132">
        <f t="shared" ref="W57" si="24">+R65</f>
        <v>23233.479606792749</v>
      </c>
      <c r="X57" s="132">
        <f t="shared" ref="X57" si="25">+S65</f>
        <v>577.39533800000004</v>
      </c>
    </row>
    <row r="58" spans="17:24" s="333" customFormat="1" x14ac:dyDescent="0.25">
      <c r="Q58" s="333">
        <v>1998</v>
      </c>
      <c r="R58" s="390">
        <f t="shared" si="19"/>
        <v>16188.124184000002</v>
      </c>
      <c r="S58" s="390">
        <f t="shared" si="17"/>
        <v>627.81266299999982</v>
      </c>
      <c r="V58" s="315">
        <f t="shared" ref="V58:V70" si="26">+Q70</f>
        <v>2010</v>
      </c>
      <c r="W58" s="132">
        <f t="shared" ref="W58:W70" si="27">+R70</f>
        <v>33073.914225</v>
      </c>
      <c r="X58" s="132">
        <f t="shared" ref="X58:X70" si="28">+S70</f>
        <v>471.90158220000001</v>
      </c>
    </row>
    <row r="59" spans="17:24" s="333" customFormat="1" x14ac:dyDescent="0.25">
      <c r="Q59" s="333">
        <v>1999</v>
      </c>
      <c r="R59" s="390">
        <f t="shared" si="19"/>
        <v>16759.406698999999</v>
      </c>
      <c r="S59" s="390">
        <f t="shared" si="17"/>
        <v>606.81517900000006</v>
      </c>
      <c r="V59" s="315">
        <f t="shared" si="26"/>
        <v>2011</v>
      </c>
      <c r="W59" s="132">
        <f t="shared" si="27"/>
        <v>35769.459710000003</v>
      </c>
      <c r="X59" s="132">
        <f t="shared" si="28"/>
        <v>479.07258023523991</v>
      </c>
    </row>
    <row r="60" spans="17:24" s="333" customFormat="1" x14ac:dyDescent="0.25">
      <c r="Q60" s="333">
        <v>2000</v>
      </c>
      <c r="R60" s="390">
        <f t="shared" si="19"/>
        <v>17727.811135</v>
      </c>
      <c r="S60" s="390">
        <f t="shared" si="17"/>
        <v>600.0865839999999</v>
      </c>
      <c r="V60" s="315">
        <f t="shared" si="26"/>
        <v>2012</v>
      </c>
      <c r="W60" s="132">
        <f t="shared" si="27"/>
        <v>37886.352608799956</v>
      </c>
      <c r="X60" s="132">
        <f t="shared" si="28"/>
        <v>474.67673200000002</v>
      </c>
    </row>
    <row r="61" spans="17:24" s="333" customFormat="1" x14ac:dyDescent="0.25">
      <c r="Q61" s="333">
        <v>2001</v>
      </c>
      <c r="R61" s="390">
        <f t="shared" ref="R61:R82" si="29">H12</f>
        <v>18630.491470999998</v>
      </c>
      <c r="S61" s="390">
        <f t="shared" ref="S61:S82" si="30">J12</f>
        <v>584.01517100000001</v>
      </c>
      <c r="V61" s="315">
        <f t="shared" si="26"/>
        <v>2013</v>
      </c>
      <c r="W61" s="132">
        <f t="shared" si="27"/>
        <v>40158.779292273408</v>
      </c>
      <c r="X61" s="132">
        <f t="shared" si="28"/>
        <v>505.88712690555536</v>
      </c>
    </row>
    <row r="62" spans="17:24" s="333" customFormat="1" x14ac:dyDescent="0.25">
      <c r="Q62" s="333">
        <v>2002</v>
      </c>
      <c r="R62" s="390">
        <f t="shared" si="29"/>
        <v>19906.120506000003</v>
      </c>
      <c r="S62" s="390">
        <f t="shared" si="30"/>
        <v>513.38816700000007</v>
      </c>
      <c r="V62" s="315">
        <f t="shared" si="26"/>
        <v>2014</v>
      </c>
      <c r="W62" s="132">
        <f t="shared" si="27"/>
        <v>42313.748256544015</v>
      </c>
      <c r="X62" s="132">
        <f t="shared" si="28"/>
        <v>532.49947257699353</v>
      </c>
    </row>
    <row r="63" spans="17:24" s="333" customFormat="1" x14ac:dyDescent="0.25">
      <c r="Q63" s="333">
        <v>2003</v>
      </c>
      <c r="R63" s="390">
        <f t="shared" si="29"/>
        <v>20890.822373999996</v>
      </c>
      <c r="S63" s="390">
        <f t="shared" si="30"/>
        <v>470.64055600000029</v>
      </c>
      <c r="V63" s="315">
        <f t="shared" si="26"/>
        <v>2015</v>
      </c>
      <c r="W63" s="132">
        <f t="shared" si="27"/>
        <v>45130.706744322175</v>
      </c>
      <c r="X63" s="132">
        <f t="shared" si="28"/>
        <v>580.6811330634921</v>
      </c>
    </row>
    <row r="64" spans="17:24" s="333" customFormat="1" x14ac:dyDescent="0.25">
      <c r="Q64" s="333">
        <v>2004</v>
      </c>
      <c r="R64" s="390">
        <f t="shared" si="29"/>
        <v>22091.989912000005</v>
      </c>
      <c r="S64" s="390">
        <f t="shared" si="30"/>
        <v>527.94887900000003</v>
      </c>
      <c r="V64" s="315">
        <f t="shared" si="26"/>
        <v>2016</v>
      </c>
      <c r="W64" s="132">
        <f t="shared" si="27"/>
        <v>48912.137763786697</v>
      </c>
      <c r="X64" s="132">
        <f t="shared" si="28"/>
        <v>621.94314699999995</v>
      </c>
    </row>
    <row r="65" spans="17:24" s="333" customFormat="1" x14ac:dyDescent="0.25">
      <c r="Q65" s="333">
        <v>2005</v>
      </c>
      <c r="R65" s="390">
        <f t="shared" si="29"/>
        <v>23233.479606792749</v>
      </c>
      <c r="S65" s="390">
        <f t="shared" si="30"/>
        <v>577.39533800000004</v>
      </c>
      <c r="V65" s="315">
        <f t="shared" si="26"/>
        <v>2017</v>
      </c>
      <c r="W65" s="132">
        <f t="shared" si="27"/>
        <v>49822.47724177652</v>
      </c>
      <c r="X65" s="132">
        <f t="shared" si="28"/>
        <v>522.38494300000002</v>
      </c>
    </row>
    <row r="66" spans="17:24" s="333" customFormat="1" x14ac:dyDescent="0.25">
      <c r="Q66" s="333">
        <v>2006</v>
      </c>
      <c r="R66" s="390">
        <f t="shared" si="29"/>
        <v>25037.083984958583</v>
      </c>
      <c r="S66" s="390">
        <f t="shared" si="30"/>
        <v>576.67980499999999</v>
      </c>
      <c r="V66" s="315">
        <f t="shared" si="26"/>
        <v>2018</v>
      </c>
      <c r="W66" s="132">
        <f t="shared" si="27"/>
        <v>51842.337486627679</v>
      </c>
      <c r="X66" s="132">
        <f t="shared" si="28"/>
        <v>520.05710007177129</v>
      </c>
    </row>
    <row r="67" spans="17:24" s="333" customFormat="1" x14ac:dyDescent="0.25">
      <c r="Q67" s="386">
        <v>2007</v>
      </c>
      <c r="R67" s="390">
        <f t="shared" si="29"/>
        <v>27593.789342340002</v>
      </c>
      <c r="S67" s="390">
        <f t="shared" si="30"/>
        <v>606.70174800000007</v>
      </c>
      <c r="V67" s="315">
        <f t="shared" si="26"/>
        <v>2019</v>
      </c>
      <c r="W67" s="132">
        <f t="shared" si="27"/>
        <v>53963.239364748246</v>
      </c>
      <c r="X67" s="132">
        <f t="shared" si="28"/>
        <v>485.35259388556244</v>
      </c>
    </row>
    <row r="68" spans="17:24" s="333" customFormat="1" x14ac:dyDescent="0.25">
      <c r="Q68" s="333">
        <v>2008</v>
      </c>
      <c r="R68" s="390">
        <f t="shared" si="29"/>
        <v>29905.853190999998</v>
      </c>
      <c r="S68" s="390">
        <f t="shared" si="30"/>
        <v>668.8580649999999</v>
      </c>
      <c r="V68" s="315">
        <f t="shared" si="26"/>
        <v>2020</v>
      </c>
      <c r="W68" s="132">
        <f t="shared" si="27"/>
        <v>50203.913568538403</v>
      </c>
      <c r="X68" s="132">
        <f t="shared" si="28"/>
        <v>453.10779100136199</v>
      </c>
    </row>
    <row r="69" spans="17:24" s="333" customFormat="1" x14ac:dyDescent="0.25">
      <c r="Q69" s="333">
        <v>2009</v>
      </c>
      <c r="R69" s="390">
        <f t="shared" si="29"/>
        <v>30289.076649000002</v>
      </c>
      <c r="S69" s="390">
        <f t="shared" si="30"/>
        <v>632.82613400000002</v>
      </c>
      <c r="V69" s="315">
        <f t="shared" si="26"/>
        <v>2021</v>
      </c>
      <c r="W69" s="132">
        <f t="shared" si="27"/>
        <v>55051.788649000002</v>
      </c>
      <c r="X69" s="132">
        <f t="shared" si="28"/>
        <v>485.96722899999975</v>
      </c>
    </row>
    <row r="70" spans="17:24" s="333" customFormat="1" x14ac:dyDescent="0.25">
      <c r="Q70" s="333">
        <v>2010</v>
      </c>
      <c r="R70" s="390">
        <f t="shared" si="29"/>
        <v>33073.914225</v>
      </c>
      <c r="S70" s="390">
        <f t="shared" si="30"/>
        <v>471.90158220000001</v>
      </c>
      <c r="V70" s="315">
        <f t="shared" si="26"/>
        <v>2022</v>
      </c>
      <c r="W70" s="132">
        <f t="shared" si="27"/>
        <v>57314.559138759978</v>
      </c>
      <c r="X70" s="132">
        <f t="shared" si="28"/>
        <v>499.89894599999997</v>
      </c>
    </row>
    <row r="71" spans="17:24" s="333" customFormat="1" x14ac:dyDescent="0.25">
      <c r="Q71" s="333">
        <v>2011</v>
      </c>
      <c r="R71" s="390">
        <f t="shared" si="29"/>
        <v>35769.459710000003</v>
      </c>
      <c r="S71" s="390">
        <f t="shared" si="30"/>
        <v>479.07258023523991</v>
      </c>
    </row>
    <row r="72" spans="17:24" s="333" customFormat="1" x14ac:dyDescent="0.25">
      <c r="Q72" s="333">
        <v>2012</v>
      </c>
      <c r="R72" s="390">
        <f t="shared" si="29"/>
        <v>37886.352608799956</v>
      </c>
      <c r="S72" s="390">
        <f t="shared" si="30"/>
        <v>474.67673200000002</v>
      </c>
    </row>
    <row r="73" spans="17:24" s="333" customFormat="1" x14ac:dyDescent="0.25">
      <c r="Q73" s="333">
        <v>2013</v>
      </c>
      <c r="R73" s="390">
        <f t="shared" si="29"/>
        <v>40158.779292273408</v>
      </c>
      <c r="S73" s="390">
        <f t="shared" si="30"/>
        <v>505.88712690555536</v>
      </c>
    </row>
    <row r="74" spans="17:24" s="333" customFormat="1" x14ac:dyDescent="0.25">
      <c r="Q74" s="333">
        <v>2014</v>
      </c>
      <c r="R74" s="390">
        <f t="shared" si="29"/>
        <v>42313.748256544015</v>
      </c>
      <c r="S74" s="390">
        <f t="shared" si="30"/>
        <v>532.49947257699353</v>
      </c>
    </row>
    <row r="75" spans="17:24" s="333" customFormat="1" x14ac:dyDescent="0.25">
      <c r="Q75" s="333">
        <v>2015</v>
      </c>
      <c r="R75" s="390">
        <f t="shared" si="29"/>
        <v>45130.706744322175</v>
      </c>
      <c r="S75" s="390">
        <f t="shared" si="30"/>
        <v>580.6811330634921</v>
      </c>
    </row>
    <row r="76" spans="17:24" s="333" customFormat="1" x14ac:dyDescent="0.25">
      <c r="Q76" s="333">
        <v>2016</v>
      </c>
      <c r="R76" s="390">
        <f t="shared" si="29"/>
        <v>48912.137763786697</v>
      </c>
      <c r="S76" s="390">
        <f t="shared" si="30"/>
        <v>621.94314699999995</v>
      </c>
    </row>
    <row r="77" spans="17:24" s="333" customFormat="1" x14ac:dyDescent="0.25">
      <c r="Q77" s="333">
        <v>2017</v>
      </c>
      <c r="R77" s="390">
        <f t="shared" si="29"/>
        <v>49822.47724177652</v>
      </c>
      <c r="S77" s="390">
        <f t="shared" si="30"/>
        <v>522.38494300000002</v>
      </c>
    </row>
    <row r="78" spans="17:24" s="333" customFormat="1" x14ac:dyDescent="0.25">
      <c r="Q78" s="333">
        <v>2018</v>
      </c>
      <c r="R78" s="390">
        <f t="shared" si="29"/>
        <v>51842.337486627679</v>
      </c>
      <c r="S78" s="390">
        <f t="shared" si="30"/>
        <v>520.05710007177129</v>
      </c>
    </row>
    <row r="79" spans="17:24" s="333" customFormat="1" x14ac:dyDescent="0.25">
      <c r="Q79" s="333">
        <v>2019</v>
      </c>
      <c r="R79" s="390">
        <f t="shared" si="29"/>
        <v>53963.239364748246</v>
      </c>
      <c r="S79" s="390">
        <f t="shared" si="30"/>
        <v>485.35259388556244</v>
      </c>
    </row>
    <row r="80" spans="17:24" s="333" customFormat="1" x14ac:dyDescent="0.25">
      <c r="Q80" s="333">
        <v>2020</v>
      </c>
      <c r="R80" s="390">
        <f t="shared" si="29"/>
        <v>50203.913568538403</v>
      </c>
      <c r="S80" s="390">
        <f t="shared" si="30"/>
        <v>453.10779100136199</v>
      </c>
    </row>
    <row r="81" spans="17:24" s="333" customFormat="1" x14ac:dyDescent="0.25">
      <c r="Q81" s="333">
        <v>2021</v>
      </c>
      <c r="R81" s="390">
        <f t="shared" si="29"/>
        <v>55051.788649000002</v>
      </c>
      <c r="S81" s="390">
        <f t="shared" si="30"/>
        <v>485.96722899999975</v>
      </c>
    </row>
    <row r="82" spans="17:24" s="333" customFormat="1" x14ac:dyDescent="0.25">
      <c r="Q82" s="333">
        <v>2022</v>
      </c>
      <c r="R82" s="390">
        <f t="shared" si="29"/>
        <v>57314.559138759978</v>
      </c>
      <c r="S82" s="390">
        <f t="shared" si="30"/>
        <v>499.89894599999997</v>
      </c>
    </row>
    <row r="83" spans="17:24" s="333" customFormat="1" x14ac:dyDescent="0.25"/>
    <row r="84" spans="17:24" s="333" customFormat="1" x14ac:dyDescent="0.25">
      <c r="R84" s="333" t="s">
        <v>79</v>
      </c>
    </row>
    <row r="85" spans="17:24" s="333" customFormat="1" x14ac:dyDescent="0.25">
      <c r="R85" s="333" t="s">
        <v>81</v>
      </c>
      <c r="S85" s="333" t="s">
        <v>84</v>
      </c>
      <c r="V85" s="1311"/>
      <c r="W85" s="115" t="s">
        <v>81</v>
      </c>
      <c r="X85" s="115" t="s">
        <v>84</v>
      </c>
    </row>
    <row r="86" spans="17:24" s="333" customFormat="1" x14ac:dyDescent="0.25">
      <c r="Q86" s="333">
        <v>1995</v>
      </c>
      <c r="R86" s="390">
        <f>+L5+M5</f>
        <v>2147.6814949999998</v>
      </c>
      <c r="S86" s="390">
        <f t="shared" ref="S86:S91" si="31">N5</f>
        <v>1626.1200090000002</v>
      </c>
      <c r="V86" s="315">
        <f t="shared" ref="V86" si="32">+Q86</f>
        <v>1995</v>
      </c>
      <c r="W86" s="822">
        <f>+R86</f>
        <v>2147.6814949999998</v>
      </c>
      <c r="X86" s="822">
        <f>+S86</f>
        <v>1626.1200090000002</v>
      </c>
    </row>
    <row r="87" spans="17:24" s="333" customFormat="1" x14ac:dyDescent="0.25">
      <c r="Q87" s="333">
        <v>1996</v>
      </c>
      <c r="R87" s="390">
        <f t="shared" ref="R87:R91" si="33">+L6+M6</f>
        <v>2370.2479990000002</v>
      </c>
      <c r="S87" s="390">
        <f t="shared" si="31"/>
        <v>1601.987273</v>
      </c>
      <c r="V87" s="315">
        <f t="shared" ref="V87" si="34">+Q91</f>
        <v>2000</v>
      </c>
      <c r="W87" s="132">
        <f t="shared" ref="W87" si="35">+R91</f>
        <v>143.126858</v>
      </c>
      <c r="X87" s="132">
        <f t="shared" ref="X87" si="36">+S91</f>
        <v>1451.6727609999994</v>
      </c>
    </row>
    <row r="88" spans="17:24" s="333" customFormat="1" x14ac:dyDescent="0.25">
      <c r="Q88" s="333">
        <v>1997</v>
      </c>
      <c r="R88" s="390">
        <f t="shared" si="33"/>
        <v>1137.166696</v>
      </c>
      <c r="S88" s="390">
        <f t="shared" si="31"/>
        <v>1467.6840029999998</v>
      </c>
      <c r="V88" s="315">
        <f t="shared" ref="V88" si="37">+Q96</f>
        <v>2005</v>
      </c>
      <c r="W88" s="132">
        <f t="shared" ref="W88" si="38">+R96</f>
        <v>200.13015520724974</v>
      </c>
      <c r="X88" s="132">
        <f t="shared" ref="X88" si="39">+S96</f>
        <v>1498.7317150000033</v>
      </c>
    </row>
    <row r="89" spans="17:24" s="333" customFormat="1" x14ac:dyDescent="0.25">
      <c r="Q89" s="333">
        <v>1998</v>
      </c>
      <c r="R89" s="390">
        <f t="shared" si="33"/>
        <v>239.11549799999997</v>
      </c>
      <c r="S89" s="390">
        <f t="shared" si="31"/>
        <v>1527.4865010000001</v>
      </c>
      <c r="V89" s="315">
        <f t="shared" ref="V89:V101" si="40">+Q101</f>
        <v>2010</v>
      </c>
      <c r="W89" s="132">
        <f t="shared" ref="W89:W101" si="41">+R101</f>
        <v>252.57225099999999</v>
      </c>
      <c r="X89" s="132">
        <f t="shared" ref="X89:X101" si="42">+S101</f>
        <v>2109.6198829999998</v>
      </c>
    </row>
    <row r="90" spans="17:24" s="333" customFormat="1" x14ac:dyDescent="0.25">
      <c r="Q90" s="333">
        <v>1999</v>
      </c>
      <c r="R90" s="390">
        <f t="shared" si="33"/>
        <v>193.13351800000004</v>
      </c>
      <c r="S90" s="390">
        <f t="shared" si="31"/>
        <v>1490.2620010000001</v>
      </c>
      <c r="V90" s="315">
        <f t="shared" si="40"/>
        <v>2011</v>
      </c>
      <c r="W90" s="132">
        <f t="shared" si="41"/>
        <v>306.75118860000003</v>
      </c>
      <c r="X90" s="132">
        <f t="shared" si="42"/>
        <v>2251.177765173672</v>
      </c>
    </row>
    <row r="91" spans="17:24" s="333" customFormat="1" x14ac:dyDescent="0.25">
      <c r="Q91" s="333">
        <v>2000</v>
      </c>
      <c r="R91" s="390">
        <f t="shared" si="33"/>
        <v>143.126858</v>
      </c>
      <c r="S91" s="390">
        <f t="shared" si="31"/>
        <v>1451.6727609999994</v>
      </c>
      <c r="V91" s="315">
        <f t="shared" si="40"/>
        <v>2012</v>
      </c>
      <c r="W91" s="132">
        <f t="shared" si="41"/>
        <v>313.57676499999991</v>
      </c>
      <c r="X91" s="132">
        <f t="shared" si="42"/>
        <v>2361.3769674079463</v>
      </c>
    </row>
    <row r="92" spans="17:24" s="333" customFormat="1" x14ac:dyDescent="0.25">
      <c r="Q92" s="333">
        <v>2001</v>
      </c>
      <c r="R92" s="390">
        <f t="shared" ref="R92:R113" si="43">L12</f>
        <v>124.09112300000001</v>
      </c>
      <c r="S92" s="390">
        <f t="shared" ref="S92:S110" si="44">N12</f>
        <v>1447.1277699999996</v>
      </c>
      <c r="V92" s="315">
        <f t="shared" si="40"/>
        <v>2013</v>
      </c>
      <c r="W92" s="132">
        <f t="shared" si="41"/>
        <v>322.96894949401008</v>
      </c>
      <c r="X92" s="132">
        <f t="shared" si="42"/>
        <v>2342.5425918123965</v>
      </c>
    </row>
    <row r="93" spans="17:24" s="333" customFormat="1" x14ac:dyDescent="0.25">
      <c r="Q93" s="333">
        <v>2002</v>
      </c>
      <c r="R93" s="390">
        <f t="shared" si="43"/>
        <v>111.76104100000001</v>
      </c>
      <c r="S93" s="390">
        <f t="shared" si="44"/>
        <v>1451.0534580000035</v>
      </c>
      <c r="V93" s="315">
        <f t="shared" si="40"/>
        <v>2014</v>
      </c>
      <c r="W93" s="132">
        <f t="shared" si="41"/>
        <v>310.66975623576116</v>
      </c>
      <c r="X93" s="132">
        <f t="shared" si="42"/>
        <v>2392.902086898036</v>
      </c>
    </row>
    <row r="94" spans="17:24" s="333" customFormat="1" x14ac:dyDescent="0.25">
      <c r="Q94" s="333">
        <v>2003</v>
      </c>
      <c r="R94" s="390">
        <f t="shared" si="43"/>
        <v>107.96116799999999</v>
      </c>
      <c r="S94" s="390">
        <f t="shared" si="44"/>
        <v>1453.9297760000034</v>
      </c>
      <c r="V94" s="315">
        <f t="shared" si="40"/>
        <v>2015</v>
      </c>
      <c r="W94" s="132">
        <f t="shared" si="41"/>
        <v>357.85741596666662</v>
      </c>
      <c r="X94" s="132">
        <f t="shared" si="42"/>
        <v>2201.1662223635039</v>
      </c>
    </row>
    <row r="95" spans="17:24" s="333" customFormat="1" x14ac:dyDescent="0.25">
      <c r="Q95" s="333">
        <v>2004</v>
      </c>
      <c r="R95" s="390">
        <f t="shared" si="43"/>
        <v>195.99345399999999</v>
      </c>
      <c r="S95" s="390">
        <f t="shared" si="44"/>
        <v>1451.0798260000001</v>
      </c>
      <c r="V95" s="315">
        <f t="shared" si="40"/>
        <v>2016</v>
      </c>
      <c r="W95" s="132">
        <f t="shared" si="41"/>
        <v>342.35192607949659</v>
      </c>
      <c r="X95" s="132">
        <f t="shared" si="42"/>
        <v>1823.5410943410318</v>
      </c>
    </row>
    <row r="96" spans="17:24" s="333" customFormat="1" x14ac:dyDescent="0.25">
      <c r="Q96" s="333">
        <v>2005</v>
      </c>
      <c r="R96" s="390">
        <f t="shared" si="43"/>
        <v>200.13015520724974</v>
      </c>
      <c r="S96" s="390">
        <f t="shared" si="44"/>
        <v>1498.7317150000033</v>
      </c>
      <c r="V96" s="315">
        <f t="shared" si="40"/>
        <v>2017</v>
      </c>
      <c r="W96" s="132">
        <f t="shared" si="41"/>
        <v>462.56433448167047</v>
      </c>
      <c r="X96" s="132">
        <f t="shared" si="42"/>
        <v>1892.6268010146318</v>
      </c>
    </row>
    <row r="97" spans="17:24" s="333" customFormat="1" x14ac:dyDescent="0.25">
      <c r="Q97" s="333">
        <v>2006</v>
      </c>
      <c r="R97" s="390">
        <f t="shared" si="43"/>
        <v>220.09659204141394</v>
      </c>
      <c r="S97" s="390">
        <f t="shared" si="44"/>
        <v>1535.96834558</v>
      </c>
      <c r="V97" s="315">
        <f t="shared" si="40"/>
        <v>2018</v>
      </c>
      <c r="W97" s="132">
        <f t="shared" si="41"/>
        <v>545.15754158589084</v>
      </c>
      <c r="X97" s="132">
        <f t="shared" si="42"/>
        <v>1985.6050311411545</v>
      </c>
    </row>
    <row r="98" spans="17:24" s="333" customFormat="1" x14ac:dyDescent="0.25">
      <c r="Q98" s="386">
        <v>2007</v>
      </c>
      <c r="R98" s="390">
        <f t="shared" si="43"/>
        <v>212.42324065999998</v>
      </c>
      <c r="S98" s="390">
        <f t="shared" si="44"/>
        <v>1530.1328110000004</v>
      </c>
      <c r="V98" s="315">
        <f t="shared" si="40"/>
        <v>2019</v>
      </c>
      <c r="W98" s="132">
        <f t="shared" si="41"/>
        <v>530.87799013735162</v>
      </c>
      <c r="X98" s="132">
        <f t="shared" si="42"/>
        <v>1989.0341734656629</v>
      </c>
    </row>
    <row r="99" spans="17:24" x14ac:dyDescent="0.25">
      <c r="Q99" s="333">
        <v>2008</v>
      </c>
      <c r="R99" s="390">
        <f t="shared" si="43"/>
        <v>197.74225100000001</v>
      </c>
      <c r="S99" s="390">
        <f t="shared" si="44"/>
        <v>1690.6527759999999</v>
      </c>
      <c r="V99" s="315">
        <f t="shared" si="40"/>
        <v>2020</v>
      </c>
      <c r="W99" s="132">
        <f t="shared" si="41"/>
        <v>477.51652999999999</v>
      </c>
      <c r="X99" s="132">
        <f t="shared" si="42"/>
        <v>1609.1727960598291</v>
      </c>
    </row>
    <row r="100" spans="17:24" x14ac:dyDescent="0.25">
      <c r="Q100" s="333">
        <v>2009</v>
      </c>
      <c r="R100" s="390">
        <f t="shared" si="43"/>
        <v>203.990048</v>
      </c>
      <c r="S100" s="390">
        <f t="shared" si="44"/>
        <v>1818.8429900000001</v>
      </c>
      <c r="V100" s="315">
        <f t="shared" si="40"/>
        <v>2021</v>
      </c>
      <c r="W100" s="132">
        <f t="shared" si="41"/>
        <v>486.99589900000001</v>
      </c>
      <c r="X100" s="132">
        <f t="shared" si="42"/>
        <v>1372.2640267616712</v>
      </c>
    </row>
    <row r="101" spans="17:24" x14ac:dyDescent="0.25">
      <c r="Q101" s="333">
        <v>2010</v>
      </c>
      <c r="R101" s="390">
        <f t="shared" si="43"/>
        <v>252.57225099999999</v>
      </c>
      <c r="S101" s="390">
        <f t="shared" si="44"/>
        <v>2109.6198829999998</v>
      </c>
      <c r="V101" s="315">
        <f t="shared" si="40"/>
        <v>2022</v>
      </c>
      <c r="W101" s="132">
        <f t="shared" si="41"/>
        <v>493.26452</v>
      </c>
      <c r="X101" s="132">
        <f t="shared" si="42"/>
        <v>1404.8513572272759</v>
      </c>
    </row>
    <row r="102" spans="17:24" x14ac:dyDescent="0.25">
      <c r="Q102" s="333">
        <v>2011</v>
      </c>
      <c r="R102" s="390">
        <f t="shared" si="43"/>
        <v>306.75118860000003</v>
      </c>
      <c r="S102" s="390">
        <f t="shared" si="44"/>
        <v>2251.177765173672</v>
      </c>
    </row>
    <row r="103" spans="17:24" x14ac:dyDescent="0.25">
      <c r="Q103" s="333">
        <v>2012</v>
      </c>
      <c r="R103" s="390">
        <f t="shared" si="43"/>
        <v>313.57676499999991</v>
      </c>
      <c r="S103" s="390">
        <f t="shared" si="44"/>
        <v>2361.3769674079463</v>
      </c>
    </row>
    <row r="104" spans="17:24" x14ac:dyDescent="0.25">
      <c r="Q104" s="315">
        <v>2013</v>
      </c>
      <c r="R104" s="390">
        <f t="shared" si="43"/>
        <v>322.96894949401008</v>
      </c>
      <c r="S104" s="390">
        <f t="shared" si="44"/>
        <v>2342.5425918123965</v>
      </c>
    </row>
    <row r="105" spans="17:24" x14ac:dyDescent="0.25">
      <c r="Q105" s="315">
        <v>2014</v>
      </c>
      <c r="R105" s="390">
        <f t="shared" si="43"/>
        <v>310.66975623576116</v>
      </c>
      <c r="S105" s="390">
        <f t="shared" si="44"/>
        <v>2392.902086898036</v>
      </c>
    </row>
    <row r="106" spans="17:24" x14ac:dyDescent="0.25">
      <c r="Q106" s="315">
        <v>2015</v>
      </c>
      <c r="R106" s="390">
        <f t="shared" si="43"/>
        <v>357.85741596666662</v>
      </c>
      <c r="S106" s="390">
        <f t="shared" si="44"/>
        <v>2201.1662223635039</v>
      </c>
    </row>
    <row r="107" spans="17:24" x14ac:dyDescent="0.25">
      <c r="Q107" s="315">
        <v>2016</v>
      </c>
      <c r="R107" s="390">
        <f t="shared" si="43"/>
        <v>342.35192607949659</v>
      </c>
      <c r="S107" s="390">
        <f t="shared" si="44"/>
        <v>1823.5410943410318</v>
      </c>
    </row>
    <row r="108" spans="17:24" x14ac:dyDescent="0.25">
      <c r="Q108" s="315">
        <v>2017</v>
      </c>
      <c r="R108" s="390">
        <f t="shared" si="43"/>
        <v>462.56433448167047</v>
      </c>
      <c r="S108" s="390">
        <f t="shared" si="44"/>
        <v>1892.6268010146318</v>
      </c>
    </row>
    <row r="109" spans="17:24" x14ac:dyDescent="0.25">
      <c r="Q109" s="315">
        <v>2018</v>
      </c>
      <c r="R109" s="390">
        <f t="shared" si="43"/>
        <v>545.15754158589084</v>
      </c>
      <c r="S109" s="390">
        <f t="shared" si="44"/>
        <v>1985.6050311411545</v>
      </c>
    </row>
    <row r="110" spans="17:24" x14ac:dyDescent="0.25">
      <c r="Q110" s="315">
        <v>2019</v>
      </c>
      <c r="R110" s="390">
        <f t="shared" si="43"/>
        <v>530.87799013735162</v>
      </c>
      <c r="S110" s="390">
        <f t="shared" si="44"/>
        <v>1989.0341734656629</v>
      </c>
    </row>
    <row r="111" spans="17:24" x14ac:dyDescent="0.25">
      <c r="Q111" s="315">
        <v>2020</v>
      </c>
      <c r="R111" s="390">
        <f t="shared" si="43"/>
        <v>477.51652999999999</v>
      </c>
      <c r="S111" s="390">
        <f t="shared" ref="S111:S113" si="45">N31</f>
        <v>1609.1727960598291</v>
      </c>
    </row>
    <row r="112" spans="17:24" x14ac:dyDescent="0.25">
      <c r="Q112" s="315">
        <v>2021</v>
      </c>
      <c r="R112" s="390">
        <f t="shared" si="43"/>
        <v>486.99589900000001</v>
      </c>
      <c r="S112" s="390">
        <f t="shared" si="45"/>
        <v>1372.2640267616712</v>
      </c>
    </row>
    <row r="113" spans="17:19" x14ac:dyDescent="0.25">
      <c r="Q113" s="315">
        <v>2022</v>
      </c>
      <c r="R113" s="390">
        <f t="shared" si="43"/>
        <v>493.26452</v>
      </c>
      <c r="S113" s="390">
        <f t="shared" si="45"/>
        <v>1404.8513572272759</v>
      </c>
    </row>
  </sheetData>
  <mergeCells count="84">
    <mergeCell ref="B1:N1"/>
    <mergeCell ref="D37:E37"/>
    <mergeCell ref="H37:I37"/>
    <mergeCell ref="L37:M37"/>
    <mergeCell ref="D35:E35"/>
    <mergeCell ref="H35:I35"/>
    <mergeCell ref="L35:M35"/>
    <mergeCell ref="D36:E36"/>
    <mergeCell ref="H36:I36"/>
    <mergeCell ref="L36:M36"/>
    <mergeCell ref="L33:M33"/>
    <mergeCell ref="D34:E34"/>
    <mergeCell ref="H34:I34"/>
    <mergeCell ref="L34:M34"/>
    <mergeCell ref="H31:I31"/>
    <mergeCell ref="H32:I32"/>
    <mergeCell ref="H33:I33"/>
    <mergeCell ref="L28:M28"/>
    <mergeCell ref="L29:M29"/>
    <mergeCell ref="L30:M30"/>
    <mergeCell ref="L31:M31"/>
    <mergeCell ref="L32:M32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H26:I26"/>
    <mergeCell ref="H27:I27"/>
    <mergeCell ref="H22:I22"/>
    <mergeCell ref="H23:I23"/>
    <mergeCell ref="H24:I24"/>
    <mergeCell ref="H25:I25"/>
    <mergeCell ref="L25:M25"/>
    <mergeCell ref="L26:M26"/>
    <mergeCell ref="L27:M27"/>
    <mergeCell ref="H28:I28"/>
    <mergeCell ref="H29:I29"/>
    <mergeCell ref="H30:I30"/>
    <mergeCell ref="D32:E32"/>
    <mergeCell ref="D33:E3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L11:M11"/>
    <mergeCell ref="D11:E11"/>
    <mergeCell ref="H11:I11"/>
    <mergeCell ref="B3:B4"/>
    <mergeCell ref="C3:F3"/>
  </mergeCells>
  <printOptions horizontalCentered="1" verticalCentered="1"/>
  <pageMargins left="0.39370078740157483" right="0.19685039370078741" top="0.51181102362204722" bottom="0.27559055118110237" header="0" footer="0"/>
  <pageSetup paperSize="9" scale="53" orientation="portrait" horizontalDpi="300" verticalDpi="300" r:id="rId1"/>
  <headerFooter alignWithMargins="0"/>
  <ignoredErrors>
    <ignoredError sqref="D5:G10 L5:N10 C12:C33 E12:G33 I12:K31 I33:K33 M12:N31 M33:N33 C5:C10 H5:J10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141"/>
  <sheetViews>
    <sheetView showGridLines="0" view="pageBreakPreview" zoomScale="80" zoomScaleNormal="70" zoomScaleSheetLayoutView="80" workbookViewId="0">
      <selection activeCell="S38" sqref="S38:V63"/>
    </sheetView>
  </sheetViews>
  <sheetFormatPr baseColWidth="10" defaultColWidth="11.453125" defaultRowHeight="12.5" x14ac:dyDescent="0.25"/>
  <cols>
    <col min="1" max="1" width="5" style="333" customWidth="1"/>
    <col min="2" max="2" width="20" style="315" customWidth="1"/>
    <col min="3" max="3" width="12.453125" style="315" customWidth="1"/>
    <col min="4" max="8" width="15.1796875" style="315" customWidth="1"/>
    <col min="9" max="11" width="11.453125" style="315"/>
    <col min="12" max="14" width="12.1796875" style="315" customWidth="1"/>
    <col min="15" max="15" width="10" style="315" customWidth="1"/>
    <col min="16" max="16" width="9.7265625" style="315" customWidth="1"/>
    <col min="17" max="17" width="3.453125" style="315" customWidth="1"/>
    <col min="18" max="18" width="3.54296875" style="315" customWidth="1"/>
    <col min="19" max="21" width="10.26953125" style="315" customWidth="1"/>
    <col min="22" max="22" width="9.7265625" style="315" customWidth="1"/>
    <col min="23" max="23" width="3.453125" style="315" customWidth="1"/>
    <col min="24" max="24" width="8.1796875" style="315" customWidth="1"/>
    <col min="25" max="25" width="14.81640625" style="315" customWidth="1"/>
    <col min="26" max="26" width="9.54296875" style="315" customWidth="1"/>
    <col min="27" max="27" width="14.81640625" style="315" customWidth="1"/>
    <col min="28" max="28" width="13.81640625" style="315" bestFit="1" customWidth="1"/>
    <col min="29" max="29" width="12.81640625" style="315" bestFit="1" customWidth="1"/>
    <col min="30" max="30" width="13.81640625" style="315" bestFit="1" customWidth="1"/>
    <col min="31" max="31" width="13" style="315" customWidth="1"/>
    <col min="32" max="33" width="9.7265625" style="315" customWidth="1"/>
    <col min="34" max="36" width="11.453125" style="315"/>
    <col min="37" max="37" width="8.7265625" style="315" customWidth="1"/>
    <col min="38" max="40" width="11.453125" style="315"/>
    <col min="41" max="41" width="8.54296875" style="315" customWidth="1"/>
    <col min="42" max="16384" width="11.453125" style="315"/>
  </cols>
  <sheetData>
    <row r="1" spans="1:20" s="333" customFormat="1" x14ac:dyDescent="0.25">
      <c r="B1" s="388"/>
    </row>
    <row r="2" spans="1:20" s="333" customFormat="1" ht="15.5" x14ac:dyDescent="0.35">
      <c r="B2" s="391" t="s">
        <v>202</v>
      </c>
    </row>
    <row r="3" spans="1:20" s="333" customFormat="1" ht="12" customHeight="1" x14ac:dyDescent="0.35">
      <c r="B3" s="391"/>
    </row>
    <row r="4" spans="1:20" s="333" customFormat="1" ht="13.5" thickBot="1" x14ac:dyDescent="0.35">
      <c r="B4" s="392"/>
    </row>
    <row r="5" spans="1:20" s="493" customFormat="1" ht="14.5" thickBot="1" x14ac:dyDescent="0.3">
      <c r="A5" s="492"/>
      <c r="B5" s="1534" t="s">
        <v>39</v>
      </c>
      <c r="C5" s="1519" t="s">
        <v>53</v>
      </c>
      <c r="D5" s="1544" t="s">
        <v>87</v>
      </c>
      <c r="E5" s="1545"/>
      <c r="F5" s="1545"/>
      <c r="G5" s="1545"/>
      <c r="H5" s="1546"/>
      <c r="I5" s="1519" t="s">
        <v>101</v>
      </c>
      <c r="J5" s="1520"/>
      <c r="K5" s="1521"/>
      <c r="L5" s="1522" t="s">
        <v>102</v>
      </c>
      <c r="M5" s="1520"/>
      <c r="N5" s="1520"/>
      <c r="O5" s="1520"/>
      <c r="P5" s="1521"/>
    </row>
    <row r="6" spans="1:20" s="493" customFormat="1" ht="13.5" thickBot="1" x14ac:dyDescent="0.3">
      <c r="A6" s="492"/>
      <c r="B6" s="1535"/>
      <c r="C6" s="1536"/>
      <c r="D6" s="1072" t="s">
        <v>53</v>
      </c>
      <c r="E6" s="1073" t="s">
        <v>90</v>
      </c>
      <c r="F6" s="1073" t="s">
        <v>91</v>
      </c>
      <c r="G6" s="1074" t="s">
        <v>74</v>
      </c>
      <c r="H6" s="1075" t="s">
        <v>92</v>
      </c>
      <c r="I6" s="1208" t="s">
        <v>53</v>
      </c>
      <c r="J6" s="1076" t="s">
        <v>90</v>
      </c>
      <c r="K6" s="1077" t="s">
        <v>91</v>
      </c>
      <c r="L6" s="1076" t="s">
        <v>89</v>
      </c>
      <c r="M6" s="1072" t="s">
        <v>90</v>
      </c>
      <c r="N6" s="1072" t="s">
        <v>91</v>
      </c>
      <c r="O6" s="1072" t="s">
        <v>74</v>
      </c>
      <c r="P6" s="1077" t="s">
        <v>92</v>
      </c>
    </row>
    <row r="7" spans="1:20" ht="13" x14ac:dyDescent="0.3">
      <c r="B7" s="647">
        <v>1995</v>
      </c>
      <c r="C7" s="393">
        <f t="shared" ref="C7:C12" si="0">SUM(L7,I7,D7)</f>
        <v>13106.313096999998</v>
      </c>
      <c r="D7" s="394">
        <f t="shared" ref="D7:D12" si="1">SUM(E7:F7)</f>
        <v>11079.863100999999</v>
      </c>
      <c r="E7" s="349">
        <v>10175.763370999999</v>
      </c>
      <c r="F7" s="364">
        <v>904.09973000000002</v>
      </c>
      <c r="G7" s="364"/>
      <c r="H7" s="395"/>
      <c r="I7" s="1319">
        <f t="shared" ref="I7:I12" si="2">SUM(J7:K7)</f>
        <v>1347.0061020000001</v>
      </c>
      <c r="J7" s="364">
        <v>1276.2521850000001</v>
      </c>
      <c r="K7" s="395">
        <v>70.753917000000001</v>
      </c>
      <c r="L7" s="1315">
        <f t="shared" ref="L7:L12" si="3">SUM(M7:P7)</f>
        <v>679.443894</v>
      </c>
      <c r="M7" s="349">
        <v>88.574772999999993</v>
      </c>
      <c r="N7" s="364">
        <v>590.86912099999995</v>
      </c>
      <c r="O7" s="364"/>
      <c r="P7" s="397" t="s">
        <v>114</v>
      </c>
      <c r="T7" s="371"/>
    </row>
    <row r="8" spans="1:20" ht="13" x14ac:dyDescent="0.3">
      <c r="B8" s="446">
        <v>1996</v>
      </c>
      <c r="C8" s="398">
        <f t="shared" si="0"/>
        <v>13307.577020999999</v>
      </c>
      <c r="D8" s="399">
        <f t="shared" si="1"/>
        <v>11114.304966</v>
      </c>
      <c r="E8" s="340">
        <v>10542.563853</v>
      </c>
      <c r="F8" s="362">
        <v>571.74111300000004</v>
      </c>
      <c r="G8" s="362"/>
      <c r="H8" s="400"/>
      <c r="I8" s="1320">
        <f t="shared" si="2"/>
        <v>1571.1488599999998</v>
      </c>
      <c r="J8" s="362">
        <v>1235.1827439999997</v>
      </c>
      <c r="K8" s="400">
        <v>335.96611600000006</v>
      </c>
      <c r="L8" s="1316">
        <f t="shared" si="3"/>
        <v>622.1231949999999</v>
      </c>
      <c r="M8" s="340">
        <v>70.178780000000003</v>
      </c>
      <c r="N8" s="362">
        <v>551.53441499999997</v>
      </c>
      <c r="O8" s="362"/>
      <c r="P8" s="400">
        <v>0.41</v>
      </c>
      <c r="T8" s="371"/>
    </row>
    <row r="9" spans="1:20" ht="13" x14ac:dyDescent="0.3">
      <c r="B9" s="647">
        <v>1997</v>
      </c>
      <c r="C9" s="393">
        <f t="shared" si="0"/>
        <v>15348.556875999999</v>
      </c>
      <c r="D9" s="394">
        <f t="shared" si="1"/>
        <v>12278.077456999999</v>
      </c>
      <c r="E9" s="349">
        <v>10578.681579</v>
      </c>
      <c r="F9" s="364">
        <v>1699.3958780000003</v>
      </c>
      <c r="G9" s="364"/>
      <c r="H9" s="395"/>
      <c r="I9" s="1319">
        <f t="shared" si="2"/>
        <v>2428.93273</v>
      </c>
      <c r="J9" s="364">
        <v>1573.605233</v>
      </c>
      <c r="K9" s="395">
        <v>855.32749699999999</v>
      </c>
      <c r="L9" s="1315">
        <f t="shared" si="3"/>
        <v>641.54668900000013</v>
      </c>
      <c r="M9" s="349">
        <v>112.50497800000001</v>
      </c>
      <c r="N9" s="364">
        <v>528.48605500000008</v>
      </c>
      <c r="O9" s="364"/>
      <c r="P9" s="395">
        <v>0.55565599999999993</v>
      </c>
      <c r="T9" s="371"/>
    </row>
    <row r="10" spans="1:20" ht="13" x14ac:dyDescent="0.3">
      <c r="B10" s="446">
        <v>1998</v>
      </c>
      <c r="C10" s="398">
        <f t="shared" si="0"/>
        <v>16815.936847000001</v>
      </c>
      <c r="D10" s="399">
        <f t="shared" si="1"/>
        <v>13526.540201000002</v>
      </c>
      <c r="E10" s="340">
        <v>12262.133473000002</v>
      </c>
      <c r="F10" s="362">
        <v>1264.4067279999999</v>
      </c>
      <c r="G10" s="362"/>
      <c r="H10" s="400"/>
      <c r="I10" s="1320">
        <f t="shared" si="2"/>
        <v>2661.583983</v>
      </c>
      <c r="J10" s="362">
        <v>953.90101099999993</v>
      </c>
      <c r="K10" s="400">
        <v>1707.6829720000001</v>
      </c>
      <c r="L10" s="1316">
        <f t="shared" si="3"/>
        <v>627.81266299999982</v>
      </c>
      <c r="M10" s="340">
        <v>151.15929299999999</v>
      </c>
      <c r="N10" s="362">
        <v>476.12692999999985</v>
      </c>
      <c r="O10" s="362"/>
      <c r="P10" s="400">
        <v>0.52644000000000002</v>
      </c>
      <c r="T10" s="371"/>
    </row>
    <row r="11" spans="1:20" ht="13" x14ac:dyDescent="0.3">
      <c r="B11" s="647">
        <v>1999</v>
      </c>
      <c r="C11" s="393">
        <f t="shared" si="0"/>
        <v>17366.221878</v>
      </c>
      <c r="D11" s="394">
        <f t="shared" si="1"/>
        <v>13890.757992000001</v>
      </c>
      <c r="E11" s="349">
        <v>12909.594394000002</v>
      </c>
      <c r="F11" s="364">
        <v>981.16359799999998</v>
      </c>
      <c r="G11" s="364"/>
      <c r="H11" s="395"/>
      <c r="I11" s="1319">
        <f t="shared" si="2"/>
        <v>2868.6487069999998</v>
      </c>
      <c r="J11" s="364">
        <v>1012.2640279999999</v>
      </c>
      <c r="K11" s="395">
        <v>1856.3846789999998</v>
      </c>
      <c r="L11" s="1315">
        <f t="shared" si="3"/>
        <v>606.81517900000006</v>
      </c>
      <c r="M11" s="349">
        <v>188.73360400000001</v>
      </c>
      <c r="N11" s="364">
        <v>417.45699500000001</v>
      </c>
      <c r="O11" s="364"/>
      <c r="P11" s="395">
        <v>0.62458000000000002</v>
      </c>
      <c r="T11" s="371"/>
    </row>
    <row r="12" spans="1:20" ht="13" x14ac:dyDescent="0.3">
      <c r="B12" s="446">
        <v>2000</v>
      </c>
      <c r="C12" s="398">
        <f t="shared" si="0"/>
        <v>18327.897719000001</v>
      </c>
      <c r="D12" s="399">
        <f t="shared" si="1"/>
        <v>14635.889037999999</v>
      </c>
      <c r="E12" s="340">
        <v>13908.207054999999</v>
      </c>
      <c r="F12" s="362">
        <v>727.68198299999995</v>
      </c>
      <c r="G12" s="362"/>
      <c r="H12" s="400"/>
      <c r="I12" s="1320">
        <f t="shared" si="2"/>
        <v>3091.9220970000001</v>
      </c>
      <c r="J12" s="362">
        <v>1616.7179910000002</v>
      </c>
      <c r="K12" s="400">
        <v>1475.2041059999999</v>
      </c>
      <c r="L12" s="1316">
        <f t="shared" si="3"/>
        <v>600.0865839999999</v>
      </c>
      <c r="M12" s="340">
        <v>222.39821899999998</v>
      </c>
      <c r="N12" s="362">
        <v>376.84266499999995</v>
      </c>
      <c r="O12" s="362"/>
      <c r="P12" s="400">
        <v>0.84570000000000001</v>
      </c>
      <c r="T12" s="371"/>
    </row>
    <row r="13" spans="1:20" ht="13" x14ac:dyDescent="0.3">
      <c r="B13" s="446"/>
      <c r="C13" s="403"/>
      <c r="D13" s="1523" t="s">
        <v>81</v>
      </c>
      <c r="E13" s="1524"/>
      <c r="F13" s="1524"/>
      <c r="G13" s="1524"/>
      <c r="H13" s="1525"/>
      <c r="I13" s="1321"/>
      <c r="J13" s="404"/>
      <c r="K13" s="1322"/>
      <c r="L13" s="1317"/>
      <c r="M13" s="1313"/>
      <c r="N13" s="1313"/>
      <c r="O13" s="1313"/>
      <c r="P13" s="1314"/>
      <c r="T13" s="371"/>
    </row>
    <row r="14" spans="1:20" ht="13" x14ac:dyDescent="0.3">
      <c r="B14" s="446">
        <v>2001</v>
      </c>
      <c r="C14" s="398">
        <f t="shared" ref="C14:C27" si="4">SUM(L14,I14,D14)</f>
        <v>19214.506641999997</v>
      </c>
      <c r="D14" s="399">
        <f t="shared" ref="D14:D24" si="5">SUM(E14:F14)</f>
        <v>18630.491470999998</v>
      </c>
      <c r="E14" s="340">
        <v>16964.279180999998</v>
      </c>
      <c r="F14" s="362">
        <v>1666.2122900000002</v>
      </c>
      <c r="G14" s="362"/>
      <c r="H14" s="400"/>
      <c r="I14" s="1320"/>
      <c r="J14" s="362"/>
      <c r="K14" s="400"/>
      <c r="L14" s="1316">
        <f t="shared" ref="L14:L27" si="6">SUM(M14:P14)</f>
        <v>584.01517100000001</v>
      </c>
      <c r="M14" s="340">
        <v>224.05159300000005</v>
      </c>
      <c r="N14" s="362">
        <v>358.73717799999997</v>
      </c>
      <c r="O14" s="362"/>
      <c r="P14" s="400">
        <v>1.2264000000000002</v>
      </c>
      <c r="T14" s="371"/>
    </row>
    <row r="15" spans="1:20" ht="13" x14ac:dyDescent="0.3">
      <c r="B15" s="647">
        <v>2002</v>
      </c>
      <c r="C15" s="393">
        <f t="shared" si="4"/>
        <v>20419.508673000004</v>
      </c>
      <c r="D15" s="394">
        <f t="shared" si="5"/>
        <v>19906.120506000003</v>
      </c>
      <c r="E15" s="349">
        <v>17459.157646000003</v>
      </c>
      <c r="F15" s="364">
        <v>2446.9628600000001</v>
      </c>
      <c r="G15" s="364"/>
      <c r="H15" s="395"/>
      <c r="I15" s="1319"/>
      <c r="J15" s="364"/>
      <c r="K15" s="395"/>
      <c r="L15" s="1315">
        <f t="shared" si="6"/>
        <v>513.38816700000007</v>
      </c>
      <c r="M15" s="349">
        <v>179.00059199999993</v>
      </c>
      <c r="N15" s="364">
        <v>333.16117500000018</v>
      </c>
      <c r="O15" s="364"/>
      <c r="P15" s="395">
        <v>1.2264000000000002</v>
      </c>
      <c r="T15" s="371"/>
    </row>
    <row r="16" spans="1:20" ht="13" x14ac:dyDescent="0.3">
      <c r="B16" s="446">
        <v>2003</v>
      </c>
      <c r="C16" s="398">
        <f t="shared" si="4"/>
        <v>21361.462929999994</v>
      </c>
      <c r="D16" s="399">
        <f t="shared" si="5"/>
        <v>20890.822373999996</v>
      </c>
      <c r="E16" s="340">
        <v>17926.933372999996</v>
      </c>
      <c r="F16" s="362">
        <v>2963.8890009999996</v>
      </c>
      <c r="G16" s="362"/>
      <c r="H16" s="400"/>
      <c r="I16" s="1320"/>
      <c r="J16" s="362"/>
      <c r="K16" s="400"/>
      <c r="L16" s="1316">
        <f t="shared" si="6"/>
        <v>470.64055600000029</v>
      </c>
      <c r="M16" s="340">
        <v>191.39976499999997</v>
      </c>
      <c r="N16" s="362">
        <v>278.01439100000033</v>
      </c>
      <c r="O16" s="362"/>
      <c r="P16" s="400">
        <v>1.2264000000000002</v>
      </c>
      <c r="T16" s="371"/>
    </row>
    <row r="17" spans="2:20" ht="13" x14ac:dyDescent="0.3">
      <c r="B17" s="647">
        <v>2004</v>
      </c>
      <c r="C17" s="393">
        <f t="shared" si="4"/>
        <v>22619.938791000004</v>
      </c>
      <c r="D17" s="394">
        <f t="shared" si="5"/>
        <v>22091.989912000005</v>
      </c>
      <c r="E17" s="349">
        <f>16896.304036-21.92833</f>
        <v>16874.375706000003</v>
      </c>
      <c r="F17" s="364">
        <v>5217.6142060000011</v>
      </c>
      <c r="G17" s="364"/>
      <c r="H17" s="395"/>
      <c r="I17" s="1319"/>
      <c r="J17" s="364"/>
      <c r="K17" s="395"/>
      <c r="L17" s="1315">
        <f t="shared" si="6"/>
        <v>527.94887900000003</v>
      </c>
      <c r="M17" s="349">
        <f>226.288927</f>
        <v>226.288927</v>
      </c>
      <c r="N17" s="364">
        <v>300.43355199999996</v>
      </c>
      <c r="O17" s="364"/>
      <c r="P17" s="395">
        <v>1.2264000000000002</v>
      </c>
      <c r="T17" s="371"/>
    </row>
    <row r="18" spans="2:20" ht="13" x14ac:dyDescent="0.3">
      <c r="B18" s="446">
        <v>2005</v>
      </c>
      <c r="C18" s="398">
        <f t="shared" si="4"/>
        <v>23810.874944792748</v>
      </c>
      <c r="D18" s="399">
        <f t="shared" si="5"/>
        <v>23233.479606792749</v>
      </c>
      <c r="E18" s="340">
        <v>17322.595987792749</v>
      </c>
      <c r="F18" s="362">
        <v>5910.8836190000002</v>
      </c>
      <c r="G18" s="362"/>
      <c r="H18" s="400"/>
      <c r="I18" s="1320"/>
      <c r="J18" s="362"/>
      <c r="K18" s="400"/>
      <c r="L18" s="1316">
        <f t="shared" si="6"/>
        <v>577.39533800000004</v>
      </c>
      <c r="M18" s="340">
        <v>244.50939000000002</v>
      </c>
      <c r="N18" s="362">
        <v>331.65954799999997</v>
      </c>
      <c r="O18" s="362"/>
      <c r="P18" s="400">
        <v>1.2264000000000002</v>
      </c>
      <c r="T18" s="371"/>
    </row>
    <row r="19" spans="2:20" ht="13" x14ac:dyDescent="0.3">
      <c r="B19" s="647">
        <v>2006</v>
      </c>
      <c r="C19" s="393">
        <f t="shared" si="4"/>
        <v>25613.763789958582</v>
      </c>
      <c r="D19" s="394">
        <f t="shared" si="5"/>
        <v>25037.083984958583</v>
      </c>
      <c r="E19" s="349">
        <v>18931.704642958583</v>
      </c>
      <c r="F19" s="364">
        <v>6105.3793420000011</v>
      </c>
      <c r="G19" s="364"/>
      <c r="H19" s="395"/>
      <c r="I19" s="1319"/>
      <c r="J19" s="364"/>
      <c r="K19" s="395"/>
      <c r="L19" s="1315">
        <f>SUM(M19:P19)</f>
        <v>576.67980499999999</v>
      </c>
      <c r="M19" s="349">
        <v>229.04699999999997</v>
      </c>
      <c r="N19" s="364">
        <v>346.40640499999995</v>
      </c>
      <c r="O19" s="364"/>
      <c r="P19" s="395">
        <v>1.2264000000000002</v>
      </c>
      <c r="T19" s="371"/>
    </row>
    <row r="20" spans="2:20" ht="13" x14ac:dyDescent="0.3">
      <c r="B20" s="446">
        <v>2007</v>
      </c>
      <c r="C20" s="398">
        <f t="shared" si="4"/>
        <v>28200.491090340001</v>
      </c>
      <c r="D20" s="399">
        <f t="shared" si="5"/>
        <v>27593.789342340002</v>
      </c>
      <c r="E20" s="340">
        <v>18872.24222534</v>
      </c>
      <c r="F20" s="362">
        <v>8721.5471170000001</v>
      </c>
      <c r="G20" s="362"/>
      <c r="H20" s="400"/>
      <c r="I20" s="1320"/>
      <c r="J20" s="362"/>
      <c r="K20" s="400"/>
      <c r="L20" s="1316">
        <f t="shared" si="6"/>
        <v>606.70174800000007</v>
      </c>
      <c r="M20" s="340">
        <v>234.95174099999997</v>
      </c>
      <c r="N20" s="362">
        <v>370.52360700000008</v>
      </c>
      <c r="O20" s="362"/>
      <c r="P20" s="400">
        <v>1.2264000000000002</v>
      </c>
      <c r="T20" s="371"/>
    </row>
    <row r="21" spans="2:20" ht="13" x14ac:dyDescent="0.3">
      <c r="B21" s="647">
        <v>2008</v>
      </c>
      <c r="C21" s="393">
        <f t="shared" si="4"/>
        <v>30574.711255999999</v>
      </c>
      <c r="D21" s="394">
        <f t="shared" si="5"/>
        <v>29905.853190999998</v>
      </c>
      <c r="E21" s="349">
        <v>18352.597029999997</v>
      </c>
      <c r="F21" s="364">
        <v>11553.256161000001</v>
      </c>
      <c r="G21" s="364"/>
      <c r="H21" s="395"/>
      <c r="I21" s="1319"/>
      <c r="J21" s="364"/>
      <c r="K21" s="395"/>
      <c r="L21" s="1315">
        <f t="shared" si="6"/>
        <v>668.8580649999999</v>
      </c>
      <c r="M21" s="349">
        <v>255.19507699999997</v>
      </c>
      <c r="N21" s="364">
        <v>412.43658799999997</v>
      </c>
      <c r="O21" s="364"/>
      <c r="P21" s="395">
        <v>1.2264000000000004</v>
      </c>
      <c r="T21" s="371"/>
    </row>
    <row r="22" spans="2:20" ht="13" x14ac:dyDescent="0.3">
      <c r="B22" s="446">
        <v>2009</v>
      </c>
      <c r="C22" s="398">
        <f t="shared" si="4"/>
        <v>30921.902783000001</v>
      </c>
      <c r="D22" s="399">
        <f t="shared" si="5"/>
        <v>30289.076649000002</v>
      </c>
      <c r="E22" s="340">
        <v>19193.203896000003</v>
      </c>
      <c r="F22" s="362">
        <v>11095.872753</v>
      </c>
      <c r="G22" s="362"/>
      <c r="H22" s="400"/>
      <c r="I22" s="1320"/>
      <c r="J22" s="362"/>
      <c r="K22" s="400"/>
      <c r="L22" s="1316">
        <f t="shared" si="6"/>
        <v>632.82613400000002</v>
      </c>
      <c r="M22" s="340">
        <v>226.01771600000001</v>
      </c>
      <c r="N22" s="362">
        <v>405.58201800000001</v>
      </c>
      <c r="O22" s="362"/>
      <c r="P22" s="400">
        <v>1.2264000000000002</v>
      </c>
      <c r="T22" s="371"/>
    </row>
    <row r="23" spans="2:20" ht="13" x14ac:dyDescent="0.3">
      <c r="B23" s="647">
        <v>2010</v>
      </c>
      <c r="C23" s="393">
        <f t="shared" si="4"/>
        <v>33545.815807200001</v>
      </c>
      <c r="D23" s="394">
        <f t="shared" si="5"/>
        <v>33073.914225</v>
      </c>
      <c r="E23" s="349">
        <v>19402.767738999999</v>
      </c>
      <c r="F23" s="364">
        <v>13671.146485999998</v>
      </c>
      <c r="G23" s="364"/>
      <c r="H23" s="395"/>
      <c r="I23" s="1319"/>
      <c r="J23" s="364"/>
      <c r="K23" s="395"/>
      <c r="L23" s="1315">
        <f t="shared" si="6"/>
        <v>471.90158220000001</v>
      </c>
      <c r="M23" s="349">
        <v>164.6368702</v>
      </c>
      <c r="N23" s="364">
        <v>306.03831199999996</v>
      </c>
      <c r="O23" s="364"/>
      <c r="P23" s="395">
        <v>1.2264000000000002</v>
      </c>
      <c r="T23" s="371"/>
    </row>
    <row r="24" spans="2:20" ht="13" x14ac:dyDescent="0.3">
      <c r="B24" s="578">
        <v>2011</v>
      </c>
      <c r="C24" s="398">
        <f t="shared" si="4"/>
        <v>36248.532290235242</v>
      </c>
      <c r="D24" s="399">
        <f t="shared" si="5"/>
        <v>35769.459710000003</v>
      </c>
      <c r="E24" s="340">
        <v>20847.282396000002</v>
      </c>
      <c r="F24" s="362">
        <v>14922.177313999999</v>
      </c>
      <c r="G24" s="362"/>
      <c r="H24" s="400"/>
      <c r="I24" s="1320"/>
      <c r="J24" s="362"/>
      <c r="K24" s="400"/>
      <c r="L24" s="1316">
        <f t="shared" si="6"/>
        <v>479.07258023523991</v>
      </c>
      <c r="M24" s="340">
        <v>180.13600823523998</v>
      </c>
      <c r="N24" s="362">
        <v>297.71017199999989</v>
      </c>
      <c r="O24" s="362"/>
      <c r="P24" s="400">
        <v>1.2264000000000004</v>
      </c>
      <c r="T24" s="371"/>
    </row>
    <row r="25" spans="2:20" ht="13" x14ac:dyDescent="0.3">
      <c r="B25" s="647">
        <v>2012</v>
      </c>
      <c r="C25" s="393">
        <f>SUM(L25,I25,D25)</f>
        <v>38361.029340799956</v>
      </c>
      <c r="D25" s="394">
        <f>SUM(E25:H25)</f>
        <v>37886.352608799956</v>
      </c>
      <c r="E25" s="349">
        <v>21326.654352999969</v>
      </c>
      <c r="F25" s="364">
        <v>16500.015268999985</v>
      </c>
      <c r="G25" s="364">
        <v>59.682986800000002</v>
      </c>
      <c r="H25" s="395"/>
      <c r="I25" s="1319"/>
      <c r="J25" s="364"/>
      <c r="K25" s="395"/>
      <c r="L25" s="1315">
        <f t="shared" si="6"/>
        <v>474.67673200000002</v>
      </c>
      <c r="M25" s="349">
        <v>164.15331</v>
      </c>
      <c r="N25" s="364">
        <v>309.29702199999997</v>
      </c>
      <c r="O25" s="364"/>
      <c r="P25" s="395">
        <v>1.2264000000000002</v>
      </c>
      <c r="T25" s="371"/>
    </row>
    <row r="26" spans="2:20" ht="13" x14ac:dyDescent="0.3">
      <c r="B26" s="578">
        <v>2013</v>
      </c>
      <c r="C26" s="405">
        <f t="shared" si="4"/>
        <v>40664.66641917896</v>
      </c>
      <c r="D26" s="406">
        <f>SUM(E26:H26)</f>
        <v>40158.779292273408</v>
      </c>
      <c r="E26" s="372">
        <v>21534.797771521582</v>
      </c>
      <c r="F26" s="369">
        <v>18427.053640751827</v>
      </c>
      <c r="G26" s="369">
        <v>196.92788000000002</v>
      </c>
      <c r="H26" s="407"/>
      <c r="I26" s="1323"/>
      <c r="J26" s="369"/>
      <c r="K26" s="407"/>
      <c r="L26" s="1318">
        <f t="shared" si="6"/>
        <v>505.88712690555536</v>
      </c>
      <c r="M26" s="372">
        <v>174.58691190555555</v>
      </c>
      <c r="N26" s="369">
        <v>330.0738149999998</v>
      </c>
      <c r="O26" s="369"/>
      <c r="P26" s="407">
        <v>1.2264000000000002</v>
      </c>
      <c r="T26" s="371"/>
    </row>
    <row r="27" spans="2:20" ht="13" x14ac:dyDescent="0.3">
      <c r="B27" s="647">
        <v>2014</v>
      </c>
      <c r="C27" s="393">
        <f t="shared" si="4"/>
        <v>42846.247729121009</v>
      </c>
      <c r="D27" s="394">
        <f>SUM(E27:H27)</f>
        <v>42313.748256544015</v>
      </c>
      <c r="E27" s="349">
        <v>21428.574219363149</v>
      </c>
      <c r="F27" s="364">
        <v>20429.556182658423</v>
      </c>
      <c r="G27" s="364">
        <v>199.30359694553749</v>
      </c>
      <c r="H27" s="395">
        <v>256.31425757690079</v>
      </c>
      <c r="I27" s="1319"/>
      <c r="J27" s="364"/>
      <c r="K27" s="395"/>
      <c r="L27" s="1315">
        <f t="shared" si="6"/>
        <v>532.49947257699353</v>
      </c>
      <c r="M27" s="349">
        <v>182.35045657699374</v>
      </c>
      <c r="N27" s="364">
        <v>348.92261599999978</v>
      </c>
      <c r="O27" s="364"/>
      <c r="P27" s="395">
        <v>1.2264000000000002</v>
      </c>
      <c r="T27" s="371"/>
    </row>
    <row r="28" spans="2:20" ht="13" x14ac:dyDescent="0.3">
      <c r="B28" s="578">
        <v>2015</v>
      </c>
      <c r="C28" s="405">
        <f>SUM(L28,I28,D28)</f>
        <v>45711.38787738567</v>
      </c>
      <c r="D28" s="406">
        <f>SUM(E28:H28)</f>
        <v>45130.706744322175</v>
      </c>
      <c r="E28" s="372">
        <v>22929.726033532992</v>
      </c>
      <c r="F28" s="369">
        <v>21376.35123630051</v>
      </c>
      <c r="G28" s="369">
        <v>230.25534300000001</v>
      </c>
      <c r="H28" s="407">
        <v>594.37413148867017</v>
      </c>
      <c r="I28" s="1323"/>
      <c r="J28" s="369"/>
      <c r="K28" s="407"/>
      <c r="L28" s="1318">
        <f>SUM(M28:P28)</f>
        <v>580.6811330634921</v>
      </c>
      <c r="M28" s="372">
        <v>197.37758206349201</v>
      </c>
      <c r="N28" s="369">
        <v>382.07715100000001</v>
      </c>
      <c r="O28" s="369"/>
      <c r="P28" s="407">
        <v>1.2264000000000004</v>
      </c>
      <c r="T28" s="371"/>
    </row>
    <row r="29" spans="2:20" ht="13" x14ac:dyDescent="0.3">
      <c r="B29" s="647">
        <v>2016</v>
      </c>
      <c r="C29" s="393">
        <f t="shared" ref="C29:C35" si="7">SUM(L29,I29,D29)</f>
        <v>49534.080910786695</v>
      </c>
      <c r="D29" s="394">
        <f t="shared" ref="D29:D35" si="8">SUM(E29:H29)</f>
        <v>48912.137763786697</v>
      </c>
      <c r="E29" s="349">
        <v>23446.547674757869</v>
      </c>
      <c r="F29" s="364">
        <v>24161.978844622372</v>
      </c>
      <c r="G29" s="364">
        <v>241.00855899999999</v>
      </c>
      <c r="H29" s="395">
        <v>1062.6026854064544</v>
      </c>
      <c r="I29" s="1319"/>
      <c r="J29" s="364"/>
      <c r="K29" s="395"/>
      <c r="L29" s="1315">
        <f t="shared" ref="L29:L35" si="9">SUM(M29:P29)</f>
        <v>621.94314699999995</v>
      </c>
      <c r="M29" s="349">
        <v>206.031654</v>
      </c>
      <c r="N29" s="364">
        <v>414.68509299999999</v>
      </c>
      <c r="O29" s="364"/>
      <c r="P29" s="395">
        <v>1.2263999999999999</v>
      </c>
      <c r="T29" s="371"/>
    </row>
    <row r="30" spans="2:20" ht="13" x14ac:dyDescent="0.3">
      <c r="B30" s="578">
        <v>2017</v>
      </c>
      <c r="C30" s="405">
        <f t="shared" si="7"/>
        <v>50344.862184776517</v>
      </c>
      <c r="D30" s="406">
        <f t="shared" si="8"/>
        <v>49822.47724177652</v>
      </c>
      <c r="E30" s="372">
        <v>28289.43359177652</v>
      </c>
      <c r="F30" s="369">
        <v>20173.637439000002</v>
      </c>
      <c r="G30" s="369">
        <v>287.20034300000003</v>
      </c>
      <c r="H30" s="407">
        <v>1072.205868</v>
      </c>
      <c r="I30" s="1323"/>
      <c r="J30" s="369"/>
      <c r="K30" s="407"/>
      <c r="L30" s="1318">
        <f t="shared" si="9"/>
        <v>522.38494300000002</v>
      </c>
      <c r="M30" s="372">
        <v>103.57763</v>
      </c>
      <c r="N30" s="369">
        <v>417.58091300000001</v>
      </c>
      <c r="O30" s="369"/>
      <c r="P30" s="407">
        <v>1.2263999999999999</v>
      </c>
      <c r="T30" s="371"/>
    </row>
    <row r="31" spans="2:20" ht="13" x14ac:dyDescent="0.3">
      <c r="B31" s="647">
        <v>2018</v>
      </c>
      <c r="C31" s="393">
        <f t="shared" si="7"/>
        <v>52362.394586699447</v>
      </c>
      <c r="D31" s="394">
        <f t="shared" si="8"/>
        <v>51842.337486627679</v>
      </c>
      <c r="E31" s="349">
        <v>29881.242970861007</v>
      </c>
      <c r="F31" s="364">
        <v>19714.482207950001</v>
      </c>
      <c r="G31" s="364">
        <v>745.40054000000009</v>
      </c>
      <c r="H31" s="395">
        <v>1501.2117678166665</v>
      </c>
      <c r="I31" s="1319"/>
      <c r="J31" s="364"/>
      <c r="K31" s="395"/>
      <c r="L31" s="1315">
        <f t="shared" si="9"/>
        <v>520.05710007177129</v>
      </c>
      <c r="M31" s="349">
        <v>108.09039607177132</v>
      </c>
      <c r="N31" s="364">
        <v>410.74030399999992</v>
      </c>
      <c r="O31" s="364"/>
      <c r="P31" s="395">
        <v>1.2263999999999999</v>
      </c>
      <c r="T31" s="371"/>
    </row>
    <row r="32" spans="2:20" ht="13" x14ac:dyDescent="0.3">
      <c r="B32" s="578">
        <v>2019</v>
      </c>
      <c r="C32" s="405">
        <f t="shared" si="7"/>
        <v>54448.591958633806</v>
      </c>
      <c r="D32" s="406">
        <f t="shared" si="8"/>
        <v>53963.239364748246</v>
      </c>
      <c r="E32" s="372">
        <v>30700.841020748237</v>
      </c>
      <c r="F32" s="369">
        <v>20845.575798000005</v>
      </c>
      <c r="G32" s="369">
        <v>763.009953</v>
      </c>
      <c r="H32" s="407">
        <v>1653.8125929999997</v>
      </c>
      <c r="I32" s="1323"/>
      <c r="J32" s="369"/>
      <c r="K32" s="407"/>
      <c r="L32" s="1318">
        <f t="shared" si="9"/>
        <v>485.35259388556244</v>
      </c>
      <c r="M32" s="372">
        <v>68.370284885562569</v>
      </c>
      <c r="N32" s="369">
        <v>415.70722199999989</v>
      </c>
      <c r="O32" s="409">
        <v>4.8687000000000001E-2</v>
      </c>
      <c r="P32" s="407">
        <v>1.2263999999999999</v>
      </c>
      <c r="T32" s="371"/>
    </row>
    <row r="33" spans="1:22" ht="13" x14ac:dyDescent="0.3">
      <c r="B33" s="647">
        <v>2020</v>
      </c>
      <c r="C33" s="393">
        <f t="shared" si="7"/>
        <v>50657.021359539765</v>
      </c>
      <c r="D33" s="394">
        <f t="shared" si="8"/>
        <v>50203.913568538403</v>
      </c>
      <c r="E33" s="349">
        <v>29837.375290538414</v>
      </c>
      <c r="F33" s="364">
        <v>17775.534458999995</v>
      </c>
      <c r="G33" s="364">
        <v>778.12811500000009</v>
      </c>
      <c r="H33" s="395">
        <v>1812.8757040000003</v>
      </c>
      <c r="I33" s="1319"/>
      <c r="J33" s="364"/>
      <c r="K33" s="395"/>
      <c r="L33" s="1315">
        <f t="shared" si="9"/>
        <v>453.10779100136199</v>
      </c>
      <c r="M33" s="349">
        <v>58.084650001362093</v>
      </c>
      <c r="N33" s="364">
        <v>393.7187239999999</v>
      </c>
      <c r="O33" s="402">
        <v>7.8016999999999989E-2</v>
      </c>
      <c r="P33" s="395">
        <v>1.2263999999999999</v>
      </c>
      <c r="T33" s="371"/>
    </row>
    <row r="34" spans="1:22" ht="13" x14ac:dyDescent="0.3">
      <c r="B34" s="578">
        <v>2021</v>
      </c>
      <c r="C34" s="405">
        <f t="shared" ref="C34" si="10">SUM(L34,I34,D34)</f>
        <v>55537.755878000004</v>
      </c>
      <c r="D34" s="406">
        <f t="shared" ref="D34" si="11">SUM(E34:H34)</f>
        <v>55051.788649000002</v>
      </c>
      <c r="E34" s="372">
        <v>31232.872494000003</v>
      </c>
      <c r="F34" s="369">
        <v>21195.947656</v>
      </c>
      <c r="G34" s="369">
        <v>801.61991000000023</v>
      </c>
      <c r="H34" s="407">
        <v>1821.3485889999999</v>
      </c>
      <c r="I34" s="1323"/>
      <c r="J34" s="369"/>
      <c r="K34" s="407"/>
      <c r="L34" s="1318">
        <f t="shared" ref="L34" si="12">SUM(M34:P34)</f>
        <v>485.96722899999975</v>
      </c>
      <c r="M34" s="372">
        <v>60.738509999999998</v>
      </c>
      <c r="N34" s="369">
        <v>423.92477599999972</v>
      </c>
      <c r="O34" s="409">
        <v>7.7543000000000001E-2</v>
      </c>
      <c r="P34" s="407">
        <v>1.2263999999999999</v>
      </c>
      <c r="T34" s="371"/>
    </row>
    <row r="35" spans="1:22" ht="13.5" thickBot="1" x14ac:dyDescent="0.35">
      <c r="B35" s="1409">
        <v>2022</v>
      </c>
      <c r="C35" s="1327">
        <f t="shared" si="7"/>
        <v>57814.458084759979</v>
      </c>
      <c r="D35" s="1328">
        <f t="shared" si="8"/>
        <v>57314.559138759978</v>
      </c>
      <c r="E35" s="1329">
        <v>29101.429722939978</v>
      </c>
      <c r="F35" s="1325">
        <v>25461.575861819994</v>
      </c>
      <c r="G35" s="1325">
        <v>820.910661</v>
      </c>
      <c r="H35" s="1326">
        <v>1930.6428930000004</v>
      </c>
      <c r="I35" s="1324"/>
      <c r="J35" s="1325"/>
      <c r="K35" s="1326"/>
      <c r="L35" s="1315">
        <f t="shared" si="9"/>
        <v>499.89894599999997</v>
      </c>
      <c r="M35" s="349">
        <v>62.917695000000002</v>
      </c>
      <c r="N35" s="364">
        <v>435.67730699999998</v>
      </c>
      <c r="O35" s="402">
        <v>7.754400000000003E-2</v>
      </c>
      <c r="P35" s="395">
        <v>1.2263999999999999</v>
      </c>
      <c r="T35" s="371"/>
    </row>
    <row r="36" spans="1:22" s="493" customFormat="1" ht="19.149999999999999" customHeight="1" x14ac:dyDescent="0.25">
      <c r="A36" s="492"/>
      <c r="B36" s="871" t="s">
        <v>161</v>
      </c>
      <c r="C36" s="410">
        <f t="shared" ref="C36:H36" si="13">(C35/C34)-1</f>
        <v>4.0993773888905682E-2</v>
      </c>
      <c r="D36" s="411">
        <f t="shared" si="13"/>
        <v>4.1102578958641667E-2</v>
      </c>
      <c r="E36" s="412">
        <f t="shared" si="13"/>
        <v>-6.8243571623759158E-2</v>
      </c>
      <c r="F36" s="412">
        <f t="shared" si="13"/>
        <v>0.20124734572141256</v>
      </c>
      <c r="G36" s="412">
        <f t="shared" si="13"/>
        <v>2.4064710418681745E-2</v>
      </c>
      <c r="H36" s="990">
        <f t="shared" si="13"/>
        <v>6.0007350959657701E-2</v>
      </c>
      <c r="I36" s="872"/>
      <c r="J36" s="873"/>
      <c r="K36" s="874"/>
      <c r="L36" s="814">
        <f>(L35/L34)-1</f>
        <v>2.8668017447736727E-2</v>
      </c>
      <c r="M36" s="1154">
        <f>(M35/M34)-1</f>
        <v>3.5878143866222567E-2</v>
      </c>
      <c r="N36" s="1154">
        <f>(N35/N34)-1</f>
        <v>2.7723151996193574E-2</v>
      </c>
      <c r="O36" s="1154">
        <f>(O35/O34)-1</f>
        <v>1.28960705676473E-5</v>
      </c>
      <c r="P36" s="1164">
        <f>(P35/P34)-1</f>
        <v>0</v>
      </c>
    </row>
    <row r="37" spans="1:22" s="493" customFormat="1" ht="19.149999999999999" customHeight="1" x14ac:dyDescent="0.25">
      <c r="A37" s="492"/>
      <c r="B37" s="876" t="s">
        <v>162</v>
      </c>
      <c r="C37" s="413">
        <f t="shared" ref="C37:H37" si="14">((C35/C30)^(1/5))-1</f>
        <v>2.8054789164275951E-2</v>
      </c>
      <c r="D37" s="414">
        <f t="shared" si="14"/>
        <v>2.8413875914374387E-2</v>
      </c>
      <c r="E37" s="415">
        <f t="shared" si="14"/>
        <v>5.6758350065078123E-3</v>
      </c>
      <c r="F37" s="415">
        <f t="shared" si="14"/>
        <v>4.7659640261485725E-2</v>
      </c>
      <c r="G37" s="415">
        <f t="shared" si="14"/>
        <v>0.2337358603053552</v>
      </c>
      <c r="H37" s="416">
        <f t="shared" si="14"/>
        <v>0.12482446624164911</v>
      </c>
      <c r="I37" s="872"/>
      <c r="J37" s="872"/>
      <c r="K37" s="874"/>
      <c r="L37" s="831">
        <f>((L35/L30)^(1/5))-1</f>
        <v>-8.7611524205601921E-3</v>
      </c>
      <c r="M37" s="796">
        <f>((M35/M30)^(1/5))-1</f>
        <v>-9.4889992331008921E-2</v>
      </c>
      <c r="N37" s="1181">
        <f>((N35/N30)^(1/5))-1</f>
        <v>8.5208008491952647E-3</v>
      </c>
      <c r="O37" s="796"/>
      <c r="P37" s="798">
        <f>((P35/P30)^(1/5))-1</f>
        <v>0</v>
      </c>
    </row>
    <row r="38" spans="1:22" s="493" customFormat="1" ht="19.149999999999999" customHeight="1" x14ac:dyDescent="0.25">
      <c r="A38" s="492"/>
      <c r="B38" s="437" t="s">
        <v>163</v>
      </c>
      <c r="C38" s="261">
        <f>(C35/C25)-1</f>
        <v>0.5071143574155812</v>
      </c>
      <c r="D38" s="417">
        <f>(D35/D25)-1</f>
        <v>0.51280224123362528</v>
      </c>
      <c r="E38" s="418">
        <f>(E35/E25)-1</f>
        <v>0.36455672986730581</v>
      </c>
      <c r="F38" s="418">
        <f>(F35/F25)-1</f>
        <v>0.54312438180932321</v>
      </c>
      <c r="G38" s="418">
        <f>(G35/G25)-1</f>
        <v>12.754517074537564</v>
      </c>
      <c r="H38" s="419"/>
      <c r="I38" s="872"/>
      <c r="J38" s="873"/>
      <c r="K38" s="874"/>
      <c r="L38" s="824">
        <f>(L35/L25)-1</f>
        <v>5.313556005521658E-2</v>
      </c>
      <c r="M38" s="1158">
        <f>(M35/M25)-1</f>
        <v>-0.61671382075694969</v>
      </c>
      <c r="N38" s="1158">
        <f>(N35/N25)-1</f>
        <v>0.4086049202245472</v>
      </c>
      <c r="O38" s="1158"/>
      <c r="P38" s="1159">
        <f>(P35/P25)-1</f>
        <v>0</v>
      </c>
      <c r="S38" s="1646"/>
      <c r="T38" s="1646"/>
      <c r="U38" s="1646"/>
      <c r="V38" s="1646"/>
    </row>
    <row r="39" spans="1:22" s="493" customFormat="1" ht="19.149999999999999" customHeight="1" thickBot="1" x14ac:dyDescent="0.3">
      <c r="A39" s="492"/>
      <c r="B39" s="879" t="s">
        <v>164</v>
      </c>
      <c r="C39" s="420">
        <f>((C35/C25)^(1/10))-1</f>
        <v>4.1872609492142665E-2</v>
      </c>
      <c r="D39" s="421">
        <f>((D35/D25)^(1/10))-1</f>
        <v>4.2265148389083684E-2</v>
      </c>
      <c r="E39" s="422">
        <f>((E35/E25)^(1/10))-1</f>
        <v>3.1571083174159131E-2</v>
      </c>
      <c r="F39" s="422">
        <f>((F35/F25)^(1/10))-1</f>
        <v>4.4335625385198085E-2</v>
      </c>
      <c r="G39" s="422">
        <f>((G35/G25)^(1/10))-1</f>
        <v>0.29970423684971204</v>
      </c>
      <c r="H39" s="423"/>
      <c r="I39" s="873"/>
      <c r="J39" s="873"/>
      <c r="K39" s="874"/>
      <c r="L39" s="827">
        <f>((L35/L25)^(1/10))-1</f>
        <v>5.1906210238938932E-3</v>
      </c>
      <c r="M39" s="1162">
        <f>((M35/M25)^(1/10))-1</f>
        <v>-9.1442713005373877E-2</v>
      </c>
      <c r="N39" s="1162">
        <f>((N35/N25)^(1/10))-1</f>
        <v>3.4853612619156538E-2</v>
      </c>
      <c r="O39" s="1162"/>
      <c r="P39" s="1163">
        <f>((P35/P25)^(1/10))-1</f>
        <v>0</v>
      </c>
      <c r="S39" s="1640" t="s">
        <v>39</v>
      </c>
      <c r="T39" s="1640" t="s">
        <v>81</v>
      </c>
      <c r="U39" s="1640" t="s">
        <v>84</v>
      </c>
      <c r="V39" s="1646"/>
    </row>
    <row r="40" spans="1:22" s="333" customFormat="1" x14ac:dyDescent="0.25">
      <c r="B40" s="389"/>
      <c r="S40" s="1640">
        <v>1995</v>
      </c>
      <c r="T40" s="1647">
        <f>+D7+I7</f>
        <v>12426.869202999998</v>
      </c>
      <c r="U40" s="1647">
        <f>+L7</f>
        <v>679.443894</v>
      </c>
      <c r="V40" s="1640"/>
    </row>
    <row r="41" spans="1:22" s="333" customFormat="1" x14ac:dyDescent="0.25">
      <c r="B41" s="424"/>
      <c r="S41" s="1640">
        <v>2000</v>
      </c>
      <c r="T41" s="1647">
        <f>+D12+I12</f>
        <v>17727.811135</v>
      </c>
      <c r="U41" s="1647">
        <f>+L12</f>
        <v>600.0865839999999</v>
      </c>
      <c r="V41" s="1640"/>
    </row>
    <row r="42" spans="1:22" s="333" customFormat="1" x14ac:dyDescent="0.25">
      <c r="B42" s="380"/>
      <c r="J42" s="425"/>
      <c r="S42" s="1640">
        <v>2001</v>
      </c>
      <c r="T42" s="1640">
        <v>18630.491470999998</v>
      </c>
      <c r="U42" s="1640">
        <v>584.01517100000001</v>
      </c>
      <c r="V42" s="1640"/>
    </row>
    <row r="43" spans="1:22" s="333" customFormat="1" x14ac:dyDescent="0.25">
      <c r="B43" s="380"/>
      <c r="J43" s="425"/>
      <c r="S43" s="1640">
        <v>2002</v>
      </c>
      <c r="T43" s="1640">
        <v>19906.120506000003</v>
      </c>
      <c r="U43" s="1640">
        <v>513.38816700000007</v>
      </c>
      <c r="V43" s="1640"/>
    </row>
    <row r="44" spans="1:22" s="333" customFormat="1" x14ac:dyDescent="0.25">
      <c r="B44" s="380"/>
      <c r="J44" s="425"/>
      <c r="S44" s="1640">
        <v>2003</v>
      </c>
      <c r="T44" s="1640">
        <v>20890.822373999996</v>
      </c>
      <c r="U44" s="1640">
        <v>470.64055600000029</v>
      </c>
      <c r="V44" s="1640"/>
    </row>
    <row r="45" spans="1:22" s="333" customFormat="1" x14ac:dyDescent="0.25">
      <c r="B45" s="380"/>
      <c r="J45" s="425"/>
      <c r="S45" s="1640">
        <v>2004</v>
      </c>
      <c r="T45" s="1640">
        <v>22091.989912000005</v>
      </c>
      <c r="U45" s="1640">
        <v>527.94887900000003</v>
      </c>
      <c r="V45" s="1640"/>
    </row>
    <row r="46" spans="1:22" s="333" customFormat="1" x14ac:dyDescent="0.25">
      <c r="B46" s="380"/>
      <c r="J46" s="425"/>
      <c r="S46" s="1640">
        <v>2005</v>
      </c>
      <c r="T46" s="1640">
        <v>23233.479606792749</v>
      </c>
      <c r="U46" s="1640">
        <v>577.39533800000004</v>
      </c>
      <c r="V46" s="1640"/>
    </row>
    <row r="47" spans="1:22" s="333" customFormat="1" x14ac:dyDescent="0.25">
      <c r="B47" s="380"/>
      <c r="J47" s="425"/>
      <c r="S47" s="1640">
        <v>2006</v>
      </c>
      <c r="T47" s="1640">
        <v>25037.083984958583</v>
      </c>
      <c r="U47" s="1640">
        <v>576.67980499999999</v>
      </c>
      <c r="V47" s="1640"/>
    </row>
    <row r="48" spans="1:22" s="333" customFormat="1" x14ac:dyDescent="0.25">
      <c r="B48" s="380"/>
      <c r="J48" s="425"/>
      <c r="S48" s="1640">
        <v>2007</v>
      </c>
      <c r="T48" s="1640">
        <v>27593.789342340002</v>
      </c>
      <c r="U48" s="1640">
        <v>606.70174800000007</v>
      </c>
      <c r="V48" s="1640"/>
    </row>
    <row r="49" spans="2:22" s="333" customFormat="1" x14ac:dyDescent="0.25">
      <c r="B49" s="380"/>
      <c r="J49" s="425"/>
      <c r="S49" s="1640">
        <v>2008</v>
      </c>
      <c r="T49" s="1640">
        <v>29905.853190999998</v>
      </c>
      <c r="U49" s="1640">
        <v>668.8580649999999</v>
      </c>
      <c r="V49" s="1640"/>
    </row>
    <row r="50" spans="2:22" s="333" customFormat="1" x14ac:dyDescent="0.25">
      <c r="B50" s="380"/>
      <c r="J50" s="425"/>
      <c r="S50" s="1640">
        <v>2009</v>
      </c>
      <c r="T50" s="1640">
        <v>30289.076649000002</v>
      </c>
      <c r="U50" s="1640">
        <v>632.82613400000002</v>
      </c>
      <c r="V50" s="1640"/>
    </row>
    <row r="51" spans="2:22" s="333" customFormat="1" x14ac:dyDescent="0.25">
      <c r="B51" s="380"/>
      <c r="J51" s="425"/>
      <c r="S51" s="1640">
        <v>2010</v>
      </c>
      <c r="T51" s="1640">
        <v>33073.914225</v>
      </c>
      <c r="U51" s="1640">
        <v>471.90158220000001</v>
      </c>
      <c r="V51" s="1640"/>
    </row>
    <row r="52" spans="2:22" s="333" customFormat="1" x14ac:dyDescent="0.25">
      <c r="B52" s="380"/>
      <c r="J52" s="425"/>
      <c r="S52" s="1640">
        <v>2011</v>
      </c>
      <c r="T52" s="1640">
        <v>35769.459710000003</v>
      </c>
      <c r="U52" s="1640">
        <v>479.07258023523991</v>
      </c>
      <c r="V52" s="1640"/>
    </row>
    <row r="53" spans="2:22" s="333" customFormat="1" x14ac:dyDescent="0.25">
      <c r="B53" s="380"/>
      <c r="J53" s="425"/>
      <c r="S53" s="1640">
        <v>2012</v>
      </c>
      <c r="T53" s="1640">
        <v>37886.352608799956</v>
      </c>
      <c r="U53" s="1640">
        <v>474.67673200000002</v>
      </c>
      <c r="V53" s="1640"/>
    </row>
    <row r="54" spans="2:22" s="333" customFormat="1" x14ac:dyDescent="0.25">
      <c r="B54" s="380"/>
      <c r="J54" s="425"/>
      <c r="S54" s="1640">
        <v>2013</v>
      </c>
      <c r="T54" s="1640">
        <v>40158.779292273408</v>
      </c>
      <c r="U54" s="1640">
        <v>505.88712690555536</v>
      </c>
      <c r="V54" s="1640"/>
    </row>
    <row r="55" spans="2:22" s="333" customFormat="1" x14ac:dyDescent="0.25">
      <c r="B55" s="380"/>
      <c r="J55" s="425"/>
      <c r="S55" s="1640">
        <v>2014</v>
      </c>
      <c r="T55" s="1640">
        <v>42313.748256544015</v>
      </c>
      <c r="U55" s="1640">
        <v>532.49947257699353</v>
      </c>
      <c r="V55" s="1640"/>
    </row>
    <row r="56" spans="2:22" s="333" customFormat="1" x14ac:dyDescent="0.25">
      <c r="B56" s="380"/>
      <c r="J56" s="425"/>
      <c r="S56" s="1640">
        <v>2015</v>
      </c>
      <c r="T56" s="1640">
        <v>45130.706744322175</v>
      </c>
      <c r="U56" s="1640">
        <v>580.6811330634921</v>
      </c>
      <c r="V56" s="1640"/>
    </row>
    <row r="57" spans="2:22" s="333" customFormat="1" x14ac:dyDescent="0.25">
      <c r="B57" s="380"/>
      <c r="J57" s="425"/>
      <c r="S57" s="1640">
        <v>2016</v>
      </c>
      <c r="T57" s="1640">
        <v>48912.137763786697</v>
      </c>
      <c r="U57" s="1640">
        <v>621.94314699999995</v>
      </c>
      <c r="V57" s="1640"/>
    </row>
    <row r="58" spans="2:22" s="333" customFormat="1" x14ac:dyDescent="0.25">
      <c r="B58" s="380"/>
      <c r="J58" s="425"/>
      <c r="S58" s="1640">
        <v>2017</v>
      </c>
      <c r="T58" s="1640">
        <v>49822.47724177652</v>
      </c>
      <c r="U58" s="1640">
        <v>522.38494300000002</v>
      </c>
      <c r="V58" s="1640"/>
    </row>
    <row r="59" spans="2:22" s="333" customFormat="1" x14ac:dyDescent="0.25">
      <c r="B59" s="380"/>
      <c r="J59" s="425"/>
      <c r="S59" s="1640">
        <v>2018</v>
      </c>
      <c r="T59" s="1640">
        <v>51842.337486627679</v>
      </c>
      <c r="U59" s="1640">
        <v>520.05710007177129</v>
      </c>
      <c r="V59" s="1640"/>
    </row>
    <row r="60" spans="2:22" s="333" customFormat="1" x14ac:dyDescent="0.25">
      <c r="B60" s="380"/>
      <c r="J60" s="425"/>
      <c r="S60" s="1640">
        <v>2019</v>
      </c>
      <c r="T60" s="1640">
        <v>53963.239364748246</v>
      </c>
      <c r="U60" s="1640">
        <v>485.35259388556244</v>
      </c>
      <c r="V60" s="1640"/>
    </row>
    <row r="61" spans="2:22" s="333" customFormat="1" x14ac:dyDescent="0.25">
      <c r="B61" s="380"/>
      <c r="J61" s="425"/>
      <c r="S61" s="1640">
        <v>2020</v>
      </c>
      <c r="T61" s="1640">
        <v>50203.913568538403</v>
      </c>
      <c r="U61" s="1640">
        <v>453.10779100136199</v>
      </c>
      <c r="V61" s="1640"/>
    </row>
    <row r="62" spans="2:22" s="333" customFormat="1" x14ac:dyDescent="0.25">
      <c r="B62" s="380"/>
      <c r="J62" s="425"/>
      <c r="S62" s="1640">
        <v>2021</v>
      </c>
      <c r="T62" s="1640">
        <v>55051.788649000002</v>
      </c>
      <c r="U62" s="1640">
        <v>485.96722899999975</v>
      </c>
      <c r="V62" s="1640"/>
    </row>
    <row r="63" spans="2:22" s="333" customFormat="1" x14ac:dyDescent="0.25">
      <c r="B63" s="380"/>
      <c r="J63" s="425"/>
      <c r="S63" s="1640">
        <v>2022</v>
      </c>
      <c r="T63" s="1640">
        <v>57314.559138759978</v>
      </c>
      <c r="U63" s="1640">
        <v>499.89894599999997</v>
      </c>
      <c r="V63" s="1640"/>
    </row>
    <row r="64" spans="2:22" s="333" customFormat="1" x14ac:dyDescent="0.25">
      <c r="B64" s="380"/>
      <c r="J64" s="425"/>
    </row>
    <row r="65" spans="2:20" s="333" customFormat="1" x14ac:dyDescent="0.25">
      <c r="B65" s="380"/>
      <c r="J65" s="425"/>
    </row>
    <row r="66" spans="2:20" s="333" customFormat="1" x14ac:dyDescent="0.25">
      <c r="B66" s="380"/>
      <c r="J66" s="425"/>
    </row>
    <row r="67" spans="2:20" s="333" customFormat="1" x14ac:dyDescent="0.25">
      <c r="B67" s="380"/>
      <c r="J67" s="425"/>
    </row>
    <row r="68" spans="2:20" s="333" customFormat="1" x14ac:dyDescent="0.25">
      <c r="B68" s="380"/>
      <c r="J68" s="425"/>
    </row>
    <row r="69" spans="2:20" s="333" customFormat="1" x14ac:dyDescent="0.25">
      <c r="B69" s="380"/>
      <c r="J69" s="425"/>
    </row>
    <row r="70" spans="2:20" s="333" customFormat="1" x14ac:dyDescent="0.25">
      <c r="B70" s="380"/>
      <c r="J70" s="425"/>
    </row>
    <row r="71" spans="2:20" s="333" customFormat="1" ht="15.5" x14ac:dyDescent="0.35">
      <c r="B71" s="391" t="s">
        <v>203</v>
      </c>
      <c r="Q71" s="426"/>
    </row>
    <row r="72" spans="2:20" s="333" customFormat="1" ht="13" x14ac:dyDescent="0.3">
      <c r="B72" s="392"/>
      <c r="Q72" s="426"/>
    </row>
    <row r="73" spans="2:20" s="333" customFormat="1" ht="13.5" thickBot="1" x14ac:dyDescent="0.35">
      <c r="B73" s="392"/>
      <c r="Q73" s="426"/>
    </row>
    <row r="74" spans="2:20" ht="14.5" thickBot="1" x14ac:dyDescent="0.35">
      <c r="B74" s="1537" t="s">
        <v>39</v>
      </c>
      <c r="C74" s="1539" t="s">
        <v>53</v>
      </c>
      <c r="D74" s="1526" t="s">
        <v>87</v>
      </c>
      <c r="E74" s="1527"/>
      <c r="F74" s="1528"/>
      <c r="G74" s="1526" t="s">
        <v>101</v>
      </c>
      <c r="H74" s="1529"/>
      <c r="I74" s="1530"/>
      <c r="J74" s="1531" t="s">
        <v>102</v>
      </c>
      <c r="K74" s="1532"/>
      <c r="L74" s="1533"/>
      <c r="N74" s="316"/>
      <c r="O74" s="316"/>
      <c r="Q74" s="427"/>
    </row>
    <row r="75" spans="2:20" ht="13.5" thickBot="1" x14ac:dyDescent="0.35">
      <c r="B75" s="1538"/>
      <c r="C75" s="1540"/>
      <c r="D75" s="1078" t="s">
        <v>53</v>
      </c>
      <c r="E75" s="1079" t="s">
        <v>90</v>
      </c>
      <c r="F75" s="1080" t="s">
        <v>91</v>
      </c>
      <c r="G75" s="1081" t="s">
        <v>53</v>
      </c>
      <c r="H75" s="1082" t="s">
        <v>90</v>
      </c>
      <c r="I75" s="1083" t="s">
        <v>91</v>
      </c>
      <c r="J75" s="1084" t="s">
        <v>53</v>
      </c>
      <c r="K75" s="1080" t="s">
        <v>90</v>
      </c>
      <c r="L75" s="1085" t="s">
        <v>91</v>
      </c>
      <c r="Q75" s="427"/>
    </row>
    <row r="76" spans="2:20" ht="13" x14ac:dyDescent="0.3">
      <c r="B76" s="647">
        <v>1995</v>
      </c>
      <c r="C76" s="428">
        <f t="shared" ref="C76:C81" si="15">SUM(J76,G76,D76)</f>
        <v>3773.801504</v>
      </c>
      <c r="D76" s="394">
        <f t="shared" ref="D76:D81" si="16">SUM(E76:F76)</f>
        <v>1270.529284</v>
      </c>
      <c r="E76" s="349">
        <v>1027.315891</v>
      </c>
      <c r="F76" s="349">
        <v>243.213393</v>
      </c>
      <c r="G76" s="396">
        <f t="shared" ref="G76:G81" si="17">SUM(H76:I76)</f>
        <v>877.15221099999997</v>
      </c>
      <c r="H76" s="349">
        <v>0</v>
      </c>
      <c r="I76" s="352">
        <v>877.15221099999997</v>
      </c>
      <c r="J76" s="396">
        <f t="shared" ref="J76:J81" si="18">SUM(K76:P76)</f>
        <v>1626.1200090000002</v>
      </c>
      <c r="K76" s="349">
        <v>369.64724100000001</v>
      </c>
      <c r="L76" s="352">
        <v>1256.4727680000001</v>
      </c>
      <c r="Q76" s="427"/>
      <c r="T76" s="371"/>
    </row>
    <row r="77" spans="2:20" ht="13" x14ac:dyDescent="0.3">
      <c r="B77" s="446">
        <v>1996</v>
      </c>
      <c r="C77" s="429">
        <f t="shared" si="15"/>
        <v>3972.2352719999999</v>
      </c>
      <c r="D77" s="399">
        <f t="shared" si="16"/>
        <v>1430.1662900000001</v>
      </c>
      <c r="E77" s="340">
        <v>1099.0126700000001</v>
      </c>
      <c r="F77" s="340">
        <v>331.15361999999999</v>
      </c>
      <c r="G77" s="401">
        <f t="shared" si="17"/>
        <v>940.08170900000005</v>
      </c>
      <c r="H77" s="340">
        <v>0</v>
      </c>
      <c r="I77" s="342">
        <v>940.08170900000005</v>
      </c>
      <c r="J77" s="401">
        <f t="shared" si="18"/>
        <v>1601.987273</v>
      </c>
      <c r="K77" s="340">
        <v>376.63403099999999</v>
      </c>
      <c r="L77" s="342">
        <v>1225.3532419999999</v>
      </c>
      <c r="Q77" s="427"/>
      <c r="T77" s="371"/>
    </row>
    <row r="78" spans="2:20" ht="13" x14ac:dyDescent="0.3">
      <c r="B78" s="647">
        <v>1997</v>
      </c>
      <c r="C78" s="428">
        <f t="shared" si="15"/>
        <v>2604.8506989999996</v>
      </c>
      <c r="D78" s="394">
        <f t="shared" si="16"/>
        <v>843.99114299999997</v>
      </c>
      <c r="E78" s="349">
        <v>569.31736999999998</v>
      </c>
      <c r="F78" s="349">
        <v>274.67377299999998</v>
      </c>
      <c r="G78" s="396">
        <f t="shared" si="17"/>
        <v>293.17555299999998</v>
      </c>
      <c r="H78" s="349">
        <v>0</v>
      </c>
      <c r="I78" s="352">
        <v>293.17555299999998</v>
      </c>
      <c r="J78" s="396">
        <f t="shared" si="18"/>
        <v>1467.6840029999998</v>
      </c>
      <c r="K78" s="349">
        <v>380.420322</v>
      </c>
      <c r="L78" s="352">
        <v>1087.2636809999999</v>
      </c>
      <c r="Q78" s="427"/>
      <c r="T78" s="371"/>
    </row>
    <row r="79" spans="2:20" ht="13" x14ac:dyDescent="0.3">
      <c r="B79" s="446">
        <v>1998</v>
      </c>
      <c r="C79" s="429">
        <f t="shared" si="15"/>
        <v>1766.601999</v>
      </c>
      <c r="D79" s="399">
        <f t="shared" si="16"/>
        <v>197.56012199999998</v>
      </c>
      <c r="E79" s="340">
        <v>74.993200999999999</v>
      </c>
      <c r="F79" s="340">
        <v>122.56692099999999</v>
      </c>
      <c r="G79" s="401">
        <f t="shared" si="17"/>
        <v>41.555376000000003</v>
      </c>
      <c r="H79" s="340">
        <v>0</v>
      </c>
      <c r="I79" s="342">
        <v>41.555376000000003</v>
      </c>
      <c r="J79" s="401">
        <f t="shared" si="18"/>
        <v>1527.4865010000001</v>
      </c>
      <c r="K79" s="340">
        <v>366.09816000000001</v>
      </c>
      <c r="L79" s="342">
        <v>1161.3883410000001</v>
      </c>
      <c r="Q79" s="427"/>
      <c r="T79" s="371"/>
    </row>
    <row r="80" spans="2:20" ht="13" x14ac:dyDescent="0.3">
      <c r="B80" s="647">
        <v>1999</v>
      </c>
      <c r="C80" s="428">
        <f t="shared" si="15"/>
        <v>1683.3955189999999</v>
      </c>
      <c r="D80" s="394">
        <f t="shared" si="16"/>
        <v>125.634122</v>
      </c>
      <c r="E80" s="349">
        <v>87.286845</v>
      </c>
      <c r="F80" s="349">
        <v>38.347277000000005</v>
      </c>
      <c r="G80" s="396">
        <f t="shared" si="17"/>
        <v>67.499396000000019</v>
      </c>
      <c r="H80" s="349">
        <v>0</v>
      </c>
      <c r="I80" s="352">
        <v>67.499396000000019</v>
      </c>
      <c r="J80" s="396">
        <f t="shared" si="18"/>
        <v>1490.2620010000001</v>
      </c>
      <c r="K80" s="349">
        <v>342.70241400000003</v>
      </c>
      <c r="L80" s="352">
        <v>1147.559587</v>
      </c>
      <c r="Q80" s="427"/>
      <c r="T80" s="371"/>
    </row>
    <row r="81" spans="2:20" ht="13" x14ac:dyDescent="0.3">
      <c r="B81" s="446">
        <v>2000</v>
      </c>
      <c r="C81" s="429">
        <f t="shared" si="15"/>
        <v>1594.7996189999992</v>
      </c>
      <c r="D81" s="399">
        <f t="shared" si="16"/>
        <v>118.63759300000001</v>
      </c>
      <c r="E81" s="340">
        <v>83.763085000000004</v>
      </c>
      <c r="F81" s="340">
        <v>34.874507999999999</v>
      </c>
      <c r="G81" s="401">
        <f t="shared" si="17"/>
        <v>24.489265</v>
      </c>
      <c r="H81" s="340">
        <v>0</v>
      </c>
      <c r="I81" s="342">
        <v>24.489265</v>
      </c>
      <c r="J81" s="401">
        <f t="shared" si="18"/>
        <v>1451.6727609999994</v>
      </c>
      <c r="K81" s="340">
        <v>344.96501599999999</v>
      </c>
      <c r="L81" s="342">
        <v>1106.7077449999995</v>
      </c>
      <c r="Q81" s="427"/>
      <c r="T81" s="371"/>
    </row>
    <row r="82" spans="2:20" ht="13" x14ac:dyDescent="0.3">
      <c r="B82" s="446"/>
      <c r="C82" s="430"/>
      <c r="D82" s="1541" t="s">
        <v>81</v>
      </c>
      <c r="E82" s="1542"/>
      <c r="F82" s="1543"/>
      <c r="G82" s="432"/>
      <c r="H82" s="431"/>
      <c r="I82" s="433"/>
      <c r="J82" s="1312"/>
      <c r="K82" s="1330"/>
      <c r="L82" s="1331"/>
      <c r="Q82" s="427"/>
      <c r="T82" s="371"/>
    </row>
    <row r="83" spans="2:20" ht="13" x14ac:dyDescent="0.3">
      <c r="B83" s="446">
        <v>2001</v>
      </c>
      <c r="C83" s="429">
        <f t="shared" ref="C83:C104" si="19">SUM(J83,G83,D83)</f>
        <v>1571.2188929999995</v>
      </c>
      <c r="D83" s="399">
        <f t="shared" ref="D83:D95" si="20">SUM(E83:F83)</f>
        <v>124.09112300000001</v>
      </c>
      <c r="E83" s="340">
        <v>84.443455</v>
      </c>
      <c r="F83" s="340">
        <v>39.647668000000003</v>
      </c>
      <c r="G83" s="401"/>
      <c r="H83" s="340"/>
      <c r="I83" s="342"/>
      <c r="J83" s="401">
        <f>SUM(K83:L83)</f>
        <v>1447.1277699999996</v>
      </c>
      <c r="K83" s="340">
        <v>341.98597100000001</v>
      </c>
      <c r="L83" s="342">
        <v>1105.1417989999995</v>
      </c>
      <c r="O83" s="371"/>
      <c r="P83" s="371"/>
      <c r="Q83" s="427"/>
      <c r="T83" s="371"/>
    </row>
    <row r="84" spans="2:20" ht="13" x14ac:dyDescent="0.3">
      <c r="B84" s="647">
        <v>2002</v>
      </c>
      <c r="C84" s="428">
        <f t="shared" si="19"/>
        <v>1562.8144990000035</v>
      </c>
      <c r="D84" s="394">
        <f t="shared" si="20"/>
        <v>111.76104100000001</v>
      </c>
      <c r="E84" s="349">
        <v>79.732799999999997</v>
      </c>
      <c r="F84" s="349">
        <v>32.028241000000001</v>
      </c>
      <c r="G84" s="396"/>
      <c r="H84" s="349"/>
      <c r="I84" s="352"/>
      <c r="J84" s="396">
        <f t="shared" ref="J84:J104" si="21">SUM(K84:L84)</f>
        <v>1451.0534580000035</v>
      </c>
      <c r="K84" s="349">
        <v>322.23687700000011</v>
      </c>
      <c r="L84" s="352">
        <v>1128.8165810000035</v>
      </c>
      <c r="O84" s="371"/>
      <c r="P84" s="371"/>
      <c r="Q84" s="427"/>
      <c r="T84" s="371"/>
    </row>
    <row r="85" spans="2:20" ht="13" x14ac:dyDescent="0.3">
      <c r="B85" s="446">
        <v>2003</v>
      </c>
      <c r="C85" s="429">
        <f t="shared" si="19"/>
        <v>1561.8909440000034</v>
      </c>
      <c r="D85" s="399">
        <f t="shared" si="20"/>
        <v>107.96116799999999</v>
      </c>
      <c r="E85" s="340">
        <v>84.235219999999998</v>
      </c>
      <c r="F85" s="340">
        <v>23.725947999999992</v>
      </c>
      <c r="G85" s="401"/>
      <c r="H85" s="340"/>
      <c r="I85" s="342"/>
      <c r="J85" s="401">
        <f t="shared" si="21"/>
        <v>1453.9297760000034</v>
      </c>
      <c r="K85" s="340">
        <v>331.15250300000002</v>
      </c>
      <c r="L85" s="342">
        <v>1122.7772730000033</v>
      </c>
      <c r="O85" s="371"/>
      <c r="P85" s="371"/>
      <c r="Q85" s="427"/>
      <c r="T85" s="371"/>
    </row>
    <row r="86" spans="2:20" ht="13" x14ac:dyDescent="0.3">
      <c r="B86" s="647">
        <v>2004</v>
      </c>
      <c r="C86" s="428">
        <f t="shared" si="19"/>
        <v>1647.0732800000001</v>
      </c>
      <c r="D86" s="394">
        <f t="shared" si="20"/>
        <v>195.99345399999999</v>
      </c>
      <c r="E86" s="349">
        <f>83.166636+21.92833</f>
        <v>105.094966</v>
      </c>
      <c r="F86" s="349">
        <v>90.898487999999986</v>
      </c>
      <c r="G86" s="396"/>
      <c r="H86" s="349"/>
      <c r="I86" s="352"/>
      <c r="J86" s="396">
        <f t="shared" si="21"/>
        <v>1451.0798260000001</v>
      </c>
      <c r="K86" s="349">
        <v>319.579362</v>
      </c>
      <c r="L86" s="352">
        <v>1131.5004640000002</v>
      </c>
      <c r="O86" s="371"/>
      <c r="P86" s="371"/>
      <c r="Q86" s="427"/>
      <c r="T86" s="371"/>
    </row>
    <row r="87" spans="2:20" ht="13" x14ac:dyDescent="0.3">
      <c r="B87" s="446">
        <v>2005</v>
      </c>
      <c r="C87" s="429">
        <f t="shared" si="19"/>
        <v>1698.8618702072531</v>
      </c>
      <c r="D87" s="399">
        <f t="shared" si="20"/>
        <v>200.13015520724974</v>
      </c>
      <c r="E87" s="340">
        <v>98.790226207249759</v>
      </c>
      <c r="F87" s="340">
        <v>101.33992899999998</v>
      </c>
      <c r="G87" s="401"/>
      <c r="H87" s="340"/>
      <c r="I87" s="342"/>
      <c r="J87" s="401">
        <f t="shared" si="21"/>
        <v>1498.7317150000033</v>
      </c>
      <c r="K87" s="340">
        <v>311.09773200000001</v>
      </c>
      <c r="L87" s="342">
        <v>1187.6339830000034</v>
      </c>
      <c r="O87" s="371"/>
      <c r="P87" s="371"/>
      <c r="Q87" s="427"/>
      <c r="T87" s="371"/>
    </row>
    <row r="88" spans="2:20" ht="13" x14ac:dyDescent="0.3">
      <c r="B88" s="647">
        <v>2006</v>
      </c>
      <c r="C88" s="428">
        <f t="shared" si="19"/>
        <v>1756.0649376214139</v>
      </c>
      <c r="D88" s="394">
        <f t="shared" si="20"/>
        <v>220.09659204141394</v>
      </c>
      <c r="E88" s="349">
        <v>111.35824504141392</v>
      </c>
      <c r="F88" s="349">
        <v>108.738347</v>
      </c>
      <c r="G88" s="396"/>
      <c r="H88" s="349"/>
      <c r="I88" s="352"/>
      <c r="J88" s="396">
        <f t="shared" si="21"/>
        <v>1535.96834558</v>
      </c>
      <c r="K88" s="349">
        <v>322.23727599999995</v>
      </c>
      <c r="L88" s="352">
        <v>1213.7310695800002</v>
      </c>
      <c r="O88" s="371"/>
      <c r="P88" s="371"/>
      <c r="Q88" s="427"/>
      <c r="T88" s="371"/>
    </row>
    <row r="89" spans="2:20" ht="13" x14ac:dyDescent="0.3">
      <c r="B89" s="446">
        <v>2007</v>
      </c>
      <c r="C89" s="429">
        <f t="shared" si="19"/>
        <v>1742.5560516600003</v>
      </c>
      <c r="D89" s="399">
        <f t="shared" si="20"/>
        <v>212.42324065999998</v>
      </c>
      <c r="E89" s="340">
        <v>99.219097660000003</v>
      </c>
      <c r="F89" s="340">
        <v>113.20414299999999</v>
      </c>
      <c r="G89" s="401"/>
      <c r="H89" s="340"/>
      <c r="I89" s="342"/>
      <c r="J89" s="401">
        <f t="shared" si="21"/>
        <v>1530.1328110000004</v>
      </c>
      <c r="K89" s="340">
        <v>342.36895600000003</v>
      </c>
      <c r="L89" s="342">
        <v>1187.7638550000004</v>
      </c>
      <c r="O89" s="371"/>
      <c r="P89" s="371"/>
      <c r="Q89" s="427"/>
      <c r="T89" s="371"/>
    </row>
    <row r="90" spans="2:20" ht="13" x14ac:dyDescent="0.3">
      <c r="B90" s="647">
        <v>2008</v>
      </c>
      <c r="C90" s="428">
        <f t="shared" si="19"/>
        <v>1888.395027</v>
      </c>
      <c r="D90" s="394">
        <f t="shared" si="20"/>
        <v>197.74225100000001</v>
      </c>
      <c r="E90" s="349">
        <v>79.992671000000001</v>
      </c>
      <c r="F90" s="349">
        <v>117.74958000000001</v>
      </c>
      <c r="G90" s="396"/>
      <c r="H90" s="349"/>
      <c r="I90" s="352"/>
      <c r="J90" s="396">
        <f t="shared" si="21"/>
        <v>1690.6527759999999</v>
      </c>
      <c r="K90" s="349">
        <v>371.83297100000004</v>
      </c>
      <c r="L90" s="352">
        <v>1318.8198049999999</v>
      </c>
      <c r="O90" s="371"/>
      <c r="P90" s="371"/>
      <c r="Q90" s="427"/>
      <c r="T90" s="371"/>
    </row>
    <row r="91" spans="2:20" ht="13" x14ac:dyDescent="0.3">
      <c r="B91" s="446">
        <v>2009</v>
      </c>
      <c r="C91" s="429">
        <f t="shared" si="19"/>
        <v>2022.8330380000002</v>
      </c>
      <c r="D91" s="399">
        <f t="shared" si="20"/>
        <v>203.990048</v>
      </c>
      <c r="E91" s="340">
        <v>84.083055999999999</v>
      </c>
      <c r="F91" s="340">
        <v>119.906992</v>
      </c>
      <c r="G91" s="401"/>
      <c r="H91" s="340"/>
      <c r="I91" s="342"/>
      <c r="J91" s="401">
        <f t="shared" si="21"/>
        <v>1818.8429900000001</v>
      </c>
      <c r="K91" s="340">
        <v>400.47173600000008</v>
      </c>
      <c r="L91" s="342">
        <v>1418.3712540000001</v>
      </c>
      <c r="O91" s="371"/>
      <c r="P91" s="371"/>
      <c r="Q91" s="427"/>
      <c r="T91" s="371"/>
    </row>
    <row r="92" spans="2:20" ht="13" x14ac:dyDescent="0.3">
      <c r="B92" s="647">
        <v>2010</v>
      </c>
      <c r="C92" s="428">
        <f t="shared" si="19"/>
        <v>2362.1921339999999</v>
      </c>
      <c r="D92" s="394">
        <f t="shared" si="20"/>
        <v>252.57225099999999</v>
      </c>
      <c r="E92" s="349">
        <v>83.451949999999997</v>
      </c>
      <c r="F92" s="349">
        <v>169.12030099999998</v>
      </c>
      <c r="G92" s="396"/>
      <c r="H92" s="349"/>
      <c r="I92" s="352"/>
      <c r="J92" s="396">
        <f t="shared" si="21"/>
        <v>2109.6198829999998</v>
      </c>
      <c r="K92" s="349">
        <v>401.27272099999993</v>
      </c>
      <c r="L92" s="352">
        <v>1708.347162</v>
      </c>
      <c r="O92" s="371"/>
      <c r="P92" s="371"/>
      <c r="Q92" s="427"/>
      <c r="T92" s="371"/>
    </row>
    <row r="93" spans="2:20" ht="13" x14ac:dyDescent="0.3">
      <c r="B93" s="578">
        <v>2011</v>
      </c>
      <c r="C93" s="429">
        <f t="shared" si="19"/>
        <v>2557.9289537736722</v>
      </c>
      <c r="D93" s="399">
        <f t="shared" si="20"/>
        <v>306.75118860000003</v>
      </c>
      <c r="E93" s="340">
        <v>105.905601</v>
      </c>
      <c r="F93" s="340">
        <v>200.84558760000004</v>
      </c>
      <c r="G93" s="401"/>
      <c r="H93" s="340"/>
      <c r="I93" s="342"/>
      <c r="J93" s="401">
        <f t="shared" si="21"/>
        <v>2251.177765173672</v>
      </c>
      <c r="K93" s="340">
        <v>424.00271155000001</v>
      </c>
      <c r="L93" s="342">
        <v>1827.1750536236718</v>
      </c>
      <c r="O93" s="371"/>
      <c r="P93" s="371"/>
      <c r="Q93" s="427"/>
      <c r="T93" s="371"/>
    </row>
    <row r="94" spans="2:20" ht="13" x14ac:dyDescent="0.3">
      <c r="B94" s="647">
        <v>2012</v>
      </c>
      <c r="C94" s="428">
        <f t="shared" si="19"/>
        <v>2674.9537324079461</v>
      </c>
      <c r="D94" s="394">
        <f>SUM(E94:F94)</f>
        <v>313.57676499999991</v>
      </c>
      <c r="E94" s="349">
        <v>105.67628700000002</v>
      </c>
      <c r="F94" s="349">
        <v>207.90047799999988</v>
      </c>
      <c r="G94" s="396"/>
      <c r="H94" s="349"/>
      <c r="I94" s="352"/>
      <c r="J94" s="396">
        <f t="shared" si="21"/>
        <v>2361.3769674079463</v>
      </c>
      <c r="K94" s="349">
        <v>435.45409599999999</v>
      </c>
      <c r="L94" s="352">
        <v>1925.9228714079463</v>
      </c>
      <c r="O94" s="371"/>
      <c r="P94" s="371"/>
      <c r="Q94" s="427"/>
      <c r="T94" s="371"/>
    </row>
    <row r="95" spans="2:20" ht="13" x14ac:dyDescent="0.3">
      <c r="B95" s="578">
        <v>2013</v>
      </c>
      <c r="C95" s="434">
        <f t="shared" si="19"/>
        <v>2665.5115413064068</v>
      </c>
      <c r="D95" s="406">
        <f t="shared" si="20"/>
        <v>322.96894949401008</v>
      </c>
      <c r="E95" s="372">
        <v>105.84771987332039</v>
      </c>
      <c r="F95" s="372">
        <v>217.12122962068966</v>
      </c>
      <c r="G95" s="408"/>
      <c r="H95" s="372"/>
      <c r="I95" s="373"/>
      <c r="J95" s="408">
        <f t="shared" si="21"/>
        <v>2342.5425918123965</v>
      </c>
      <c r="K95" s="372">
        <v>504.33014668254555</v>
      </c>
      <c r="L95" s="373">
        <v>1838.2124451298509</v>
      </c>
      <c r="O95" s="371"/>
      <c r="P95" s="371"/>
      <c r="Q95" s="427"/>
      <c r="T95" s="371"/>
    </row>
    <row r="96" spans="2:20" ht="13" x14ac:dyDescent="0.3">
      <c r="B96" s="647">
        <v>2014</v>
      </c>
      <c r="C96" s="428">
        <f t="shared" si="19"/>
        <v>2703.5718431337973</v>
      </c>
      <c r="D96" s="394">
        <f>SUM(E96:F96)</f>
        <v>310.66975623576116</v>
      </c>
      <c r="E96" s="349">
        <v>99.288173294505313</v>
      </c>
      <c r="F96" s="349">
        <v>211.38158294125583</v>
      </c>
      <c r="G96" s="396"/>
      <c r="H96" s="349"/>
      <c r="I96" s="352"/>
      <c r="J96" s="396">
        <f t="shared" si="21"/>
        <v>2392.902086898036</v>
      </c>
      <c r="K96" s="349">
        <v>500.44663865999991</v>
      </c>
      <c r="L96" s="352">
        <v>1892.4554482380363</v>
      </c>
      <c r="O96" s="371"/>
      <c r="P96" s="371"/>
      <c r="Q96" s="427"/>
      <c r="T96" s="371"/>
    </row>
    <row r="97" spans="1:20" ht="13" x14ac:dyDescent="0.3">
      <c r="B97" s="578">
        <v>2015</v>
      </c>
      <c r="C97" s="434">
        <f t="shared" si="19"/>
        <v>2559.0236383301708</v>
      </c>
      <c r="D97" s="406">
        <f>SUM(E97:F97)</f>
        <v>357.85741596666662</v>
      </c>
      <c r="E97" s="372">
        <v>99.486848000000009</v>
      </c>
      <c r="F97" s="372">
        <v>258.37056796666661</v>
      </c>
      <c r="G97" s="408"/>
      <c r="H97" s="372"/>
      <c r="I97" s="373"/>
      <c r="J97" s="408">
        <f t="shared" si="21"/>
        <v>2201.1662223635039</v>
      </c>
      <c r="K97" s="372">
        <v>496.15709986109221</v>
      </c>
      <c r="L97" s="373">
        <v>1705.0091225024116</v>
      </c>
      <c r="O97" s="371"/>
      <c r="P97" s="371"/>
      <c r="Q97" s="427"/>
      <c r="T97" s="371"/>
    </row>
    <row r="98" spans="1:20" ht="13" x14ac:dyDescent="0.3">
      <c r="B98" s="647">
        <v>2016</v>
      </c>
      <c r="C98" s="428">
        <f t="shared" si="19"/>
        <v>2165.8930204205285</v>
      </c>
      <c r="D98" s="394">
        <f t="shared" ref="D98:D104" si="22">SUM(E98:F98)</f>
        <v>342.35192607949659</v>
      </c>
      <c r="E98" s="349">
        <v>103.57117210474075</v>
      </c>
      <c r="F98" s="349">
        <v>238.78075397475587</v>
      </c>
      <c r="G98" s="396"/>
      <c r="H98" s="349"/>
      <c r="I98" s="352"/>
      <c r="J98" s="396">
        <f t="shared" si="21"/>
        <v>1823.5410943410318</v>
      </c>
      <c r="K98" s="349">
        <v>415.53724990000006</v>
      </c>
      <c r="L98" s="352">
        <v>1408.0038444410318</v>
      </c>
      <c r="O98" s="371"/>
      <c r="P98" s="371"/>
      <c r="Q98" s="427"/>
      <c r="T98" s="371"/>
    </row>
    <row r="99" spans="1:20" ht="13" x14ac:dyDescent="0.3">
      <c r="B99" s="578">
        <v>2017</v>
      </c>
      <c r="C99" s="434">
        <f t="shared" si="19"/>
        <v>2355.1911354963022</v>
      </c>
      <c r="D99" s="406">
        <f t="shared" si="22"/>
        <v>462.56433448167047</v>
      </c>
      <c r="E99" s="372">
        <v>205.6692945192512</v>
      </c>
      <c r="F99" s="372">
        <v>256.89503996241928</v>
      </c>
      <c r="G99" s="408"/>
      <c r="H99" s="372"/>
      <c r="I99" s="373"/>
      <c r="J99" s="408">
        <f t="shared" si="21"/>
        <v>1892.6268010146318</v>
      </c>
      <c r="K99" s="372">
        <v>475.83298131999999</v>
      </c>
      <c r="L99" s="373">
        <v>1416.7938196946318</v>
      </c>
      <c r="O99" s="371"/>
      <c r="P99" s="371"/>
      <c r="Q99" s="427"/>
      <c r="T99" s="371"/>
    </row>
    <row r="100" spans="1:20" ht="13" x14ac:dyDescent="0.3">
      <c r="B100" s="647">
        <v>2018</v>
      </c>
      <c r="C100" s="428">
        <f t="shared" si="19"/>
        <v>2530.7625727270452</v>
      </c>
      <c r="D100" s="394">
        <f t="shared" si="22"/>
        <v>545.15754158589084</v>
      </c>
      <c r="E100" s="349">
        <v>260.26478302812467</v>
      </c>
      <c r="F100" s="349">
        <v>284.89275855776611</v>
      </c>
      <c r="G100" s="396"/>
      <c r="H100" s="349"/>
      <c r="I100" s="352"/>
      <c r="J100" s="396">
        <f t="shared" si="21"/>
        <v>1985.6050311411545</v>
      </c>
      <c r="K100" s="349">
        <v>487.85945942728335</v>
      </c>
      <c r="L100" s="352">
        <v>1497.7455717138712</v>
      </c>
      <c r="O100" s="371"/>
      <c r="P100" s="371"/>
      <c r="Q100" s="427"/>
      <c r="T100" s="371"/>
    </row>
    <row r="101" spans="1:20" ht="13" x14ac:dyDescent="0.3">
      <c r="B101" s="578">
        <v>2019</v>
      </c>
      <c r="C101" s="434">
        <f t="shared" si="19"/>
        <v>2519.9121636030145</v>
      </c>
      <c r="D101" s="406">
        <f t="shared" si="22"/>
        <v>530.87799013735162</v>
      </c>
      <c r="E101" s="372">
        <v>242.41749300000006</v>
      </c>
      <c r="F101" s="372">
        <v>288.46049713735152</v>
      </c>
      <c r="G101" s="408"/>
      <c r="H101" s="372"/>
      <c r="I101" s="373"/>
      <c r="J101" s="408">
        <f t="shared" si="21"/>
        <v>1989.0341734656629</v>
      </c>
      <c r="K101" s="372">
        <v>450.4595738815546</v>
      </c>
      <c r="L101" s="373">
        <v>1538.5745995841082</v>
      </c>
      <c r="O101" s="371"/>
      <c r="P101" s="371"/>
      <c r="Q101" s="427"/>
      <c r="T101" s="371"/>
    </row>
    <row r="102" spans="1:20" ht="13" x14ac:dyDescent="0.3">
      <c r="B102" s="647">
        <v>2020</v>
      </c>
      <c r="C102" s="428">
        <f t="shared" si="19"/>
        <v>2086.689326059829</v>
      </c>
      <c r="D102" s="394">
        <f t="shared" si="22"/>
        <v>477.51652999999999</v>
      </c>
      <c r="E102" s="349">
        <v>193.31645399999996</v>
      </c>
      <c r="F102" s="349">
        <v>284.20007600000002</v>
      </c>
      <c r="G102" s="396"/>
      <c r="H102" s="349"/>
      <c r="I102" s="352"/>
      <c r="J102" s="396">
        <f t="shared" si="21"/>
        <v>1609.1727960598291</v>
      </c>
      <c r="K102" s="349">
        <v>421.5278075876908</v>
      </c>
      <c r="L102" s="352">
        <v>1187.6449884721383</v>
      </c>
      <c r="O102" s="371"/>
      <c r="P102" s="371"/>
      <c r="Q102" s="427"/>
      <c r="T102" s="371"/>
    </row>
    <row r="103" spans="1:20" ht="13" x14ac:dyDescent="0.3">
      <c r="B103" s="578">
        <v>2021</v>
      </c>
      <c r="C103" s="434">
        <f t="shared" ref="C103" si="23">SUM(J103,G103,D103)</f>
        <v>1859.2599257616712</v>
      </c>
      <c r="D103" s="406">
        <f t="shared" ref="D103" si="24">SUM(E103:F103)</f>
        <v>486.99589900000001</v>
      </c>
      <c r="E103" s="372">
        <v>232.31573300000002</v>
      </c>
      <c r="F103" s="372">
        <v>254.68016599999999</v>
      </c>
      <c r="G103" s="408"/>
      <c r="H103" s="372"/>
      <c r="I103" s="373"/>
      <c r="J103" s="408">
        <f t="shared" ref="J103" si="25">SUM(K103:L103)</f>
        <v>1372.2640267616712</v>
      </c>
      <c r="K103" s="372">
        <v>399.75419899999997</v>
      </c>
      <c r="L103" s="373">
        <v>972.50982776167132</v>
      </c>
      <c r="O103" s="371"/>
      <c r="P103" s="371"/>
      <c r="Q103" s="427"/>
      <c r="T103" s="371"/>
    </row>
    <row r="104" spans="1:20" ht="13" x14ac:dyDescent="0.3">
      <c r="B104" s="1411">
        <v>2022</v>
      </c>
      <c r="C104" s="428">
        <f t="shared" si="19"/>
        <v>1898.1158772272759</v>
      </c>
      <c r="D104" s="394">
        <f t="shared" si="22"/>
        <v>493.26452</v>
      </c>
      <c r="E104" s="349">
        <v>225.03003699999999</v>
      </c>
      <c r="F104" s="349">
        <v>268.23448300000001</v>
      </c>
      <c r="G104" s="396"/>
      <c r="H104" s="349"/>
      <c r="I104" s="352"/>
      <c r="J104" s="396">
        <f t="shared" si="21"/>
        <v>1404.8513572272759</v>
      </c>
      <c r="K104" s="349">
        <v>354.42751873233851</v>
      </c>
      <c r="L104" s="352">
        <v>1050.4238384949374</v>
      </c>
      <c r="O104" s="371"/>
      <c r="P104" s="371"/>
      <c r="Q104" s="427"/>
      <c r="T104" s="371"/>
    </row>
    <row r="105" spans="1:20" s="493" customFormat="1" ht="17.25" customHeight="1" x14ac:dyDescent="0.25">
      <c r="A105" s="492"/>
      <c r="B105" s="871" t="s">
        <v>161</v>
      </c>
      <c r="C105" s="410">
        <f>(C104/C103)-1</f>
        <v>2.0898611822489865E-2</v>
      </c>
      <c r="D105" s="411">
        <f t="shared" ref="D105:F105" si="26">(D104/D103)-1</f>
        <v>1.2872020098879666E-2</v>
      </c>
      <c r="E105" s="412">
        <f t="shared" si="26"/>
        <v>-3.1361182068542992E-2</v>
      </c>
      <c r="F105" s="880">
        <f t="shared" si="26"/>
        <v>5.3220936725791201E-2</v>
      </c>
      <c r="G105" s="881"/>
      <c r="H105" s="492"/>
      <c r="I105" s="875"/>
      <c r="J105" s="882">
        <f t="shared" ref="J105:L105" si="27">(J104/J103)-1</f>
        <v>2.3747128708537124E-2</v>
      </c>
      <c r="K105" s="412">
        <f t="shared" si="27"/>
        <v>-0.11338637688121311</v>
      </c>
      <c r="L105" s="880">
        <f t="shared" si="27"/>
        <v>8.0116425057207952E-2</v>
      </c>
      <c r="P105" s="883"/>
      <c r="Q105" s="884"/>
    </row>
    <row r="106" spans="1:20" s="493" customFormat="1" ht="17.25" customHeight="1" x14ac:dyDescent="0.25">
      <c r="A106" s="492"/>
      <c r="B106" s="876" t="s">
        <v>162</v>
      </c>
      <c r="C106" s="413">
        <f>((C104/C99)^(1/5))-1</f>
        <v>-4.2234227285613213E-2</v>
      </c>
      <c r="D106" s="414">
        <f t="shared" ref="D106:F106" si="28">((D104/D99)^(1/5))-1</f>
        <v>1.2934928323640849E-2</v>
      </c>
      <c r="E106" s="415">
        <f t="shared" si="28"/>
        <v>1.8155722752861037E-2</v>
      </c>
      <c r="F106" s="416">
        <f t="shared" si="28"/>
        <v>8.6762095849102217E-3</v>
      </c>
      <c r="G106" s="881"/>
      <c r="H106" s="492"/>
      <c r="I106" s="492"/>
      <c r="J106" s="877">
        <f t="shared" ref="J106:L106" si="29">((J104/J99)^(1/5))-1</f>
        <v>-5.7865130289834532E-2</v>
      </c>
      <c r="K106" s="415">
        <f t="shared" si="29"/>
        <v>-5.7210843828728208E-2</v>
      </c>
      <c r="L106" s="416">
        <f t="shared" si="29"/>
        <v>-5.8085281966662961E-2</v>
      </c>
      <c r="P106" s="883"/>
      <c r="Q106" s="884"/>
    </row>
    <row r="107" spans="1:20" s="493" customFormat="1" ht="17.25" customHeight="1" x14ac:dyDescent="0.25">
      <c r="A107" s="492"/>
      <c r="B107" s="437" t="s">
        <v>163</v>
      </c>
      <c r="C107" s="261">
        <f>(C104/C94)-1</f>
        <v>-0.29041169788061139</v>
      </c>
      <c r="D107" s="417">
        <f t="shared" ref="D107:F107" si="30">(D104/D94)-1</f>
        <v>0.57302636883826574</v>
      </c>
      <c r="E107" s="418">
        <f t="shared" si="30"/>
        <v>1.1294279292761296</v>
      </c>
      <c r="F107" s="419">
        <f t="shared" si="30"/>
        <v>0.29020618701992684</v>
      </c>
      <c r="G107" s="881"/>
      <c r="H107" s="492"/>
      <c r="I107" s="875"/>
      <c r="J107" s="878">
        <f t="shared" ref="J107:L107" si="31">(J104/J94)-1</f>
        <v>-0.40507111883564972</v>
      </c>
      <c r="K107" s="418">
        <f t="shared" si="31"/>
        <v>-0.18607375154340378</v>
      </c>
      <c r="L107" s="419">
        <f t="shared" si="31"/>
        <v>-0.45458675729468601</v>
      </c>
      <c r="P107" s="883"/>
    </row>
    <row r="108" spans="1:20" s="493" customFormat="1" ht="17.25" customHeight="1" thickBot="1" x14ac:dyDescent="0.3">
      <c r="A108" s="492"/>
      <c r="B108" s="879" t="s">
        <v>164</v>
      </c>
      <c r="C108" s="420">
        <f>((C104/C94)^(1/10))-1</f>
        <v>-3.3725219475649659E-2</v>
      </c>
      <c r="D108" s="421">
        <f t="shared" ref="D108:F108" si="32">((D104/D94)^(1/10))-1</f>
        <v>4.6341860506045274E-2</v>
      </c>
      <c r="E108" s="422">
        <f t="shared" si="32"/>
        <v>7.8515260599588688E-2</v>
      </c>
      <c r="F108" s="423">
        <f t="shared" si="32"/>
        <v>2.5807599233555134E-2</v>
      </c>
      <c r="G108" s="881"/>
      <c r="H108" s="875"/>
      <c r="I108" s="875"/>
      <c r="J108" s="885">
        <f t="shared" ref="J108:L108" si="33">((J104/J94)^(1/10))-1</f>
        <v>-5.06059507622727E-2</v>
      </c>
      <c r="K108" s="422">
        <f t="shared" si="33"/>
        <v>-2.0378054941591173E-2</v>
      </c>
      <c r="L108" s="423">
        <f t="shared" si="33"/>
        <v>-5.8820264463035787E-2</v>
      </c>
      <c r="P108" s="883"/>
    </row>
    <row r="109" spans="1:20" x14ac:dyDescent="0.25">
      <c r="B109" s="389"/>
      <c r="C109" s="333"/>
      <c r="D109" s="333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333"/>
    </row>
    <row r="110" spans="1:20" x14ac:dyDescent="0.25">
      <c r="B110" s="380"/>
      <c r="C110" s="333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</row>
    <row r="111" spans="1:20" ht="13" x14ac:dyDescent="0.3">
      <c r="B111" s="388"/>
      <c r="C111" s="333"/>
      <c r="D111" s="333"/>
      <c r="E111" s="333"/>
      <c r="F111" s="333"/>
      <c r="G111" s="333"/>
      <c r="H111" s="333"/>
      <c r="I111" s="333"/>
      <c r="J111" s="333"/>
      <c r="K111" s="333"/>
      <c r="L111" s="333"/>
      <c r="M111" s="333"/>
      <c r="N111" s="333"/>
      <c r="O111" s="333"/>
      <c r="P111" s="333"/>
      <c r="Q111" s="427"/>
    </row>
    <row r="112" spans="1:20" ht="13" x14ac:dyDescent="0.3"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333"/>
      <c r="N112" s="1640"/>
      <c r="O112" s="1640"/>
      <c r="P112" s="1640"/>
      <c r="Q112" s="427"/>
    </row>
    <row r="113" spans="2:27" ht="13" x14ac:dyDescent="0.3">
      <c r="B113" s="426"/>
      <c r="C113" s="333"/>
      <c r="D113" s="333"/>
      <c r="E113" s="333"/>
      <c r="F113" s="333"/>
      <c r="G113" s="333"/>
      <c r="H113" s="333"/>
      <c r="I113" s="333"/>
      <c r="J113" s="333"/>
      <c r="K113" s="333"/>
      <c r="L113" s="435"/>
      <c r="M113" s="333"/>
      <c r="N113" s="1641"/>
      <c r="O113" s="1641"/>
      <c r="P113" s="1640"/>
      <c r="Q113" s="427"/>
      <c r="S113" s="328"/>
      <c r="T113" s="436"/>
      <c r="U113" s="436"/>
      <c r="Z113" s="436"/>
      <c r="AA113" s="436"/>
    </row>
    <row r="114" spans="2:27" ht="13" x14ac:dyDescent="0.3">
      <c r="B114" s="426"/>
      <c r="C114" s="333"/>
      <c r="D114" s="333"/>
      <c r="E114" s="333"/>
      <c r="F114" s="333"/>
      <c r="G114" s="333"/>
      <c r="H114" s="333"/>
      <c r="I114" s="333"/>
      <c r="J114" s="333"/>
      <c r="K114" s="333"/>
      <c r="L114" s="333"/>
      <c r="M114" s="333"/>
      <c r="N114" s="1640"/>
      <c r="O114" s="1640"/>
      <c r="P114" s="1640"/>
      <c r="Q114" s="427"/>
      <c r="S114" s="328"/>
      <c r="T114" s="321"/>
      <c r="U114" s="321"/>
      <c r="Z114" s="321"/>
      <c r="AA114" s="321"/>
    </row>
    <row r="115" spans="2:27" ht="13" x14ac:dyDescent="0.3">
      <c r="B115" s="426"/>
      <c r="C115" s="333"/>
      <c r="D115" s="333"/>
      <c r="E115" s="333"/>
      <c r="F115" s="333"/>
      <c r="G115" s="333"/>
      <c r="H115" s="333"/>
      <c r="I115" s="333"/>
      <c r="J115" s="333"/>
      <c r="K115" s="333"/>
      <c r="L115" s="435"/>
      <c r="M115" s="333"/>
      <c r="N115" s="1641"/>
      <c r="O115" s="1642" t="s">
        <v>81</v>
      </c>
      <c r="P115" s="1643" t="s">
        <v>84</v>
      </c>
      <c r="Q115" s="427"/>
      <c r="S115" s="328"/>
      <c r="T115" s="321"/>
      <c r="U115" s="321"/>
      <c r="Z115" s="321"/>
      <c r="AA115" s="321"/>
    </row>
    <row r="116" spans="2:27" ht="13" x14ac:dyDescent="0.3">
      <c r="B116" s="426"/>
      <c r="C116" s="333"/>
      <c r="D116" s="333"/>
      <c r="E116" s="333"/>
      <c r="F116" s="333"/>
      <c r="G116" s="333"/>
      <c r="H116" s="333"/>
      <c r="I116" s="333"/>
      <c r="J116" s="333"/>
      <c r="K116" s="333"/>
      <c r="L116" s="333"/>
      <c r="M116" s="333"/>
      <c r="N116" s="1640"/>
      <c r="O116" s="1644"/>
      <c r="P116" s="1644"/>
      <c r="Q116" s="427"/>
      <c r="S116" s="334"/>
      <c r="T116" s="334"/>
      <c r="U116" s="334"/>
      <c r="Y116" s="334"/>
      <c r="Z116" s="334"/>
      <c r="AA116" s="334"/>
    </row>
    <row r="117" spans="2:27" ht="13" x14ac:dyDescent="0.3">
      <c r="B117" s="333"/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  <c r="M117" s="333"/>
      <c r="N117" s="1640"/>
      <c r="O117" s="1644"/>
      <c r="P117" s="1644"/>
      <c r="Q117" s="427"/>
    </row>
    <row r="118" spans="2:27" ht="13" x14ac:dyDescent="0.3">
      <c r="N118" s="1631"/>
      <c r="O118" s="1645"/>
      <c r="P118" s="1645"/>
      <c r="Q118" s="427"/>
    </row>
    <row r="119" spans="2:27" ht="13" x14ac:dyDescent="0.3">
      <c r="N119" s="1631"/>
      <c r="O119" s="1645"/>
      <c r="P119" s="1645"/>
      <c r="Q119" s="427"/>
    </row>
    <row r="120" spans="2:27" ht="13" x14ac:dyDescent="0.3">
      <c r="N120" s="1631"/>
      <c r="O120" s="1645"/>
      <c r="P120" s="1645"/>
      <c r="Q120" s="427"/>
    </row>
    <row r="121" spans="2:27" ht="13" x14ac:dyDescent="0.3">
      <c r="N121" s="1631"/>
      <c r="O121" s="1645"/>
      <c r="P121" s="1645"/>
      <c r="Q121" s="427"/>
    </row>
    <row r="122" spans="2:27" ht="13" x14ac:dyDescent="0.3">
      <c r="N122" s="1631"/>
      <c r="O122" s="1645"/>
      <c r="P122" s="1645"/>
      <c r="Q122" s="427"/>
    </row>
    <row r="123" spans="2:27" ht="13" x14ac:dyDescent="0.3">
      <c r="N123" s="1631"/>
      <c r="O123" s="1645"/>
      <c r="P123" s="1645"/>
      <c r="Q123" s="427"/>
    </row>
    <row r="124" spans="2:27" ht="13" x14ac:dyDescent="0.3">
      <c r="N124" s="1631">
        <v>1995</v>
      </c>
      <c r="O124" s="1645">
        <f>+D76+G76</f>
        <v>2147.6814949999998</v>
      </c>
      <c r="P124" s="1645">
        <f>+J76</f>
        <v>1626.1200090000002</v>
      </c>
      <c r="Q124" s="427"/>
    </row>
    <row r="125" spans="2:27" x14ac:dyDescent="0.25">
      <c r="N125" s="1631">
        <v>2000</v>
      </c>
      <c r="O125" s="1645">
        <f>+D81+G81</f>
        <v>143.126858</v>
      </c>
      <c r="P125" s="1645">
        <f>+J81</f>
        <v>1451.6727609999994</v>
      </c>
    </row>
    <row r="126" spans="2:27" x14ac:dyDescent="0.25">
      <c r="N126" s="1631">
        <v>2005</v>
      </c>
      <c r="O126" s="1645">
        <f>+D87</f>
        <v>200.13015520724974</v>
      </c>
      <c r="P126" s="1645">
        <f>+J87</f>
        <v>1498.7317150000033</v>
      </c>
    </row>
    <row r="127" spans="2:27" x14ac:dyDescent="0.25">
      <c r="N127" s="1631">
        <v>2010</v>
      </c>
      <c r="O127" s="1645">
        <v>252.57225099999999</v>
      </c>
      <c r="P127" s="1645">
        <v>2109.6198829999998</v>
      </c>
    </row>
    <row r="128" spans="2:27" x14ac:dyDescent="0.25">
      <c r="N128" s="1631">
        <v>2011</v>
      </c>
      <c r="O128" s="1645">
        <v>306.75118860000003</v>
      </c>
      <c r="P128" s="1645">
        <v>2251.177765173672</v>
      </c>
    </row>
    <row r="129" spans="14:16" x14ac:dyDescent="0.25">
      <c r="N129" s="1631">
        <v>2012</v>
      </c>
      <c r="O129" s="1645">
        <v>313.57676499999991</v>
      </c>
      <c r="P129" s="1645">
        <v>2361.3769674079463</v>
      </c>
    </row>
    <row r="130" spans="14:16" x14ac:dyDescent="0.25">
      <c r="N130" s="1631">
        <v>2013</v>
      </c>
      <c r="O130" s="1645">
        <v>322.96894949401008</v>
      </c>
      <c r="P130" s="1645">
        <v>2342.5425918123965</v>
      </c>
    </row>
    <row r="131" spans="14:16" x14ac:dyDescent="0.25">
      <c r="N131" s="1631">
        <v>2014</v>
      </c>
      <c r="O131" s="1645">
        <v>310.66975623576116</v>
      </c>
      <c r="P131" s="1645">
        <v>2392.902086898036</v>
      </c>
    </row>
    <row r="132" spans="14:16" x14ac:dyDescent="0.25">
      <c r="N132" s="1631">
        <v>2015</v>
      </c>
      <c r="O132" s="1645">
        <v>357.85741596666662</v>
      </c>
      <c r="P132" s="1645">
        <v>2201.1662223635039</v>
      </c>
    </row>
    <row r="133" spans="14:16" x14ac:dyDescent="0.25">
      <c r="N133" s="1631">
        <v>2016</v>
      </c>
      <c r="O133" s="1645">
        <v>342.35192607949659</v>
      </c>
      <c r="P133" s="1645">
        <v>1823.5410943410318</v>
      </c>
    </row>
    <row r="134" spans="14:16" x14ac:dyDescent="0.25">
      <c r="N134" s="1631">
        <v>2017</v>
      </c>
      <c r="O134" s="1645">
        <v>462.56433448167047</v>
      </c>
      <c r="P134" s="1645">
        <v>1892.6268010146318</v>
      </c>
    </row>
    <row r="135" spans="14:16" x14ac:dyDescent="0.25">
      <c r="N135" s="1631">
        <v>2018</v>
      </c>
      <c r="O135" s="1645">
        <v>545.15754158589084</v>
      </c>
      <c r="P135" s="1645">
        <v>1985.6050311411545</v>
      </c>
    </row>
    <row r="136" spans="14:16" x14ac:dyDescent="0.25">
      <c r="N136" s="1631">
        <v>2019</v>
      </c>
      <c r="O136" s="1645">
        <v>530.87799013735162</v>
      </c>
      <c r="P136" s="1645">
        <v>1989.0341734656629</v>
      </c>
    </row>
    <row r="137" spans="14:16" x14ac:dyDescent="0.25">
      <c r="N137" s="1631">
        <v>2020</v>
      </c>
      <c r="O137" s="1645">
        <v>477.51652999999999</v>
      </c>
      <c r="P137" s="1645">
        <v>1609.1727960598291</v>
      </c>
    </row>
    <row r="138" spans="14:16" x14ac:dyDescent="0.25">
      <c r="N138" s="1631">
        <v>2021</v>
      </c>
      <c r="O138" s="1645">
        <v>486.99589900000001</v>
      </c>
      <c r="P138" s="1645">
        <v>1372.2640267616712</v>
      </c>
    </row>
    <row r="139" spans="14:16" x14ac:dyDescent="0.25">
      <c r="N139" s="1631">
        <v>2022</v>
      </c>
      <c r="O139" s="1645">
        <v>493.26452</v>
      </c>
      <c r="P139" s="1645">
        <v>1404.8513572272759</v>
      </c>
    </row>
    <row r="140" spans="14:16" x14ac:dyDescent="0.25">
      <c r="N140" s="1631"/>
      <c r="O140" s="1631"/>
      <c r="P140" s="1631"/>
    </row>
    <row r="141" spans="14:16" x14ac:dyDescent="0.25">
      <c r="N141" s="1631"/>
      <c r="O141" s="1631"/>
      <c r="P141" s="1631"/>
    </row>
  </sheetData>
  <mergeCells count="12">
    <mergeCell ref="B5:B6"/>
    <mergeCell ref="C5:C6"/>
    <mergeCell ref="B74:B75"/>
    <mergeCell ref="C74:C75"/>
    <mergeCell ref="D82:F82"/>
    <mergeCell ref="D5:H5"/>
    <mergeCell ref="I5:K5"/>
    <mergeCell ref="L5:P5"/>
    <mergeCell ref="D13:H13"/>
    <mergeCell ref="D74:F74"/>
    <mergeCell ref="G74:I74"/>
    <mergeCell ref="J74:L74"/>
  </mergeCells>
  <printOptions horizontalCentered="1"/>
  <pageMargins left="0" right="0" top="0.47244094488188981" bottom="0.39370078740157483" header="0" footer="0"/>
  <pageSetup paperSize="9" scale="49" orientation="portrait" r:id="rId1"/>
  <headerFooter alignWithMargins="0"/>
  <ignoredErrors>
    <ignoredError sqref="D103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6"/>
  <sheetViews>
    <sheetView showGridLines="0" view="pageBreakPreview" zoomScaleNormal="70" zoomScaleSheetLayoutView="100" workbookViewId="0">
      <selection activeCell="J17" sqref="J17:M26"/>
    </sheetView>
  </sheetViews>
  <sheetFormatPr baseColWidth="10" defaultColWidth="11.453125" defaultRowHeight="12.5" x14ac:dyDescent="0.25"/>
  <cols>
    <col min="1" max="1" width="21.7265625" style="315" customWidth="1"/>
    <col min="2" max="16384" width="11.453125" style="315"/>
  </cols>
  <sheetData>
    <row r="1" spans="1:6" s="333" customFormat="1" ht="15.5" x14ac:dyDescent="0.35">
      <c r="A1" s="391" t="s">
        <v>213</v>
      </c>
    </row>
    <row r="2" spans="1:6" s="333" customFormat="1" ht="13" thickBot="1" x14ac:dyDescent="0.3">
      <c r="A2" s="388"/>
    </row>
    <row r="3" spans="1:6" s="493" customFormat="1" ht="15" customHeight="1" x14ac:dyDescent="0.25">
      <c r="A3" s="1519" t="s">
        <v>39</v>
      </c>
      <c r="B3" s="1534" t="s">
        <v>53</v>
      </c>
      <c r="C3" s="1547" t="s">
        <v>94</v>
      </c>
      <c r="D3" s="1547"/>
      <c r="E3" s="1547"/>
      <c r="F3" s="1548"/>
    </row>
    <row r="4" spans="1:6" s="493" customFormat="1" ht="33" customHeight="1" thickBot="1" x14ac:dyDescent="0.3">
      <c r="A4" s="1536"/>
      <c r="B4" s="1535"/>
      <c r="C4" s="1332" t="s">
        <v>90</v>
      </c>
      <c r="D4" s="1086" t="s">
        <v>96</v>
      </c>
      <c r="E4" s="1087" t="s">
        <v>74</v>
      </c>
      <c r="F4" s="1088" t="s">
        <v>92</v>
      </c>
    </row>
    <row r="5" spans="1:6" ht="13" x14ac:dyDescent="0.3">
      <c r="A5" s="702">
        <v>1995</v>
      </c>
      <c r="B5" s="1333">
        <f t="shared" ref="B5:B32" si="0">SUM(C5:F5)</f>
        <v>0</v>
      </c>
      <c r="C5" s="351"/>
      <c r="D5" s="364"/>
      <c r="E5" s="364"/>
      <c r="F5" s="395"/>
    </row>
    <row r="6" spans="1:6" ht="13" x14ac:dyDescent="0.3">
      <c r="A6" s="1410">
        <v>1996</v>
      </c>
      <c r="B6" s="626">
        <f t="shared" si="0"/>
        <v>0</v>
      </c>
      <c r="C6" s="341"/>
      <c r="D6" s="362"/>
      <c r="E6" s="362"/>
      <c r="F6" s="400"/>
    </row>
    <row r="7" spans="1:6" ht="13" x14ac:dyDescent="0.3">
      <c r="A7" s="702">
        <v>1997</v>
      </c>
      <c r="B7" s="1333">
        <f t="shared" si="0"/>
        <v>0</v>
      </c>
      <c r="C7" s="351"/>
      <c r="D7" s="364"/>
      <c r="E7" s="364"/>
      <c r="F7" s="395"/>
    </row>
    <row r="8" spans="1:6" ht="13" x14ac:dyDescent="0.3">
      <c r="A8" s="1410">
        <v>1998</v>
      </c>
      <c r="B8" s="626">
        <f t="shared" si="0"/>
        <v>0</v>
      </c>
      <c r="C8" s="341"/>
      <c r="D8" s="362"/>
      <c r="E8" s="362"/>
      <c r="F8" s="400"/>
    </row>
    <row r="9" spans="1:6" ht="13" x14ac:dyDescent="0.3">
      <c r="A9" s="702">
        <v>1999</v>
      </c>
      <c r="B9" s="1333">
        <f t="shared" si="0"/>
        <v>0</v>
      </c>
      <c r="C9" s="351"/>
      <c r="D9" s="364"/>
      <c r="E9" s="364"/>
      <c r="F9" s="395"/>
    </row>
    <row r="10" spans="1:6" ht="13" x14ac:dyDescent="0.3">
      <c r="A10" s="1410">
        <v>2000</v>
      </c>
      <c r="B10" s="626">
        <f t="shared" si="0"/>
        <v>0</v>
      </c>
      <c r="C10" s="341"/>
      <c r="D10" s="362"/>
      <c r="E10" s="362"/>
      <c r="F10" s="400"/>
    </row>
    <row r="11" spans="1:6" ht="13" x14ac:dyDescent="0.3">
      <c r="A11" s="702">
        <v>2001</v>
      </c>
      <c r="B11" s="1333">
        <f t="shared" si="0"/>
        <v>0</v>
      </c>
      <c r="C11" s="351"/>
      <c r="D11" s="364"/>
      <c r="E11" s="364"/>
      <c r="F11" s="395"/>
    </row>
    <row r="12" spans="1:6" ht="13" x14ac:dyDescent="0.3">
      <c r="A12" s="1410">
        <v>2002</v>
      </c>
      <c r="B12" s="626">
        <f t="shared" si="0"/>
        <v>0</v>
      </c>
      <c r="C12" s="341"/>
      <c r="D12" s="362"/>
      <c r="E12" s="362"/>
      <c r="F12" s="400"/>
    </row>
    <row r="13" spans="1:6" ht="13" x14ac:dyDescent="0.3">
      <c r="A13" s="702">
        <v>2003</v>
      </c>
      <c r="B13" s="1333">
        <f t="shared" si="0"/>
        <v>0</v>
      </c>
      <c r="C13" s="351"/>
      <c r="D13" s="364"/>
      <c r="E13" s="364"/>
      <c r="F13" s="395"/>
    </row>
    <row r="14" spans="1:6" ht="13" x14ac:dyDescent="0.3">
      <c r="A14" s="1410">
        <v>2004</v>
      </c>
      <c r="B14" s="626">
        <f t="shared" si="0"/>
        <v>0</v>
      </c>
      <c r="C14" s="341"/>
      <c r="D14" s="362"/>
      <c r="E14" s="362"/>
      <c r="F14" s="400"/>
    </row>
    <row r="15" spans="1:6" ht="13" x14ac:dyDescent="0.3">
      <c r="A15" s="702">
        <v>2005</v>
      </c>
      <c r="B15" s="1333">
        <f t="shared" si="0"/>
        <v>0</v>
      </c>
      <c r="C15" s="351"/>
      <c r="D15" s="364"/>
      <c r="E15" s="364"/>
      <c r="F15" s="395"/>
    </row>
    <row r="16" spans="1:6" ht="13" x14ac:dyDescent="0.3">
      <c r="A16" s="1410">
        <v>2006</v>
      </c>
      <c r="B16" s="626">
        <f t="shared" si="0"/>
        <v>0</v>
      </c>
      <c r="C16" s="341"/>
      <c r="D16" s="362"/>
      <c r="E16" s="362"/>
      <c r="F16" s="400"/>
    </row>
    <row r="17" spans="1:13" ht="13" x14ac:dyDescent="0.3">
      <c r="A17" s="702">
        <v>2007</v>
      </c>
      <c r="B17" s="1333">
        <f t="shared" si="0"/>
        <v>0</v>
      </c>
      <c r="C17" s="351"/>
      <c r="D17" s="364"/>
      <c r="E17" s="364"/>
      <c r="F17" s="395"/>
      <c r="J17" s="1631"/>
      <c r="K17" s="1631"/>
      <c r="L17" s="1631"/>
      <c r="M17" s="1631"/>
    </row>
    <row r="18" spans="1:13" ht="13" x14ac:dyDescent="0.3">
      <c r="A18" s="1410">
        <v>2008</v>
      </c>
      <c r="B18" s="626">
        <f t="shared" si="0"/>
        <v>0</v>
      </c>
      <c r="C18" s="341"/>
      <c r="D18" s="362"/>
      <c r="E18" s="362"/>
      <c r="F18" s="400"/>
      <c r="J18" s="1631"/>
      <c r="K18" s="1631"/>
      <c r="L18" s="1631"/>
      <c r="M18" s="1631"/>
    </row>
    <row r="19" spans="1:13" ht="13" x14ac:dyDescent="0.3">
      <c r="A19" s="702">
        <v>2009</v>
      </c>
      <c r="B19" s="1333">
        <f t="shared" si="0"/>
        <v>52.769180000000006</v>
      </c>
      <c r="C19" s="351">
        <v>52.769180000000006</v>
      </c>
      <c r="D19" s="364">
        <v>0</v>
      </c>
      <c r="E19" s="364">
        <v>0</v>
      </c>
      <c r="F19" s="395">
        <v>0</v>
      </c>
      <c r="J19" s="1631"/>
      <c r="K19" s="1631"/>
      <c r="L19" s="1631"/>
      <c r="M19" s="1631"/>
    </row>
    <row r="20" spans="1:13" ht="13" x14ac:dyDescent="0.3">
      <c r="A20" s="1410">
        <v>2010</v>
      </c>
      <c r="B20" s="626">
        <f t="shared" si="0"/>
        <v>321.93488300000001</v>
      </c>
      <c r="C20" s="341">
        <v>244.459239</v>
      </c>
      <c r="D20" s="362">
        <v>77.475644000000003</v>
      </c>
      <c r="E20" s="362">
        <v>0</v>
      </c>
      <c r="F20" s="400">
        <v>0</v>
      </c>
      <c r="J20" s="1631"/>
      <c r="K20" s="1631"/>
      <c r="L20" s="1631"/>
      <c r="M20" s="1631"/>
    </row>
    <row r="21" spans="1:13" ht="13" x14ac:dyDescent="0.3">
      <c r="A21" s="702">
        <v>2011</v>
      </c>
      <c r="B21" s="1333">
        <f t="shared" si="0"/>
        <v>386.80218599999995</v>
      </c>
      <c r="C21" s="351">
        <v>299.42873499999996</v>
      </c>
      <c r="D21" s="364">
        <v>87.373451000000003</v>
      </c>
      <c r="E21" s="364">
        <v>0</v>
      </c>
      <c r="F21" s="395">
        <v>0</v>
      </c>
      <c r="J21" s="1631"/>
      <c r="K21" s="1631"/>
      <c r="L21" s="1631"/>
      <c r="M21" s="1631"/>
    </row>
    <row r="22" spans="1:13" ht="13" x14ac:dyDescent="0.3">
      <c r="A22" s="1410">
        <v>2012</v>
      </c>
      <c r="B22" s="626">
        <f t="shared" si="0"/>
        <v>782.36415147289347</v>
      </c>
      <c r="C22" s="341">
        <v>568.8899381748613</v>
      </c>
      <c r="D22" s="362">
        <v>157.89084649846814</v>
      </c>
      <c r="E22" s="362">
        <v>55.583366799563997</v>
      </c>
      <c r="F22" s="400">
        <v>0</v>
      </c>
      <c r="J22" s="1631"/>
      <c r="K22" s="1631"/>
      <c r="L22" s="1631"/>
      <c r="M22" s="1631"/>
    </row>
    <row r="23" spans="1:13" ht="13" x14ac:dyDescent="0.3">
      <c r="A23" s="702">
        <v>2013</v>
      </c>
      <c r="B23" s="1333">
        <f t="shared" si="0"/>
        <v>1271.5761025841243</v>
      </c>
      <c r="C23" s="351">
        <v>800.54631359599205</v>
      </c>
      <c r="D23" s="364">
        <v>274.10191097608498</v>
      </c>
      <c r="E23" s="364">
        <v>196.92787801204742</v>
      </c>
      <c r="F23" s="395">
        <v>0</v>
      </c>
      <c r="J23" s="1631" t="s">
        <v>97</v>
      </c>
      <c r="K23" s="1631" t="s">
        <v>96</v>
      </c>
      <c r="L23" s="1631" t="s">
        <v>74</v>
      </c>
      <c r="M23" s="1631" t="s">
        <v>75</v>
      </c>
    </row>
    <row r="24" spans="1:13" ht="13" x14ac:dyDescent="0.3">
      <c r="A24" s="1410">
        <v>2014</v>
      </c>
      <c r="B24" s="626">
        <f t="shared" si="0"/>
        <v>1591.5700082881003</v>
      </c>
      <c r="C24" s="341">
        <v>906.78473836316186</v>
      </c>
      <c r="D24" s="362">
        <v>229.16741540250001</v>
      </c>
      <c r="E24" s="362">
        <v>199.30359694553749</v>
      </c>
      <c r="F24" s="400">
        <v>256.31425757690079</v>
      </c>
      <c r="J24" s="1630">
        <f>+C32/$B$32</f>
        <v>0.42979232628956887</v>
      </c>
      <c r="K24" s="1630">
        <f>+D32/$B$32</f>
        <v>6.5174952951383355E-2</v>
      </c>
      <c r="L24" s="1630">
        <f>+E32/$B$32</f>
        <v>0.15064887667569368</v>
      </c>
      <c r="M24" s="1630">
        <f>+F32/$B$32</f>
        <v>0.35438384408335405</v>
      </c>
    </row>
    <row r="25" spans="1:13" ht="13" x14ac:dyDescent="0.3">
      <c r="A25" s="702">
        <v>2015</v>
      </c>
      <c r="B25" s="1333">
        <f t="shared" si="0"/>
        <v>2162.3398025941069</v>
      </c>
      <c r="C25" s="351">
        <v>1138.3190625329999</v>
      </c>
      <c r="D25" s="364">
        <v>199.39126557243699</v>
      </c>
      <c r="E25" s="364">
        <v>230.25534299999998</v>
      </c>
      <c r="F25" s="395">
        <v>594.37413148867006</v>
      </c>
      <c r="J25" s="1630"/>
      <c r="K25" s="1630"/>
      <c r="L25" s="1630"/>
      <c r="M25" s="1630"/>
    </row>
    <row r="26" spans="1:13" ht="13" x14ac:dyDescent="0.3">
      <c r="A26" s="1410">
        <v>2016</v>
      </c>
      <c r="B26" s="626">
        <f t="shared" si="0"/>
        <v>2584.3388323076524</v>
      </c>
      <c r="C26" s="341">
        <v>1077.1610379011979</v>
      </c>
      <c r="D26" s="362">
        <v>203.56655000000001</v>
      </c>
      <c r="E26" s="362">
        <v>241.00855899999996</v>
      </c>
      <c r="F26" s="400">
        <v>1062.6026854064544</v>
      </c>
      <c r="J26" s="1630"/>
      <c r="K26" s="1630"/>
      <c r="L26" s="1630"/>
      <c r="M26" s="1630"/>
    </row>
    <row r="27" spans="1:13" ht="13" x14ac:dyDescent="0.3">
      <c r="A27" s="702">
        <v>2017</v>
      </c>
      <c r="B27" s="1333">
        <f t="shared" si="0"/>
        <v>2777.8523409999998</v>
      </c>
      <c r="C27" s="351">
        <v>1232.521982</v>
      </c>
      <c r="D27" s="364">
        <v>185.924148</v>
      </c>
      <c r="E27" s="364">
        <v>287.20034300000003</v>
      </c>
      <c r="F27" s="395">
        <v>1072.205868</v>
      </c>
      <c r="J27" s="260"/>
      <c r="K27" s="260"/>
      <c r="L27" s="260"/>
      <c r="M27" s="260"/>
    </row>
    <row r="28" spans="1:13" ht="13" x14ac:dyDescent="0.3">
      <c r="A28" s="1410">
        <v>2018</v>
      </c>
      <c r="B28" s="626">
        <f t="shared" si="0"/>
        <v>3955.6078093316664</v>
      </c>
      <c r="C28" s="341">
        <v>1497.9787865649998</v>
      </c>
      <c r="D28" s="362">
        <v>211.01671494999999</v>
      </c>
      <c r="E28" s="362">
        <v>745.40054000000009</v>
      </c>
      <c r="F28" s="400">
        <v>1501.2117678166667</v>
      </c>
      <c r="J28" s="260"/>
      <c r="K28" s="260"/>
      <c r="L28" s="260"/>
      <c r="M28" s="260"/>
    </row>
    <row r="29" spans="1:13" ht="13" x14ac:dyDescent="0.3">
      <c r="A29" s="702">
        <v>2019</v>
      </c>
      <c r="B29" s="1333">
        <f t="shared" si="0"/>
        <v>4817.2202656524987</v>
      </c>
      <c r="C29" s="351">
        <v>2088.9627216524996</v>
      </c>
      <c r="D29" s="364">
        <v>311.43499800000001</v>
      </c>
      <c r="E29" s="364">
        <v>763.00995299999988</v>
      </c>
      <c r="F29" s="395">
        <v>1653.8125929999997</v>
      </c>
      <c r="J29" s="260"/>
      <c r="K29" s="260"/>
      <c r="L29" s="260"/>
      <c r="M29" s="260"/>
    </row>
    <row r="30" spans="1:13" ht="13" x14ac:dyDescent="0.3">
      <c r="A30" s="1410">
        <v>2020</v>
      </c>
      <c r="B30" s="626">
        <f t="shared" si="0"/>
        <v>5154.4471234974999</v>
      </c>
      <c r="C30" s="341">
        <v>2258.8403474974998</v>
      </c>
      <c r="D30" s="362">
        <v>304.602957</v>
      </c>
      <c r="E30" s="362">
        <v>778.12811499999998</v>
      </c>
      <c r="F30" s="400">
        <v>1812.875704</v>
      </c>
      <c r="J30" s="260"/>
      <c r="K30" s="260"/>
      <c r="L30" s="260"/>
      <c r="M30" s="260"/>
    </row>
    <row r="31" spans="1:13" ht="13" x14ac:dyDescent="0.3">
      <c r="A31" s="702">
        <v>2021</v>
      </c>
      <c r="B31" s="1333">
        <f t="shared" ref="B31" si="1">SUM(C31:F31)</f>
        <v>5555.1889059999994</v>
      </c>
      <c r="C31" s="351">
        <v>2576.0184579999996</v>
      </c>
      <c r="D31" s="364">
        <v>356.38293099999999</v>
      </c>
      <c r="E31" s="364">
        <v>801.43892800000015</v>
      </c>
      <c r="F31" s="395">
        <v>1821.3485889999999</v>
      </c>
      <c r="J31" s="260"/>
      <c r="K31" s="260"/>
      <c r="L31" s="260"/>
      <c r="M31" s="260"/>
    </row>
    <row r="32" spans="1:13" ht="13.5" thickBot="1" x14ac:dyDescent="0.35">
      <c r="A32" s="1413">
        <v>2022</v>
      </c>
      <c r="B32" s="626">
        <f t="shared" si="0"/>
        <v>5447.8863109400008</v>
      </c>
      <c r="C32" s="341">
        <v>2341.4597309400006</v>
      </c>
      <c r="D32" s="362">
        <v>355.06573400000002</v>
      </c>
      <c r="E32" s="362">
        <v>820.71795299999997</v>
      </c>
      <c r="F32" s="400">
        <v>1930.6428930000002</v>
      </c>
      <c r="J32" s="260"/>
      <c r="K32" s="260"/>
      <c r="L32" s="260"/>
      <c r="M32" s="260"/>
    </row>
    <row r="33" spans="1:14" ht="18.75" customHeight="1" x14ac:dyDescent="0.25">
      <c r="A33" s="1246" t="s">
        <v>161</v>
      </c>
      <c r="B33" s="1256">
        <f>(B32/B31)-1</f>
        <v>-1.9315741890271965E-2</v>
      </c>
      <c r="C33" s="1253">
        <f t="shared" ref="C33:E33" si="2">(C32/C31)-1</f>
        <v>-9.1054754026144935E-2</v>
      </c>
      <c r="D33" s="1247">
        <f t="shared" si="2"/>
        <v>-3.6960159576215901E-3</v>
      </c>
      <c r="E33" s="1247">
        <f t="shared" si="2"/>
        <v>2.4055513559980035E-2</v>
      </c>
      <c r="F33" s="1248">
        <f>(F32/F31)-1</f>
        <v>6.0007350959657701E-2</v>
      </c>
    </row>
    <row r="34" spans="1:14" ht="18.75" customHeight="1" x14ac:dyDescent="0.25">
      <c r="A34" s="1244" t="s">
        <v>162</v>
      </c>
      <c r="B34" s="1257">
        <f>((B32/B27)^(1/5))-1</f>
        <v>0.1442048277104333</v>
      </c>
      <c r="C34" s="1254">
        <f t="shared" ref="C34:E34" si="3">(C32/C22)-1</f>
        <v>3.1158395918408726</v>
      </c>
      <c r="D34" s="1245">
        <f t="shared" si="3"/>
        <v>1.2488050566214737</v>
      </c>
      <c r="E34" s="1245">
        <f t="shared" si="3"/>
        <v>13.765531493612903</v>
      </c>
      <c r="F34" s="416"/>
    </row>
    <row r="35" spans="1:14" ht="18.75" customHeight="1" x14ac:dyDescent="0.25">
      <c r="A35" s="1241" t="s">
        <v>163</v>
      </c>
      <c r="B35" s="1258">
        <f>(B32/B22)-1</f>
        <v>5.9633639280170332</v>
      </c>
      <c r="C35" s="859">
        <f t="shared" ref="C35:E35" si="4">(C32/C22)-1</f>
        <v>3.1158395918408726</v>
      </c>
      <c r="D35" s="1242">
        <f t="shared" si="4"/>
        <v>1.2488050566214737</v>
      </c>
      <c r="E35" s="1242">
        <f t="shared" si="4"/>
        <v>13.765531493612903</v>
      </c>
      <c r="F35" s="1243"/>
      <c r="I35" s="1631"/>
      <c r="J35" s="1631"/>
      <c r="K35" s="1631"/>
      <c r="L35" s="1631"/>
      <c r="M35" s="1631"/>
      <c r="N35" s="1631"/>
    </row>
    <row r="36" spans="1:14" ht="13" thickBot="1" x14ac:dyDescent="0.3">
      <c r="A36" s="826" t="s">
        <v>164</v>
      </c>
      <c r="B36" s="927">
        <f>((B32/B22)^(1/10))-1</f>
        <v>0.21417674142432697</v>
      </c>
      <c r="C36" s="1255">
        <f t="shared" ref="C36:F36" si="5">((C32/C27)^(1/5))-1</f>
        <v>0.13694224541572542</v>
      </c>
      <c r="D36" s="1175">
        <f t="shared" si="5"/>
        <v>0.13813713178218623</v>
      </c>
      <c r="E36" s="1175">
        <f t="shared" si="5"/>
        <v>0.23367793120068736</v>
      </c>
      <c r="F36" s="1176">
        <f t="shared" si="5"/>
        <v>0.12482446624164911</v>
      </c>
      <c r="I36" s="1631" t="s">
        <v>39</v>
      </c>
      <c r="J36" s="1631" t="s">
        <v>53</v>
      </c>
      <c r="K36" s="1631" t="s">
        <v>94</v>
      </c>
      <c r="L36" s="1631"/>
      <c r="M36" s="1631"/>
      <c r="N36" s="1631"/>
    </row>
    <row r="37" spans="1:14" x14ac:dyDescent="0.25">
      <c r="A37" s="380"/>
      <c r="I37" s="1631"/>
      <c r="J37" s="1631"/>
      <c r="K37" s="1631" t="s">
        <v>90</v>
      </c>
      <c r="L37" s="1631" t="s">
        <v>96</v>
      </c>
      <c r="M37" s="1631" t="s">
        <v>74</v>
      </c>
      <c r="N37" s="1631" t="s">
        <v>92</v>
      </c>
    </row>
    <row r="38" spans="1:14" x14ac:dyDescent="0.25">
      <c r="A38" s="383"/>
      <c r="I38" s="1631"/>
      <c r="J38" s="1631"/>
      <c r="K38" s="1631"/>
      <c r="L38" s="1631"/>
      <c r="M38" s="1631"/>
      <c r="N38" s="1631"/>
    </row>
    <row r="39" spans="1:14" x14ac:dyDescent="0.25">
      <c r="I39" s="1631"/>
      <c r="J39" s="1631"/>
      <c r="K39" s="1631"/>
      <c r="L39" s="1631"/>
      <c r="M39" s="1631"/>
      <c r="N39" s="1631"/>
    </row>
    <row r="40" spans="1:14" x14ac:dyDescent="0.25">
      <c r="I40" s="1631">
        <v>1995</v>
      </c>
      <c r="J40" s="1631">
        <v>0</v>
      </c>
      <c r="K40" s="1631">
        <v>0</v>
      </c>
      <c r="L40" s="1631">
        <v>0</v>
      </c>
      <c r="M40" s="1631">
        <v>0</v>
      </c>
      <c r="N40" s="1631">
        <v>0</v>
      </c>
    </row>
    <row r="41" spans="1:14" x14ac:dyDescent="0.25">
      <c r="I41" s="1631">
        <v>2000</v>
      </c>
      <c r="J41" s="1631">
        <v>0</v>
      </c>
      <c r="K41" s="1631">
        <v>0</v>
      </c>
      <c r="L41" s="1631">
        <v>0</v>
      </c>
      <c r="M41" s="1631">
        <v>0</v>
      </c>
      <c r="N41" s="1631">
        <v>0</v>
      </c>
    </row>
    <row r="42" spans="1:14" x14ac:dyDescent="0.25">
      <c r="I42" s="1631">
        <v>2005</v>
      </c>
      <c r="J42" s="1631">
        <v>0</v>
      </c>
      <c r="K42" s="1631">
        <v>0</v>
      </c>
      <c r="L42" s="1631">
        <v>0</v>
      </c>
      <c r="M42" s="1631">
        <v>0</v>
      </c>
      <c r="N42" s="1631">
        <v>0</v>
      </c>
    </row>
    <row r="43" spans="1:14" x14ac:dyDescent="0.25">
      <c r="I43" s="1631">
        <v>2010</v>
      </c>
      <c r="J43" s="1631">
        <v>321.93488300000001</v>
      </c>
      <c r="K43" s="1631">
        <v>244.459239</v>
      </c>
      <c r="L43" s="1631">
        <v>77.475644000000003</v>
      </c>
      <c r="M43" s="1631">
        <v>0</v>
      </c>
      <c r="N43" s="1631">
        <v>0</v>
      </c>
    </row>
    <row r="44" spans="1:14" x14ac:dyDescent="0.25">
      <c r="I44" s="1631">
        <v>2011</v>
      </c>
      <c r="J44" s="1631">
        <v>386.80218599999995</v>
      </c>
      <c r="K44" s="1631">
        <v>299.42873499999996</v>
      </c>
      <c r="L44" s="1631">
        <v>87.373451000000003</v>
      </c>
      <c r="M44" s="1631">
        <v>0</v>
      </c>
      <c r="N44" s="1631">
        <v>0</v>
      </c>
    </row>
    <row r="45" spans="1:14" x14ac:dyDescent="0.25">
      <c r="I45" s="1631">
        <v>2012</v>
      </c>
      <c r="J45" s="1631">
        <v>782.36415147289347</v>
      </c>
      <c r="K45" s="1631">
        <v>568.8899381748613</v>
      </c>
      <c r="L45" s="1631">
        <v>157.89084649846814</v>
      </c>
      <c r="M45" s="1631">
        <v>55.583366799563997</v>
      </c>
      <c r="N45" s="1631">
        <v>0</v>
      </c>
    </row>
    <row r="46" spans="1:14" x14ac:dyDescent="0.25">
      <c r="I46" s="1631">
        <v>2013</v>
      </c>
      <c r="J46" s="1631">
        <v>1271.5761025841243</v>
      </c>
      <c r="K46" s="1631">
        <v>800.54631359599205</v>
      </c>
      <c r="L46" s="1631">
        <v>274.10191097608498</v>
      </c>
      <c r="M46" s="1631">
        <v>196.92787801204742</v>
      </c>
      <c r="N46" s="1631">
        <v>0</v>
      </c>
    </row>
    <row r="47" spans="1:14" x14ac:dyDescent="0.25">
      <c r="I47" s="1631">
        <v>2014</v>
      </c>
      <c r="J47" s="1631">
        <v>1591.5700082881003</v>
      </c>
      <c r="K47" s="1631">
        <v>906.78473836316186</v>
      </c>
      <c r="L47" s="1631">
        <v>229.16741540250001</v>
      </c>
      <c r="M47" s="1631">
        <v>199.30359694553749</v>
      </c>
      <c r="N47" s="1631">
        <v>256.31425757690079</v>
      </c>
    </row>
    <row r="48" spans="1:14" x14ac:dyDescent="0.25">
      <c r="I48" s="1631">
        <v>2015</v>
      </c>
      <c r="J48" s="1631">
        <v>2162.3398025941069</v>
      </c>
      <c r="K48" s="1631">
        <v>1138.3190625329999</v>
      </c>
      <c r="L48" s="1631">
        <v>199.39126557243699</v>
      </c>
      <c r="M48" s="1631">
        <v>230.25534299999998</v>
      </c>
      <c r="N48" s="1631">
        <v>594.37413148867006</v>
      </c>
    </row>
    <row r="49" spans="9:14" x14ac:dyDescent="0.25">
      <c r="I49" s="1631">
        <v>2016</v>
      </c>
      <c r="J49" s="1631">
        <v>2584.3388323076524</v>
      </c>
      <c r="K49" s="1631">
        <v>1077.1610379011979</v>
      </c>
      <c r="L49" s="1631">
        <v>203.56655000000001</v>
      </c>
      <c r="M49" s="1631">
        <v>241.00855899999996</v>
      </c>
      <c r="N49" s="1631">
        <v>1062.6026854064544</v>
      </c>
    </row>
    <row r="50" spans="9:14" x14ac:dyDescent="0.25">
      <c r="I50" s="1631">
        <v>2017</v>
      </c>
      <c r="J50" s="1631">
        <v>2777.8523409999998</v>
      </c>
      <c r="K50" s="1631">
        <v>1232.521982</v>
      </c>
      <c r="L50" s="1631">
        <v>185.924148</v>
      </c>
      <c r="M50" s="1631">
        <v>287.20034300000003</v>
      </c>
      <c r="N50" s="1631">
        <v>1072.205868</v>
      </c>
    </row>
    <row r="51" spans="9:14" x14ac:dyDescent="0.25">
      <c r="I51" s="1631">
        <v>2018</v>
      </c>
      <c r="J51" s="1631">
        <v>3955.6078093316664</v>
      </c>
      <c r="K51" s="1631">
        <v>1497.9787865649998</v>
      </c>
      <c r="L51" s="1631">
        <v>211.01671494999999</v>
      </c>
      <c r="M51" s="1631">
        <v>745.40054000000009</v>
      </c>
      <c r="N51" s="1631">
        <v>1501.2117678166667</v>
      </c>
    </row>
    <row r="52" spans="9:14" x14ac:dyDescent="0.25">
      <c r="I52" s="1631">
        <v>2019</v>
      </c>
      <c r="J52" s="1631">
        <v>4817.2202656524987</v>
      </c>
      <c r="K52" s="1631">
        <v>2088.9627216524996</v>
      </c>
      <c r="L52" s="1631">
        <v>311.43499800000001</v>
      </c>
      <c r="M52" s="1631">
        <v>763.00995299999988</v>
      </c>
      <c r="N52" s="1631">
        <v>1653.8125929999997</v>
      </c>
    </row>
    <row r="53" spans="9:14" x14ac:dyDescent="0.25">
      <c r="I53" s="1631">
        <v>2020</v>
      </c>
      <c r="J53" s="1631">
        <v>5154.4471234974999</v>
      </c>
      <c r="K53" s="1631">
        <v>2258.8403474974998</v>
      </c>
      <c r="L53" s="1631">
        <v>304.602957</v>
      </c>
      <c r="M53" s="1631">
        <v>778.12811499999998</v>
      </c>
      <c r="N53" s="1631">
        <v>1812.875704</v>
      </c>
    </row>
    <row r="54" spans="9:14" x14ac:dyDescent="0.25">
      <c r="I54" s="1631">
        <v>2021</v>
      </c>
      <c r="J54" s="1631">
        <v>5555.1889059999994</v>
      </c>
      <c r="K54" s="1631">
        <v>2576.0184579999996</v>
      </c>
      <c r="L54" s="1631">
        <v>356.38293099999999</v>
      </c>
      <c r="M54" s="1631">
        <v>801.43892800000015</v>
      </c>
      <c r="N54" s="1631">
        <v>1821.3485889999999</v>
      </c>
    </row>
    <row r="55" spans="9:14" x14ac:dyDescent="0.25">
      <c r="I55" s="1631">
        <v>2022</v>
      </c>
      <c r="J55" s="1631">
        <v>5447.8863109400008</v>
      </c>
      <c r="K55" s="1631">
        <v>2341.4597309400006</v>
      </c>
      <c r="L55" s="1631">
        <v>355.06573400000002</v>
      </c>
      <c r="M55" s="1631">
        <v>820.71795299999997</v>
      </c>
      <c r="N55" s="1631">
        <v>1930.6428930000002</v>
      </c>
    </row>
    <row r="56" spans="9:14" x14ac:dyDescent="0.25">
      <c r="I56" s="1631"/>
      <c r="J56" s="1631"/>
      <c r="K56" s="1631"/>
      <c r="L56" s="1631"/>
      <c r="M56" s="1631"/>
      <c r="N56" s="1631"/>
    </row>
  </sheetData>
  <mergeCells count="3">
    <mergeCell ref="A3:A4"/>
    <mergeCell ref="B3:B4"/>
    <mergeCell ref="C3:F3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8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A56"/>
  <sheetViews>
    <sheetView showGridLines="0" view="pageBreakPreview" zoomScaleNormal="90" zoomScaleSheetLayoutView="100" workbookViewId="0">
      <selection activeCell="B5" sqref="B5"/>
    </sheetView>
  </sheetViews>
  <sheetFormatPr baseColWidth="10" defaultColWidth="11.453125" defaultRowHeight="12.5" x14ac:dyDescent="0.25"/>
  <cols>
    <col min="1" max="1" width="4.7265625" style="315" customWidth="1"/>
    <col min="2" max="2" width="24" style="315" customWidth="1"/>
    <col min="3" max="4" width="15" style="315" customWidth="1"/>
    <col min="5" max="5" width="13.26953125" style="315" customWidth="1"/>
    <col min="6" max="6" width="12.7265625" style="315" customWidth="1"/>
    <col min="7" max="7" width="14" style="315" customWidth="1"/>
    <col min="8" max="8" width="6.7265625" style="315" bestFit="1" customWidth="1"/>
    <col min="9" max="16384" width="11.453125" style="315"/>
  </cols>
  <sheetData>
    <row r="2" spans="1:27" ht="18" x14ac:dyDescent="0.4">
      <c r="A2" s="438" t="s">
        <v>185</v>
      </c>
      <c r="C2" s="439"/>
      <c r="D2" s="439"/>
      <c r="E2" s="439"/>
      <c r="F2" s="439"/>
      <c r="G2" s="439"/>
      <c r="H2" s="439"/>
    </row>
    <row r="4" spans="1:27" ht="15.5" x14ac:dyDescent="0.35">
      <c r="B4" s="613" t="s">
        <v>234</v>
      </c>
    </row>
    <row r="5" spans="1:27" ht="13" thickBot="1" x14ac:dyDescent="0.3"/>
    <row r="6" spans="1:27" s="493" customFormat="1" ht="13" x14ac:dyDescent="0.25">
      <c r="B6" s="1514" t="s">
        <v>39</v>
      </c>
      <c r="C6" s="1516" t="s">
        <v>115</v>
      </c>
      <c r="D6" s="1517"/>
      <c r="E6" s="1517"/>
      <c r="F6" s="1517"/>
      <c r="G6" s="1517"/>
      <c r="H6" s="1549"/>
    </row>
    <row r="7" spans="1:27" s="493" customFormat="1" ht="13" x14ac:dyDescent="0.3">
      <c r="B7" s="1553"/>
      <c r="C7" s="1550" t="s">
        <v>116</v>
      </c>
      <c r="D7" s="1551"/>
      <c r="E7" s="1551"/>
      <c r="F7" s="1551"/>
      <c r="G7" s="1551"/>
      <c r="H7" s="1552"/>
      <c r="O7" s="892" t="s">
        <v>116</v>
      </c>
      <c r="P7" s="893"/>
      <c r="Q7" s="894"/>
      <c r="R7" s="894"/>
      <c r="S7" s="894"/>
      <c r="T7" s="894"/>
      <c r="W7" s="1555" t="s">
        <v>116</v>
      </c>
      <c r="X7" s="1556"/>
      <c r="Y7" s="1556"/>
      <c r="Z7" s="1556"/>
      <c r="AA7" s="1556"/>
    </row>
    <row r="8" spans="1:27" s="493" customFormat="1" ht="13" x14ac:dyDescent="0.25">
      <c r="B8" s="1554"/>
      <c r="C8" s="1090" t="s">
        <v>53</v>
      </c>
      <c r="D8" s="1091">
        <v>500</v>
      </c>
      <c r="E8" s="1092">
        <v>220</v>
      </c>
      <c r="F8" s="1092">
        <v>138</v>
      </c>
      <c r="G8" s="1092" t="s">
        <v>117</v>
      </c>
      <c r="H8" s="1093" t="s">
        <v>118</v>
      </c>
      <c r="O8" s="895" t="s">
        <v>53</v>
      </c>
      <c r="P8" s="896">
        <v>500</v>
      </c>
      <c r="Q8" s="897">
        <v>220</v>
      </c>
      <c r="R8" s="896">
        <v>138</v>
      </c>
      <c r="S8" s="898" t="s">
        <v>117</v>
      </c>
      <c r="T8" s="897" t="s">
        <v>118</v>
      </c>
      <c r="V8" s="1311"/>
      <c r="W8" s="896" t="s">
        <v>169</v>
      </c>
      <c r="X8" s="897" t="s">
        <v>170</v>
      </c>
      <c r="Y8" s="896" t="s">
        <v>171</v>
      </c>
      <c r="Z8" s="898" t="s">
        <v>172</v>
      </c>
      <c r="AA8" s="897" t="s">
        <v>173</v>
      </c>
    </row>
    <row r="9" spans="1:27" ht="13" x14ac:dyDescent="0.3">
      <c r="B9" s="440">
        <v>1995</v>
      </c>
      <c r="C9" s="1349">
        <f>SUM(E9:H9)</f>
        <v>9131.5360000000001</v>
      </c>
      <c r="D9" s="541"/>
      <c r="E9" s="442">
        <v>3129.692</v>
      </c>
      <c r="F9" s="442">
        <v>1872.9719999999998</v>
      </c>
      <c r="G9" s="442">
        <v>3030.6320000000001</v>
      </c>
      <c r="H9" s="443">
        <v>1098.24</v>
      </c>
      <c r="J9" s="375"/>
      <c r="L9" s="328"/>
      <c r="N9" s="315">
        <f t="shared" ref="N9:N35" si="0">+B9</f>
        <v>1995</v>
      </c>
      <c r="O9" s="444">
        <f t="shared" ref="O9:O26" si="1">SUM(P9:T9)</f>
        <v>9131.5360000000001</v>
      </c>
      <c r="P9" s="445">
        <f>+D9</f>
        <v>0</v>
      </c>
      <c r="Q9" s="445">
        <f>+E9</f>
        <v>3129.692</v>
      </c>
      <c r="R9" s="445">
        <f>+F9</f>
        <v>1872.9719999999998</v>
      </c>
      <c r="S9" s="445">
        <f>+G9</f>
        <v>3030.6320000000001</v>
      </c>
      <c r="T9" s="445">
        <f>+H9</f>
        <v>1098.24</v>
      </c>
      <c r="V9" s="315">
        <f>+N9</f>
        <v>1995</v>
      </c>
      <c r="W9" s="1351">
        <f>+P9</f>
        <v>0</v>
      </c>
      <c r="X9" s="1351">
        <f t="shared" ref="X9:AA9" si="2">+Q9</f>
        <v>3129.692</v>
      </c>
      <c r="Y9" s="1351">
        <f t="shared" si="2"/>
        <v>1872.9719999999998</v>
      </c>
      <c r="Z9" s="1351">
        <f t="shared" si="2"/>
        <v>3030.6320000000001</v>
      </c>
      <c r="AA9" s="1351">
        <f t="shared" si="2"/>
        <v>1098.24</v>
      </c>
    </row>
    <row r="10" spans="1:27" ht="13" x14ac:dyDescent="0.3">
      <c r="B10" s="446">
        <v>1996</v>
      </c>
      <c r="C10" s="1350">
        <f t="shared" ref="C10:C24" si="3">SUM(E10:H10)</f>
        <v>9410.0730000000003</v>
      </c>
      <c r="D10" s="542"/>
      <c r="E10" s="448">
        <v>3129.692</v>
      </c>
      <c r="F10" s="448">
        <v>1872.9719999999998</v>
      </c>
      <c r="G10" s="448">
        <v>3277.7189999999996</v>
      </c>
      <c r="H10" s="449">
        <v>1129.69</v>
      </c>
      <c r="J10" s="375"/>
      <c r="L10" s="328"/>
      <c r="N10" s="315">
        <f t="shared" si="0"/>
        <v>1996</v>
      </c>
      <c r="O10" s="444">
        <f t="shared" si="1"/>
        <v>9410.0730000000003</v>
      </c>
      <c r="P10" s="445">
        <f t="shared" ref="P10:T35" si="4">+D10</f>
        <v>0</v>
      </c>
      <c r="Q10" s="445">
        <f t="shared" si="4"/>
        <v>3129.692</v>
      </c>
      <c r="R10" s="445">
        <f t="shared" si="4"/>
        <v>1872.9719999999998</v>
      </c>
      <c r="S10" s="445">
        <f t="shared" si="4"/>
        <v>3277.7189999999996</v>
      </c>
      <c r="T10" s="445">
        <f t="shared" si="4"/>
        <v>1129.69</v>
      </c>
      <c r="V10" s="315">
        <f>+N14</f>
        <v>2000</v>
      </c>
      <c r="W10" s="6">
        <f>+P14</f>
        <v>0</v>
      </c>
      <c r="X10" s="6">
        <f t="shared" ref="X10:AA10" si="5">+Q14</f>
        <v>4860.0660900000003</v>
      </c>
      <c r="Y10" s="6">
        <f t="shared" si="5"/>
        <v>3135.1529999999998</v>
      </c>
      <c r="Z10" s="6">
        <f t="shared" si="5"/>
        <v>4213.37</v>
      </c>
      <c r="AA10" s="6">
        <f t="shared" si="5"/>
        <v>1447.4109999999998</v>
      </c>
    </row>
    <row r="11" spans="1:27" ht="13" x14ac:dyDescent="0.3">
      <c r="B11" s="440">
        <v>1997</v>
      </c>
      <c r="C11" s="1349">
        <f t="shared" si="3"/>
        <v>10824.466</v>
      </c>
      <c r="D11" s="541"/>
      <c r="E11" s="442">
        <v>3625.4960000000001</v>
      </c>
      <c r="F11" s="442">
        <v>2240.8330000000005</v>
      </c>
      <c r="G11" s="442">
        <v>3629.1389999999992</v>
      </c>
      <c r="H11" s="443">
        <v>1328.998</v>
      </c>
      <c r="J11" s="375"/>
      <c r="L11" s="328"/>
      <c r="N11" s="315">
        <f t="shared" si="0"/>
        <v>1997</v>
      </c>
      <c r="O11" s="444">
        <f t="shared" si="1"/>
        <v>10824.466</v>
      </c>
      <c r="P11" s="445">
        <f t="shared" si="4"/>
        <v>0</v>
      </c>
      <c r="Q11" s="445">
        <f t="shared" si="4"/>
        <v>3625.4960000000001</v>
      </c>
      <c r="R11" s="445">
        <f t="shared" si="4"/>
        <v>2240.8330000000005</v>
      </c>
      <c r="S11" s="445">
        <f t="shared" si="4"/>
        <v>3629.1389999999992</v>
      </c>
      <c r="T11" s="445">
        <f t="shared" si="4"/>
        <v>1328.998</v>
      </c>
      <c r="V11" s="315">
        <f>+N19</f>
        <v>2005</v>
      </c>
      <c r="W11" s="6">
        <f>+P19</f>
        <v>0</v>
      </c>
      <c r="X11" s="6">
        <f t="shared" ref="X11:AA11" si="6">+Q19</f>
        <v>5613.9770900000003</v>
      </c>
      <c r="Y11" s="6">
        <f t="shared" si="6"/>
        <v>3435</v>
      </c>
      <c r="Z11" s="6">
        <f t="shared" si="6"/>
        <v>4678</v>
      </c>
      <c r="AA11" s="6">
        <f t="shared" si="6"/>
        <v>1545</v>
      </c>
    </row>
    <row r="12" spans="1:27" ht="13" x14ac:dyDescent="0.3">
      <c r="B12" s="446">
        <v>1998</v>
      </c>
      <c r="C12" s="1350">
        <f t="shared" si="3"/>
        <v>11328.207999999999</v>
      </c>
      <c r="D12" s="542"/>
      <c r="E12" s="448">
        <v>3625.4960000000001</v>
      </c>
      <c r="F12" s="448">
        <v>2410.5329999999999</v>
      </c>
      <c r="G12" s="448">
        <v>3894.5229999999988</v>
      </c>
      <c r="H12" s="449">
        <v>1397.6559999999999</v>
      </c>
      <c r="J12" s="375"/>
      <c r="L12" s="328"/>
      <c r="N12" s="315">
        <f t="shared" si="0"/>
        <v>1998</v>
      </c>
      <c r="O12" s="444">
        <f t="shared" si="1"/>
        <v>11328.207999999999</v>
      </c>
      <c r="P12" s="445">
        <f t="shared" si="4"/>
        <v>0</v>
      </c>
      <c r="Q12" s="445">
        <f t="shared" si="4"/>
        <v>3625.4960000000001</v>
      </c>
      <c r="R12" s="445">
        <f t="shared" si="4"/>
        <v>2410.5329999999999</v>
      </c>
      <c r="S12" s="445">
        <f t="shared" si="4"/>
        <v>3894.5229999999988</v>
      </c>
      <c r="T12" s="445">
        <f t="shared" si="4"/>
        <v>1397.6559999999999</v>
      </c>
      <c r="V12" s="315">
        <f>+N24</f>
        <v>2010</v>
      </c>
      <c r="W12" s="6">
        <f>+P24</f>
        <v>0</v>
      </c>
      <c r="X12" s="6">
        <f t="shared" ref="X12:AA12" si="7">+Q24</f>
        <v>5862.5670899999986</v>
      </c>
      <c r="Y12" s="6">
        <f t="shared" si="7"/>
        <v>4252.0780000000004</v>
      </c>
      <c r="Z12" s="6">
        <f t="shared" si="7"/>
        <v>5204.0582000000004</v>
      </c>
      <c r="AA12" s="6">
        <f t="shared" si="7"/>
        <v>1746.1599999999999</v>
      </c>
    </row>
    <row r="13" spans="1:27" ht="13" x14ac:dyDescent="0.3">
      <c r="B13" s="440">
        <v>1999</v>
      </c>
      <c r="C13" s="1349">
        <f t="shared" si="3"/>
        <v>12527.669999999998</v>
      </c>
      <c r="D13" s="541"/>
      <c r="E13" s="442">
        <v>3996.306</v>
      </c>
      <c r="F13" s="442">
        <v>2920.413</v>
      </c>
      <c r="G13" s="442">
        <v>4189.570999999999</v>
      </c>
      <c r="H13" s="443">
        <v>1421.38</v>
      </c>
      <c r="J13" s="375"/>
      <c r="L13" s="328"/>
      <c r="N13" s="315">
        <f t="shared" si="0"/>
        <v>1999</v>
      </c>
      <c r="O13" s="444">
        <f t="shared" si="1"/>
        <v>12527.669999999998</v>
      </c>
      <c r="P13" s="445">
        <f t="shared" si="4"/>
        <v>0</v>
      </c>
      <c r="Q13" s="445">
        <f t="shared" si="4"/>
        <v>3996.306</v>
      </c>
      <c r="R13" s="445">
        <f t="shared" si="4"/>
        <v>2920.413</v>
      </c>
      <c r="S13" s="445">
        <f t="shared" si="4"/>
        <v>4189.570999999999</v>
      </c>
      <c r="T13" s="445">
        <f t="shared" si="4"/>
        <v>1421.38</v>
      </c>
      <c r="V13" s="315" t="str">
        <f t="shared" ref="V13:V24" si="8">+N25</f>
        <v>2011*</v>
      </c>
      <c r="W13" s="6">
        <f>+P25</f>
        <v>89.9</v>
      </c>
      <c r="X13" s="6">
        <f t="shared" ref="X13:AA24" si="9">+Q25</f>
        <v>7105.9870899999996</v>
      </c>
      <c r="Y13" s="6">
        <f t="shared" si="9"/>
        <v>4277.8440000000001</v>
      </c>
      <c r="Z13" s="6">
        <f t="shared" si="9"/>
        <v>5607.8222000000023</v>
      </c>
      <c r="AA13" s="6">
        <f t="shared" si="9"/>
        <v>1751.7279999999994</v>
      </c>
    </row>
    <row r="14" spans="1:27" ht="13" x14ac:dyDescent="0.3">
      <c r="B14" s="446">
        <v>2000</v>
      </c>
      <c r="C14" s="1350">
        <f t="shared" si="3"/>
        <v>13656.000090000001</v>
      </c>
      <c r="D14" s="542"/>
      <c r="E14" s="448">
        <v>4860.0660900000003</v>
      </c>
      <c r="F14" s="448">
        <v>3135.1529999999998</v>
      </c>
      <c r="G14" s="448">
        <v>4213.37</v>
      </c>
      <c r="H14" s="449">
        <v>1447.4109999999998</v>
      </c>
      <c r="J14" s="375"/>
      <c r="L14" s="328"/>
      <c r="N14" s="315">
        <f>+B14</f>
        <v>2000</v>
      </c>
      <c r="O14" s="444">
        <f>SUM(P14:T14)</f>
        <v>13656.000090000001</v>
      </c>
      <c r="P14" s="445">
        <f>+D14</f>
        <v>0</v>
      </c>
      <c r="Q14" s="445">
        <f>+E14</f>
        <v>4860.0660900000003</v>
      </c>
      <c r="R14" s="445">
        <f>+F14</f>
        <v>3135.1529999999998</v>
      </c>
      <c r="S14" s="445">
        <f>+G14</f>
        <v>4213.37</v>
      </c>
      <c r="T14" s="445">
        <f>+H14</f>
        <v>1447.4109999999998</v>
      </c>
      <c r="V14" s="315">
        <f t="shared" si="8"/>
        <v>2012</v>
      </c>
      <c r="W14" s="6">
        <f t="shared" ref="W14:W24" si="10">+P26</f>
        <v>611.9</v>
      </c>
      <c r="X14" s="6">
        <f t="shared" si="9"/>
        <v>7459.7680899999996</v>
      </c>
      <c r="Y14" s="6">
        <f t="shared" si="9"/>
        <v>4285.6540000000005</v>
      </c>
      <c r="Z14" s="6">
        <f t="shared" si="9"/>
        <v>5782.9882000000034</v>
      </c>
      <c r="AA14" s="6">
        <f t="shared" si="9"/>
        <v>1795.4479999999992</v>
      </c>
    </row>
    <row r="15" spans="1:27" ht="13" x14ac:dyDescent="0.3">
      <c r="B15" s="440">
        <v>2001</v>
      </c>
      <c r="C15" s="1349">
        <f t="shared" si="3"/>
        <v>14260.63609</v>
      </c>
      <c r="D15" s="541"/>
      <c r="E15" s="442">
        <v>5318.1030899999996</v>
      </c>
      <c r="F15" s="442">
        <v>3183.0039999999999</v>
      </c>
      <c r="G15" s="442">
        <v>4309.5889999999999</v>
      </c>
      <c r="H15" s="443">
        <v>1449.94</v>
      </c>
      <c r="J15" s="375"/>
      <c r="L15" s="328"/>
      <c r="N15" s="315">
        <f t="shared" si="0"/>
        <v>2001</v>
      </c>
      <c r="O15" s="444">
        <f t="shared" si="1"/>
        <v>14260.63609</v>
      </c>
      <c r="P15" s="445">
        <f t="shared" si="4"/>
        <v>0</v>
      </c>
      <c r="Q15" s="445">
        <f t="shared" si="4"/>
        <v>5318.1030899999996</v>
      </c>
      <c r="R15" s="445">
        <f t="shared" si="4"/>
        <v>3183.0039999999999</v>
      </c>
      <c r="S15" s="445">
        <f t="shared" si="4"/>
        <v>4309.5889999999999</v>
      </c>
      <c r="T15" s="445">
        <f t="shared" si="4"/>
        <v>1449.94</v>
      </c>
      <c r="V15" s="315">
        <f t="shared" si="8"/>
        <v>2013</v>
      </c>
      <c r="W15" s="6">
        <f t="shared" si="10"/>
        <v>621.86</v>
      </c>
      <c r="X15" s="6">
        <f t="shared" si="9"/>
        <v>7841.6769999999997</v>
      </c>
      <c r="Y15" s="6">
        <f t="shared" si="9"/>
        <v>4416.9339999999993</v>
      </c>
      <c r="Z15" s="6">
        <f t="shared" si="9"/>
        <v>5907.1522000000004</v>
      </c>
      <c r="AA15" s="6">
        <f t="shared" si="9"/>
        <v>1797.4960000000001</v>
      </c>
    </row>
    <row r="16" spans="1:27" ht="13" x14ac:dyDescent="0.3">
      <c r="B16" s="446">
        <v>2002</v>
      </c>
      <c r="C16" s="1350">
        <f t="shared" si="3"/>
        <v>14678.775089999999</v>
      </c>
      <c r="D16" s="542"/>
      <c r="E16" s="448">
        <v>5558.6770900000001</v>
      </c>
      <c r="F16" s="448">
        <v>3331.1639999999998</v>
      </c>
      <c r="G16" s="448">
        <v>4334.5889999999999</v>
      </c>
      <c r="H16" s="449">
        <v>1454.345</v>
      </c>
      <c r="J16" s="375"/>
      <c r="L16" s="328"/>
      <c r="N16" s="315">
        <f t="shared" si="0"/>
        <v>2002</v>
      </c>
      <c r="O16" s="444">
        <f t="shared" si="1"/>
        <v>14678.775089999999</v>
      </c>
      <c r="P16" s="445">
        <f t="shared" si="4"/>
        <v>0</v>
      </c>
      <c r="Q16" s="445">
        <f t="shared" si="4"/>
        <v>5558.6770900000001</v>
      </c>
      <c r="R16" s="445">
        <f t="shared" si="4"/>
        <v>3331.1639999999998</v>
      </c>
      <c r="S16" s="445">
        <f t="shared" si="4"/>
        <v>4334.5889999999999</v>
      </c>
      <c r="T16" s="445">
        <f t="shared" si="4"/>
        <v>1454.345</v>
      </c>
      <c r="V16" s="315">
        <f t="shared" si="8"/>
        <v>2014</v>
      </c>
      <c r="W16" s="6">
        <f t="shared" si="10"/>
        <v>1838.46</v>
      </c>
      <c r="X16" s="6">
        <f t="shared" si="9"/>
        <v>8240.8355100000008</v>
      </c>
      <c r="Y16" s="6">
        <f t="shared" si="9"/>
        <v>4368.3289000000004</v>
      </c>
      <c r="Z16" s="6">
        <f t="shared" si="9"/>
        <v>4888.8531000000021</v>
      </c>
      <c r="AA16" s="6">
        <f t="shared" si="9"/>
        <v>2252.5648200000005</v>
      </c>
    </row>
    <row r="17" spans="2:27" ht="13" x14ac:dyDescent="0.3">
      <c r="B17" s="440">
        <v>2003</v>
      </c>
      <c r="C17" s="1349">
        <f>SUM(E17:H17)</f>
        <v>14692.997089999999</v>
      </c>
      <c r="D17" s="541"/>
      <c r="E17" s="442">
        <v>5558.6770900000001</v>
      </c>
      <c r="F17" s="442">
        <v>3338.1639999999998</v>
      </c>
      <c r="G17" s="442">
        <v>4335.3109999999997</v>
      </c>
      <c r="H17" s="443">
        <v>1460.845</v>
      </c>
      <c r="J17" s="375"/>
      <c r="L17" s="328"/>
      <c r="N17" s="315">
        <f t="shared" si="0"/>
        <v>2003</v>
      </c>
      <c r="O17" s="444">
        <f t="shared" si="1"/>
        <v>14692.997089999999</v>
      </c>
      <c r="P17" s="445">
        <f t="shared" si="4"/>
        <v>0</v>
      </c>
      <c r="Q17" s="445">
        <f t="shared" si="4"/>
        <v>5558.6770900000001</v>
      </c>
      <c r="R17" s="445">
        <f t="shared" si="4"/>
        <v>3338.1639999999998</v>
      </c>
      <c r="S17" s="445">
        <f t="shared" si="4"/>
        <v>4335.3109999999997</v>
      </c>
      <c r="T17" s="445">
        <f t="shared" si="4"/>
        <v>1460.845</v>
      </c>
      <c r="V17" s="315">
        <f t="shared" si="8"/>
        <v>2015</v>
      </c>
      <c r="W17" s="6">
        <f t="shared" si="10"/>
        <v>1838.46</v>
      </c>
      <c r="X17" s="6">
        <f t="shared" si="9"/>
        <v>8665.1200000000008</v>
      </c>
      <c r="Y17" s="6">
        <f t="shared" si="9"/>
        <v>4368.78</v>
      </c>
      <c r="Z17" s="6">
        <f t="shared" si="9"/>
        <v>5022.3391000000011</v>
      </c>
      <c r="AA17" s="6">
        <f t="shared" si="9"/>
        <v>2278.5619999999999</v>
      </c>
    </row>
    <row r="18" spans="2:27" ht="13" x14ac:dyDescent="0.3">
      <c r="B18" s="446">
        <v>2004</v>
      </c>
      <c r="C18" s="1350">
        <f t="shared" si="3"/>
        <v>14856.66409</v>
      </c>
      <c r="D18" s="542"/>
      <c r="E18" s="448">
        <v>5613.9770900000003</v>
      </c>
      <c r="F18" s="448">
        <v>3337.61</v>
      </c>
      <c r="G18" s="448">
        <v>4335.3109999999997</v>
      </c>
      <c r="H18" s="449">
        <v>1569.7659999999996</v>
      </c>
      <c r="J18" s="375"/>
      <c r="L18" s="328"/>
      <c r="N18" s="315">
        <f t="shared" si="0"/>
        <v>2004</v>
      </c>
      <c r="O18" s="444">
        <f t="shared" si="1"/>
        <v>14856.66409</v>
      </c>
      <c r="P18" s="445">
        <f t="shared" si="4"/>
        <v>0</v>
      </c>
      <c r="Q18" s="445">
        <f t="shared" si="4"/>
        <v>5613.9770900000003</v>
      </c>
      <c r="R18" s="445">
        <f t="shared" si="4"/>
        <v>3337.61</v>
      </c>
      <c r="S18" s="445">
        <f t="shared" si="4"/>
        <v>4335.3109999999997</v>
      </c>
      <c r="T18" s="445">
        <f t="shared" si="4"/>
        <v>1569.7659999999996</v>
      </c>
      <c r="V18" s="315">
        <f t="shared" si="8"/>
        <v>2016</v>
      </c>
      <c r="W18" s="6">
        <f t="shared" si="10"/>
        <v>1969.8000000000002</v>
      </c>
      <c r="X18" s="6">
        <f t="shared" si="9"/>
        <v>9567.8435099999933</v>
      </c>
      <c r="Y18" s="6">
        <f t="shared" si="9"/>
        <v>4432.2038999999995</v>
      </c>
      <c r="Z18" s="6">
        <f t="shared" si="9"/>
        <v>5230.0291000000043</v>
      </c>
      <c r="AA18" s="6">
        <f t="shared" si="9"/>
        <v>2288.2648200000003</v>
      </c>
    </row>
    <row r="19" spans="2:27" ht="13" x14ac:dyDescent="0.3">
      <c r="B19" s="440">
        <v>2005</v>
      </c>
      <c r="C19" s="1349">
        <f t="shared" si="3"/>
        <v>15271.97709</v>
      </c>
      <c r="D19" s="541"/>
      <c r="E19" s="442">
        <v>5613.9770900000003</v>
      </c>
      <c r="F19" s="442">
        <v>3435</v>
      </c>
      <c r="G19" s="442">
        <v>4678</v>
      </c>
      <c r="H19" s="443">
        <v>1545</v>
      </c>
      <c r="J19" s="375"/>
      <c r="L19" s="328"/>
      <c r="N19" s="315">
        <f t="shared" si="0"/>
        <v>2005</v>
      </c>
      <c r="O19" s="444">
        <f t="shared" si="1"/>
        <v>15271.97709</v>
      </c>
      <c r="P19" s="445">
        <f t="shared" si="4"/>
        <v>0</v>
      </c>
      <c r="Q19" s="445">
        <f t="shared" si="4"/>
        <v>5613.9770900000003</v>
      </c>
      <c r="R19" s="445">
        <f t="shared" si="4"/>
        <v>3435</v>
      </c>
      <c r="S19" s="445">
        <f t="shared" si="4"/>
        <v>4678</v>
      </c>
      <c r="T19" s="445">
        <f t="shared" si="4"/>
        <v>1545</v>
      </c>
      <c r="V19" s="315">
        <f t="shared" si="8"/>
        <v>2017</v>
      </c>
      <c r="W19" s="6">
        <f t="shared" si="10"/>
        <v>2882</v>
      </c>
      <c r="X19" s="6">
        <f t="shared" si="9"/>
        <v>10162.963509999998</v>
      </c>
      <c r="Y19" s="6">
        <f t="shared" si="9"/>
        <v>4386.0339000000004</v>
      </c>
      <c r="Z19" s="6">
        <f t="shared" si="9"/>
        <v>5403.9190999999992</v>
      </c>
      <c r="AA19" s="6">
        <f t="shared" si="9"/>
        <v>2010.2848200000008</v>
      </c>
    </row>
    <row r="20" spans="2:27" ht="13" x14ac:dyDescent="0.3">
      <c r="B20" s="446">
        <v>2006</v>
      </c>
      <c r="C20" s="1350">
        <f t="shared" si="3"/>
        <v>15688.071089999998</v>
      </c>
      <c r="D20" s="542"/>
      <c r="E20" s="448">
        <v>5664.0870899999991</v>
      </c>
      <c r="F20" s="448">
        <v>3636.3779999999997</v>
      </c>
      <c r="G20" s="448">
        <v>4841.8579999999993</v>
      </c>
      <c r="H20" s="449">
        <v>1545.7479999999998</v>
      </c>
      <c r="J20" s="375"/>
      <c r="L20" s="328"/>
      <c r="N20" s="315">
        <f t="shared" si="0"/>
        <v>2006</v>
      </c>
      <c r="O20" s="444">
        <f t="shared" si="1"/>
        <v>15688.071089999998</v>
      </c>
      <c r="P20" s="445">
        <f t="shared" si="4"/>
        <v>0</v>
      </c>
      <c r="Q20" s="445">
        <f t="shared" si="4"/>
        <v>5664.0870899999991</v>
      </c>
      <c r="R20" s="445">
        <f t="shared" si="4"/>
        <v>3636.3779999999997</v>
      </c>
      <c r="S20" s="445">
        <f t="shared" si="4"/>
        <v>4841.8579999999993</v>
      </c>
      <c r="T20" s="445">
        <f t="shared" si="4"/>
        <v>1545.7479999999998</v>
      </c>
      <c r="V20" s="315">
        <f t="shared" si="8"/>
        <v>2018</v>
      </c>
      <c r="W20" s="6">
        <f t="shared" si="10"/>
        <v>2883.3999999999996</v>
      </c>
      <c r="X20" s="6">
        <f t="shared" si="9"/>
        <v>10966.555509999998</v>
      </c>
      <c r="Y20" s="6">
        <f t="shared" si="9"/>
        <v>4738.1038999999982</v>
      </c>
      <c r="Z20" s="6">
        <f t="shared" si="9"/>
        <v>7008.2821000000004</v>
      </c>
      <c r="AA20" s="6">
        <f t="shared" si="9"/>
        <v>2666.0648200000001</v>
      </c>
    </row>
    <row r="21" spans="2:27" ht="13" x14ac:dyDescent="0.3">
      <c r="B21" s="440">
        <v>2007</v>
      </c>
      <c r="C21" s="1349">
        <f t="shared" si="3"/>
        <v>15711.891089999997</v>
      </c>
      <c r="D21" s="541"/>
      <c r="E21" s="442">
        <v>5676.9770899999985</v>
      </c>
      <c r="F21" s="442">
        <v>3636.3779999999997</v>
      </c>
      <c r="G21" s="442">
        <v>4852.7879999999996</v>
      </c>
      <c r="H21" s="443">
        <v>1545.7479999999998</v>
      </c>
      <c r="J21" s="375"/>
      <c r="L21" s="328"/>
      <c r="N21" s="376">
        <f t="shared" si="0"/>
        <v>2007</v>
      </c>
      <c r="O21" s="444">
        <f t="shared" si="1"/>
        <v>15711.891089999997</v>
      </c>
      <c r="P21" s="445">
        <f t="shared" si="4"/>
        <v>0</v>
      </c>
      <c r="Q21" s="445">
        <f t="shared" si="4"/>
        <v>5676.9770899999985</v>
      </c>
      <c r="R21" s="445">
        <f t="shared" si="4"/>
        <v>3636.3779999999997</v>
      </c>
      <c r="S21" s="445">
        <f t="shared" si="4"/>
        <v>4852.7879999999996</v>
      </c>
      <c r="T21" s="445">
        <f t="shared" si="4"/>
        <v>1545.7479999999998</v>
      </c>
      <c r="V21" s="315">
        <f t="shared" si="8"/>
        <v>2019</v>
      </c>
      <c r="W21" s="6">
        <f t="shared" si="10"/>
        <v>2883.3999999999996</v>
      </c>
      <c r="X21" s="6">
        <f t="shared" si="9"/>
        <v>11107.535509999998</v>
      </c>
      <c r="Y21" s="6">
        <f t="shared" si="9"/>
        <v>4796.7738999999983</v>
      </c>
      <c r="Z21" s="6">
        <f t="shared" si="9"/>
        <v>7165.3420999999998</v>
      </c>
      <c r="AA21" s="6">
        <f t="shared" si="9"/>
        <v>2666.0648200000005</v>
      </c>
    </row>
    <row r="22" spans="2:27" ht="13" x14ac:dyDescent="0.3">
      <c r="B22" s="446">
        <v>2008</v>
      </c>
      <c r="C22" s="1350">
        <f t="shared" si="3"/>
        <v>15755.003089999998</v>
      </c>
      <c r="D22" s="542"/>
      <c r="E22" s="448">
        <v>5710.7150899999997</v>
      </c>
      <c r="F22" s="448">
        <v>3636.3779999999992</v>
      </c>
      <c r="G22" s="448">
        <v>4862.1620000000003</v>
      </c>
      <c r="H22" s="449">
        <v>1545.7479999999998</v>
      </c>
      <c r="J22" s="375"/>
      <c r="L22" s="328"/>
      <c r="N22" s="376">
        <f t="shared" si="0"/>
        <v>2008</v>
      </c>
      <c r="O22" s="444">
        <f t="shared" si="1"/>
        <v>15755.003089999998</v>
      </c>
      <c r="P22" s="445">
        <f t="shared" si="4"/>
        <v>0</v>
      </c>
      <c r="Q22" s="445">
        <f t="shared" si="4"/>
        <v>5710.7150899999997</v>
      </c>
      <c r="R22" s="445">
        <f t="shared" si="4"/>
        <v>3636.3779999999992</v>
      </c>
      <c r="S22" s="445">
        <f t="shared" si="4"/>
        <v>4862.1620000000003</v>
      </c>
      <c r="T22" s="445">
        <f t="shared" si="4"/>
        <v>1545.7479999999998</v>
      </c>
      <c r="V22" s="315">
        <f t="shared" si="8"/>
        <v>2020</v>
      </c>
      <c r="W22" s="6">
        <f t="shared" si="10"/>
        <v>2883.3999999999996</v>
      </c>
      <c r="X22" s="6">
        <f t="shared" si="9"/>
        <v>11433.765509999997</v>
      </c>
      <c r="Y22" s="6">
        <f t="shared" si="9"/>
        <v>4835.8038999999999</v>
      </c>
      <c r="Z22" s="6">
        <f t="shared" si="9"/>
        <v>7228.1820999999991</v>
      </c>
      <c r="AA22" s="6">
        <f t="shared" si="9"/>
        <v>2666.0648199999991</v>
      </c>
    </row>
    <row r="23" spans="2:27" ht="13" x14ac:dyDescent="0.3">
      <c r="B23" s="440">
        <v>2009</v>
      </c>
      <c r="C23" s="1349">
        <f t="shared" si="3"/>
        <v>16319.401089999999</v>
      </c>
      <c r="D23" s="541"/>
      <c r="E23" s="442">
        <v>5714.2660900000001</v>
      </c>
      <c r="F23" s="442">
        <v>4057.0279999999998</v>
      </c>
      <c r="G23" s="442">
        <v>4992.9470000000001</v>
      </c>
      <c r="H23" s="443">
        <v>1555.16</v>
      </c>
      <c r="J23" s="375"/>
      <c r="L23" s="328"/>
      <c r="N23" s="376">
        <f t="shared" si="0"/>
        <v>2009</v>
      </c>
      <c r="O23" s="444">
        <f t="shared" si="1"/>
        <v>16319.401089999999</v>
      </c>
      <c r="P23" s="445">
        <f t="shared" si="4"/>
        <v>0</v>
      </c>
      <c r="Q23" s="445">
        <f t="shared" si="4"/>
        <v>5714.2660900000001</v>
      </c>
      <c r="R23" s="445">
        <f t="shared" si="4"/>
        <v>4057.0279999999998</v>
      </c>
      <c r="S23" s="445">
        <f t="shared" si="4"/>
        <v>4992.9470000000001</v>
      </c>
      <c r="T23" s="445">
        <f t="shared" si="4"/>
        <v>1555.16</v>
      </c>
      <c r="V23" s="315">
        <f t="shared" si="8"/>
        <v>2021</v>
      </c>
      <c r="W23" s="6">
        <f t="shared" si="10"/>
        <v>2882.96</v>
      </c>
      <c r="X23" s="6">
        <f t="shared" si="9"/>
        <v>11402.887659999999</v>
      </c>
      <c r="Y23" s="6">
        <f t="shared" si="9"/>
        <v>5000.3805600000005</v>
      </c>
      <c r="Z23" s="6">
        <f t="shared" si="9"/>
        <v>7598.822030999997</v>
      </c>
      <c r="AA23" s="6">
        <f t="shared" si="9"/>
        <v>2752.8848199999993</v>
      </c>
    </row>
    <row r="24" spans="2:27" ht="13" x14ac:dyDescent="0.3">
      <c r="B24" s="446">
        <v>2010</v>
      </c>
      <c r="C24" s="1350">
        <f t="shared" si="3"/>
        <v>17064.863289999998</v>
      </c>
      <c r="D24" s="542"/>
      <c r="E24" s="448">
        <v>5862.5670899999986</v>
      </c>
      <c r="F24" s="448">
        <v>4252.0780000000004</v>
      </c>
      <c r="G24" s="448">
        <v>5204.0582000000004</v>
      </c>
      <c r="H24" s="449">
        <v>1746.1599999999999</v>
      </c>
      <c r="J24" s="375"/>
      <c r="L24" s="328"/>
      <c r="N24" s="376">
        <f t="shared" si="0"/>
        <v>2010</v>
      </c>
      <c r="O24" s="444">
        <f t="shared" si="1"/>
        <v>17064.863289999998</v>
      </c>
      <c r="P24" s="445">
        <f t="shared" si="4"/>
        <v>0</v>
      </c>
      <c r="Q24" s="445">
        <f t="shared" si="4"/>
        <v>5862.5670899999986</v>
      </c>
      <c r="R24" s="445">
        <f t="shared" si="4"/>
        <v>4252.0780000000004</v>
      </c>
      <c r="S24" s="445">
        <f t="shared" si="4"/>
        <v>5204.0582000000004</v>
      </c>
      <c r="T24" s="445">
        <f t="shared" si="4"/>
        <v>1746.1599999999999</v>
      </c>
      <c r="V24" s="315">
        <f t="shared" si="8"/>
        <v>2022</v>
      </c>
      <c r="W24" s="6">
        <f t="shared" si="10"/>
        <v>2882.96</v>
      </c>
      <c r="X24" s="6">
        <f t="shared" si="9"/>
        <v>11523.63666</v>
      </c>
      <c r="Y24" s="6">
        <f t="shared" si="9"/>
        <v>5002.5305600000011</v>
      </c>
      <c r="Z24" s="6">
        <f t="shared" si="9"/>
        <v>7499.7850309999976</v>
      </c>
      <c r="AA24" s="6">
        <f t="shared" si="9"/>
        <v>2752.8848199999993</v>
      </c>
    </row>
    <row r="25" spans="2:27" ht="13" x14ac:dyDescent="0.3">
      <c r="B25" s="440" t="s">
        <v>119</v>
      </c>
      <c r="C25" s="1349">
        <f>SUM(D25:H25)</f>
        <v>18833.281290000003</v>
      </c>
      <c r="D25" s="441">
        <v>89.9</v>
      </c>
      <c r="E25" s="442">
        <v>7105.9870899999996</v>
      </c>
      <c r="F25" s="442">
        <v>4277.8440000000001</v>
      </c>
      <c r="G25" s="442">
        <v>5607.8222000000023</v>
      </c>
      <c r="H25" s="443">
        <v>1751.7279999999994</v>
      </c>
      <c r="J25" s="375"/>
      <c r="L25" s="328"/>
      <c r="N25" s="376" t="str">
        <f t="shared" si="0"/>
        <v>2011*</v>
      </c>
      <c r="O25" s="444">
        <f t="shared" si="1"/>
        <v>18833.281290000003</v>
      </c>
      <c r="P25" s="445">
        <f t="shared" si="4"/>
        <v>89.9</v>
      </c>
      <c r="Q25" s="445">
        <f t="shared" si="4"/>
        <v>7105.9870899999996</v>
      </c>
      <c r="R25" s="445">
        <f t="shared" si="4"/>
        <v>4277.8440000000001</v>
      </c>
      <c r="S25" s="445">
        <f t="shared" si="4"/>
        <v>5607.8222000000023</v>
      </c>
      <c r="T25" s="445">
        <f t="shared" si="4"/>
        <v>1751.7279999999994</v>
      </c>
    </row>
    <row r="26" spans="2:27" ht="13" x14ac:dyDescent="0.3">
      <c r="B26" s="446">
        <v>2012</v>
      </c>
      <c r="C26" s="1350">
        <f>SUM(D26:H26)</f>
        <v>19935.758290000002</v>
      </c>
      <c r="D26" s="447">
        <v>611.9</v>
      </c>
      <c r="E26" s="448">
        <v>7459.7680899999996</v>
      </c>
      <c r="F26" s="448">
        <v>4285.6540000000005</v>
      </c>
      <c r="G26" s="448">
        <v>5782.9882000000034</v>
      </c>
      <c r="H26" s="449">
        <v>1795.4479999999992</v>
      </c>
      <c r="J26" s="375"/>
      <c r="L26" s="328"/>
      <c r="N26" s="376">
        <f t="shared" si="0"/>
        <v>2012</v>
      </c>
      <c r="O26" s="444">
        <f t="shared" si="1"/>
        <v>19935.758290000002</v>
      </c>
      <c r="P26" s="445">
        <f t="shared" si="4"/>
        <v>611.9</v>
      </c>
      <c r="Q26" s="445">
        <f t="shared" si="4"/>
        <v>7459.7680899999996</v>
      </c>
      <c r="R26" s="445">
        <f t="shared" si="4"/>
        <v>4285.6540000000005</v>
      </c>
      <c r="S26" s="445">
        <f t="shared" si="4"/>
        <v>5782.9882000000034</v>
      </c>
      <c r="T26" s="445">
        <f t="shared" si="4"/>
        <v>1795.4479999999992</v>
      </c>
    </row>
    <row r="27" spans="2:27" ht="13" x14ac:dyDescent="0.3">
      <c r="B27" s="440">
        <v>2013</v>
      </c>
      <c r="C27" s="1349">
        <f>SUM(D27:H27)</f>
        <v>20585.119200000001</v>
      </c>
      <c r="D27" s="441">
        <v>621.86</v>
      </c>
      <c r="E27" s="442">
        <v>7841.6769999999997</v>
      </c>
      <c r="F27" s="442">
        <v>4416.9339999999993</v>
      </c>
      <c r="G27" s="442">
        <v>5907.1522000000004</v>
      </c>
      <c r="H27" s="443">
        <v>1797.4960000000001</v>
      </c>
      <c r="J27" s="375"/>
      <c r="L27" s="328"/>
      <c r="N27" s="376">
        <f t="shared" si="0"/>
        <v>2013</v>
      </c>
      <c r="O27" s="444">
        <f>SUM(P27:T27)</f>
        <v>20585.119200000001</v>
      </c>
      <c r="P27" s="445">
        <f t="shared" si="4"/>
        <v>621.86</v>
      </c>
      <c r="Q27" s="445">
        <f t="shared" si="4"/>
        <v>7841.6769999999997</v>
      </c>
      <c r="R27" s="445">
        <f t="shared" si="4"/>
        <v>4416.9339999999993</v>
      </c>
      <c r="S27" s="445">
        <f t="shared" si="4"/>
        <v>5907.1522000000004</v>
      </c>
      <c r="T27" s="445">
        <f t="shared" si="4"/>
        <v>1797.4960000000001</v>
      </c>
    </row>
    <row r="28" spans="2:27" ht="13" x14ac:dyDescent="0.3">
      <c r="B28" s="446">
        <v>2014</v>
      </c>
      <c r="C28" s="1350">
        <f>SUM(D28:H28)</f>
        <v>21589.042330000004</v>
      </c>
      <c r="D28" s="447">
        <v>1838.46</v>
      </c>
      <c r="E28" s="448">
        <v>8240.8355100000008</v>
      </c>
      <c r="F28" s="448">
        <v>4368.3289000000004</v>
      </c>
      <c r="G28" s="448">
        <v>4888.8531000000021</v>
      </c>
      <c r="H28" s="449">
        <v>2252.5648200000005</v>
      </c>
      <c r="J28" s="375"/>
      <c r="L28" s="328"/>
      <c r="N28" s="376">
        <f t="shared" si="0"/>
        <v>2014</v>
      </c>
      <c r="O28" s="444">
        <f>SUM(P28:T28)</f>
        <v>21589.042330000004</v>
      </c>
      <c r="P28" s="445">
        <f t="shared" si="4"/>
        <v>1838.46</v>
      </c>
      <c r="Q28" s="445">
        <f t="shared" si="4"/>
        <v>8240.8355100000008</v>
      </c>
      <c r="R28" s="445">
        <f t="shared" si="4"/>
        <v>4368.3289000000004</v>
      </c>
      <c r="S28" s="445">
        <f t="shared" si="4"/>
        <v>4888.8531000000021</v>
      </c>
      <c r="T28" s="445">
        <f t="shared" si="4"/>
        <v>2252.5648200000005</v>
      </c>
    </row>
    <row r="29" spans="2:27" ht="13" x14ac:dyDescent="0.3">
      <c r="B29" s="440">
        <v>2015</v>
      </c>
      <c r="C29" s="1349">
        <f>SUM(D29:H29)</f>
        <v>22173.261100000003</v>
      </c>
      <c r="D29" s="441">
        <v>1838.46</v>
      </c>
      <c r="E29" s="442">
        <v>8665.1200000000008</v>
      </c>
      <c r="F29" s="442">
        <v>4368.78</v>
      </c>
      <c r="G29" s="442">
        <v>5022.3391000000011</v>
      </c>
      <c r="H29" s="443">
        <v>2278.5619999999999</v>
      </c>
      <c r="J29" s="375"/>
      <c r="L29" s="328"/>
      <c r="N29" s="376">
        <f t="shared" si="0"/>
        <v>2015</v>
      </c>
      <c r="O29" s="444">
        <f>SUM(P29:T29)</f>
        <v>22173.261100000003</v>
      </c>
      <c r="P29" s="445">
        <f t="shared" si="4"/>
        <v>1838.46</v>
      </c>
      <c r="Q29" s="445">
        <f t="shared" si="4"/>
        <v>8665.1200000000008</v>
      </c>
      <c r="R29" s="445">
        <f t="shared" si="4"/>
        <v>4368.78</v>
      </c>
      <c r="S29" s="445">
        <f t="shared" si="4"/>
        <v>5022.3391000000011</v>
      </c>
      <c r="T29" s="445">
        <f t="shared" si="4"/>
        <v>2278.5619999999999</v>
      </c>
    </row>
    <row r="30" spans="2:27" ht="13" x14ac:dyDescent="0.3">
      <c r="B30" s="446">
        <v>2016</v>
      </c>
      <c r="C30" s="1350">
        <f t="shared" ref="C30:C35" si="11">SUM(D30:H30)</f>
        <v>23488.141329999999</v>
      </c>
      <c r="D30" s="447">
        <v>1969.8000000000002</v>
      </c>
      <c r="E30" s="448">
        <v>9567.8435099999933</v>
      </c>
      <c r="F30" s="448">
        <v>4432.2038999999995</v>
      </c>
      <c r="G30" s="448">
        <v>5230.0291000000043</v>
      </c>
      <c r="H30" s="449">
        <v>2288.2648200000003</v>
      </c>
      <c r="J30" s="375"/>
      <c r="L30" s="328"/>
      <c r="N30" s="376">
        <f t="shared" si="0"/>
        <v>2016</v>
      </c>
      <c r="O30" s="444">
        <f t="shared" ref="O30:O35" si="12">SUM(P30:T30)</f>
        <v>23488.141329999999</v>
      </c>
      <c r="P30" s="445">
        <f t="shared" si="4"/>
        <v>1969.8000000000002</v>
      </c>
      <c r="Q30" s="445">
        <f t="shared" si="4"/>
        <v>9567.8435099999933</v>
      </c>
      <c r="R30" s="445">
        <f t="shared" si="4"/>
        <v>4432.2038999999995</v>
      </c>
      <c r="S30" s="445">
        <f t="shared" si="4"/>
        <v>5230.0291000000043</v>
      </c>
      <c r="T30" s="445">
        <f t="shared" si="4"/>
        <v>2288.2648200000003</v>
      </c>
    </row>
    <row r="31" spans="2:27" ht="13" x14ac:dyDescent="0.3">
      <c r="B31" s="440">
        <v>2017</v>
      </c>
      <c r="C31" s="1349">
        <f t="shared" si="11"/>
        <v>24845.201329999996</v>
      </c>
      <c r="D31" s="441">
        <v>2882</v>
      </c>
      <c r="E31" s="442">
        <v>10162.963509999998</v>
      </c>
      <c r="F31" s="442">
        <v>4386.0339000000004</v>
      </c>
      <c r="G31" s="442">
        <v>5403.9190999999992</v>
      </c>
      <c r="H31" s="443">
        <v>2010.2848200000008</v>
      </c>
      <c r="J31" s="375"/>
      <c r="L31" s="328"/>
      <c r="N31" s="376">
        <f t="shared" si="0"/>
        <v>2017</v>
      </c>
      <c r="O31" s="444">
        <f t="shared" si="12"/>
        <v>24845.201329999996</v>
      </c>
      <c r="P31" s="445">
        <f t="shared" si="4"/>
        <v>2882</v>
      </c>
      <c r="Q31" s="445">
        <f t="shared" si="4"/>
        <v>10162.963509999998</v>
      </c>
      <c r="R31" s="445">
        <f t="shared" si="4"/>
        <v>4386.0339000000004</v>
      </c>
      <c r="S31" s="445">
        <f t="shared" si="4"/>
        <v>5403.9190999999992</v>
      </c>
      <c r="T31" s="445">
        <f t="shared" si="4"/>
        <v>2010.2848200000008</v>
      </c>
    </row>
    <row r="32" spans="2:27" ht="13" x14ac:dyDescent="0.3">
      <c r="B32" s="446">
        <v>2018</v>
      </c>
      <c r="C32" s="1350">
        <f t="shared" si="11"/>
        <v>28262.406329999994</v>
      </c>
      <c r="D32" s="447">
        <v>2883.3999999999996</v>
      </c>
      <c r="E32" s="448">
        <v>10966.555509999998</v>
      </c>
      <c r="F32" s="448">
        <v>4738.1038999999982</v>
      </c>
      <c r="G32" s="448">
        <v>7008.2821000000004</v>
      </c>
      <c r="H32" s="449">
        <v>2666.0648200000001</v>
      </c>
      <c r="J32" s="375"/>
      <c r="L32" s="328"/>
      <c r="N32" s="376">
        <f t="shared" si="0"/>
        <v>2018</v>
      </c>
      <c r="O32" s="444">
        <f t="shared" si="12"/>
        <v>28262.406329999994</v>
      </c>
      <c r="P32" s="445">
        <f t="shared" si="4"/>
        <v>2883.3999999999996</v>
      </c>
      <c r="Q32" s="445">
        <f t="shared" si="4"/>
        <v>10966.555509999998</v>
      </c>
      <c r="R32" s="445">
        <f t="shared" si="4"/>
        <v>4738.1038999999982</v>
      </c>
      <c r="S32" s="445">
        <f t="shared" si="4"/>
        <v>7008.2821000000004</v>
      </c>
      <c r="T32" s="445">
        <f t="shared" si="4"/>
        <v>2666.0648200000001</v>
      </c>
    </row>
    <row r="33" spans="2:20" ht="13" x14ac:dyDescent="0.3">
      <c r="B33" s="440">
        <v>2019</v>
      </c>
      <c r="C33" s="1349">
        <f t="shared" si="11"/>
        <v>28619.116329999997</v>
      </c>
      <c r="D33" s="441">
        <v>2883.3999999999996</v>
      </c>
      <c r="E33" s="442">
        <v>11107.535509999998</v>
      </c>
      <c r="F33" s="442">
        <v>4796.7738999999983</v>
      </c>
      <c r="G33" s="442">
        <v>7165.3420999999998</v>
      </c>
      <c r="H33" s="443">
        <v>2666.0648200000005</v>
      </c>
      <c r="J33" s="375"/>
      <c r="L33" s="328"/>
      <c r="N33" s="376">
        <f t="shared" si="0"/>
        <v>2019</v>
      </c>
      <c r="O33" s="444">
        <f t="shared" si="12"/>
        <v>28619.116329999997</v>
      </c>
      <c r="P33" s="445">
        <f t="shared" si="4"/>
        <v>2883.3999999999996</v>
      </c>
      <c r="Q33" s="445">
        <f t="shared" si="4"/>
        <v>11107.535509999998</v>
      </c>
      <c r="R33" s="445">
        <f t="shared" si="4"/>
        <v>4796.7738999999983</v>
      </c>
      <c r="S33" s="445">
        <f t="shared" si="4"/>
        <v>7165.3420999999998</v>
      </c>
      <c r="T33" s="445">
        <f t="shared" si="4"/>
        <v>2666.0648200000005</v>
      </c>
    </row>
    <row r="34" spans="2:20" ht="13" x14ac:dyDescent="0.3">
      <c r="B34" s="446">
        <v>2020</v>
      </c>
      <c r="C34" s="1350">
        <f t="shared" si="11"/>
        <v>29047.216329999996</v>
      </c>
      <c r="D34" s="447">
        <v>2883.3999999999996</v>
      </c>
      <c r="E34" s="448">
        <v>11433.765509999997</v>
      </c>
      <c r="F34" s="448">
        <v>4835.8038999999999</v>
      </c>
      <c r="G34" s="448">
        <v>7228.1820999999991</v>
      </c>
      <c r="H34" s="449">
        <v>2666.0648199999991</v>
      </c>
      <c r="J34" s="375"/>
      <c r="L34" s="328"/>
      <c r="N34" s="376">
        <f t="shared" si="0"/>
        <v>2020</v>
      </c>
      <c r="O34" s="444">
        <f t="shared" si="12"/>
        <v>29047.216329999996</v>
      </c>
      <c r="P34" s="445">
        <f t="shared" si="4"/>
        <v>2883.3999999999996</v>
      </c>
      <c r="Q34" s="445">
        <f t="shared" si="4"/>
        <v>11433.765509999997</v>
      </c>
      <c r="R34" s="445">
        <f t="shared" si="4"/>
        <v>4835.8038999999999</v>
      </c>
      <c r="S34" s="445">
        <f t="shared" si="4"/>
        <v>7228.1820999999991</v>
      </c>
      <c r="T34" s="445">
        <f t="shared" si="4"/>
        <v>2666.0648199999991</v>
      </c>
    </row>
    <row r="35" spans="2:20" ht="13" x14ac:dyDescent="0.3">
      <c r="B35" s="1194">
        <v>2021</v>
      </c>
      <c r="C35" s="1349">
        <f t="shared" si="11"/>
        <v>29637.935070999996</v>
      </c>
      <c r="D35" s="441">
        <v>2882.96</v>
      </c>
      <c r="E35" s="442">
        <v>11402.887659999999</v>
      </c>
      <c r="F35" s="442">
        <v>5000.3805600000005</v>
      </c>
      <c r="G35" s="442">
        <v>7598.822030999997</v>
      </c>
      <c r="H35" s="443">
        <v>2752.8848199999993</v>
      </c>
      <c r="J35" s="375"/>
      <c r="L35" s="328"/>
      <c r="N35" s="376">
        <f t="shared" si="0"/>
        <v>2021</v>
      </c>
      <c r="O35" s="444">
        <f t="shared" si="12"/>
        <v>29637.935070999996</v>
      </c>
      <c r="P35" s="445">
        <f t="shared" si="4"/>
        <v>2882.96</v>
      </c>
      <c r="Q35" s="445">
        <f t="shared" si="4"/>
        <v>11402.887659999999</v>
      </c>
      <c r="R35" s="445">
        <f t="shared" si="4"/>
        <v>5000.3805600000005</v>
      </c>
      <c r="S35" s="445">
        <f t="shared" si="4"/>
        <v>7598.822030999997</v>
      </c>
      <c r="T35" s="445">
        <f t="shared" si="4"/>
        <v>2752.8848199999993</v>
      </c>
    </row>
    <row r="36" spans="2:20" ht="13.5" thickBot="1" x14ac:dyDescent="0.35">
      <c r="B36" s="979">
        <v>2022</v>
      </c>
      <c r="C36" s="1350">
        <f t="shared" ref="C36" si="13">SUM(D36:H36)</f>
        <v>29661.797071000001</v>
      </c>
      <c r="D36" s="447">
        <v>2882.96</v>
      </c>
      <c r="E36" s="448">
        <v>11523.63666</v>
      </c>
      <c r="F36" s="448">
        <v>5002.5305600000011</v>
      </c>
      <c r="G36" s="448">
        <v>7499.7850309999976</v>
      </c>
      <c r="H36" s="449">
        <v>2752.8848199999993</v>
      </c>
      <c r="J36" s="375"/>
      <c r="L36" s="328"/>
      <c r="N36" s="376">
        <f t="shared" ref="N36" si="14">+B36</f>
        <v>2022</v>
      </c>
      <c r="O36" s="444">
        <f t="shared" ref="O36" si="15">SUM(P36:T36)</f>
        <v>29661.797071000001</v>
      </c>
      <c r="P36" s="445">
        <f t="shared" ref="P36" si="16">+D36</f>
        <v>2882.96</v>
      </c>
      <c r="Q36" s="445">
        <f t="shared" ref="Q36" si="17">+E36</f>
        <v>11523.63666</v>
      </c>
      <c r="R36" s="445">
        <f t="shared" ref="R36" si="18">+F36</f>
        <v>5002.5305600000011</v>
      </c>
      <c r="S36" s="445">
        <f t="shared" ref="S36" si="19">+G36</f>
        <v>7499.7850309999976</v>
      </c>
      <c r="T36" s="445">
        <f t="shared" ref="T36" si="20">+H36</f>
        <v>2752.8848199999993</v>
      </c>
    </row>
    <row r="37" spans="2:20" s="493" customFormat="1" ht="15.65" customHeight="1" x14ac:dyDescent="0.25">
      <c r="B37" s="886" t="s">
        <v>161</v>
      </c>
      <c r="C37" s="1426">
        <f>(C36/C35)-1</f>
        <v>8.051168187945823E-4</v>
      </c>
      <c r="D37" s="1334">
        <f t="shared" ref="D37:H37" si="21">(D36/D35)-1</f>
        <v>0</v>
      </c>
      <c r="E37" s="1335">
        <f t="shared" si="21"/>
        <v>1.0589335228091024E-2</v>
      </c>
      <c r="F37" s="1335">
        <f t="shared" si="21"/>
        <v>4.299672743308669E-4</v>
      </c>
      <c r="G37" s="1335">
        <f t="shared" si="21"/>
        <v>-1.3033204304031654E-2</v>
      </c>
      <c r="H37" s="1336">
        <f t="shared" si="21"/>
        <v>0</v>
      </c>
      <c r="J37" s="864"/>
      <c r="M37" s="887"/>
      <c r="N37" s="855"/>
      <c r="O37" s="855"/>
      <c r="P37" s="855"/>
      <c r="Q37" s="855"/>
      <c r="R37" s="855"/>
    </row>
    <row r="38" spans="2:20" s="493" customFormat="1" ht="15.65" customHeight="1" x14ac:dyDescent="0.25">
      <c r="B38" s="888" t="s">
        <v>162</v>
      </c>
      <c r="C38" s="1337">
        <f>((C36/C31)^(1/5))-1</f>
        <v>3.607450688170144E-2</v>
      </c>
      <c r="D38" s="1338">
        <f>((D36/D31)^(1/5))-1</f>
        <v>6.6611527715920715E-5</v>
      </c>
      <c r="E38" s="1339">
        <f t="shared" ref="E38:H38" si="22">((E36/E31)^(1/5))-1</f>
        <v>2.5448462006691486E-2</v>
      </c>
      <c r="F38" s="1339">
        <f t="shared" si="22"/>
        <v>2.6652699107827971E-2</v>
      </c>
      <c r="G38" s="1339">
        <f t="shared" si="22"/>
        <v>6.7746103639447108E-2</v>
      </c>
      <c r="H38" s="1340">
        <f t="shared" si="22"/>
        <v>6.4893287651787812E-2</v>
      </c>
    </row>
    <row r="39" spans="2:20" s="493" customFormat="1" ht="15.65" customHeight="1" x14ac:dyDescent="0.25">
      <c r="B39" s="889" t="s">
        <v>163</v>
      </c>
      <c r="C39" s="1341">
        <f>(C36/C26)-1</f>
        <v>0.48786901604232868</v>
      </c>
      <c r="D39" s="1342">
        <f t="shared" ref="D39:H39" si="23">(D36/D26)-1</f>
        <v>3.7114888053603536</v>
      </c>
      <c r="E39" s="1343">
        <f t="shared" si="23"/>
        <v>0.544771435381177</v>
      </c>
      <c r="F39" s="1343">
        <f t="shared" si="23"/>
        <v>0.16727355031460789</v>
      </c>
      <c r="G39" s="1343">
        <f t="shared" si="23"/>
        <v>0.29687019437459572</v>
      </c>
      <c r="H39" s="1344">
        <f t="shared" si="23"/>
        <v>0.53325789440852667</v>
      </c>
      <c r="K39" s="890"/>
    </row>
    <row r="40" spans="2:20" s="493" customFormat="1" ht="15.65" customHeight="1" thickBot="1" x14ac:dyDescent="0.3">
      <c r="B40" s="891" t="s">
        <v>164</v>
      </c>
      <c r="C40" s="1345">
        <f>((C36/C26)^(1/10))-1</f>
        <v>4.0534465798094388E-2</v>
      </c>
      <c r="D40" s="1346">
        <f t="shared" ref="D40:H40" si="24">((D36/D26)^(1/10))-1</f>
        <v>0.16765842263805797</v>
      </c>
      <c r="E40" s="1347">
        <f t="shared" si="24"/>
        <v>4.4447039029793745E-2</v>
      </c>
      <c r="F40" s="1347">
        <f t="shared" si="24"/>
        <v>1.5587307321508037E-2</v>
      </c>
      <c r="G40" s="1347">
        <f t="shared" si="24"/>
        <v>2.6336208727714139E-2</v>
      </c>
      <c r="H40" s="1348">
        <f t="shared" si="24"/>
        <v>4.366596506785525E-2</v>
      </c>
    </row>
    <row r="41" spans="2:20" ht="13" x14ac:dyDescent="0.3">
      <c r="B41" s="1416" t="s">
        <v>120</v>
      </c>
      <c r="C41" s="450"/>
      <c r="D41" s="450"/>
      <c r="E41" s="450"/>
      <c r="F41" s="450"/>
      <c r="G41" s="450"/>
      <c r="H41" s="450"/>
    </row>
    <row r="42" spans="2:20" x14ac:dyDescent="0.25">
      <c r="B42" s="1417" t="s">
        <v>121</v>
      </c>
    </row>
    <row r="43" spans="2:20" ht="13" x14ac:dyDescent="0.3">
      <c r="B43" s="451"/>
    </row>
    <row r="46" spans="2:20" x14ac:dyDescent="0.25">
      <c r="J46" s="375"/>
      <c r="L46" s="452"/>
    </row>
    <row r="47" spans="2:20" x14ac:dyDescent="0.25">
      <c r="L47" s="452"/>
    </row>
    <row r="48" spans="2:20" x14ac:dyDescent="0.25">
      <c r="L48" s="452"/>
    </row>
    <row r="49" spans="11:13" x14ac:dyDescent="0.25">
      <c r="L49" s="452"/>
    </row>
    <row r="50" spans="11:13" x14ac:dyDescent="0.25">
      <c r="L50" s="452"/>
    </row>
    <row r="51" spans="11:13" x14ac:dyDescent="0.25">
      <c r="L51" s="452"/>
    </row>
    <row r="52" spans="11:13" x14ac:dyDescent="0.25">
      <c r="L52" s="452"/>
    </row>
    <row r="53" spans="11:13" x14ac:dyDescent="0.25">
      <c r="L53" s="452"/>
      <c r="M53" s="452"/>
    </row>
    <row r="54" spans="11:13" x14ac:dyDescent="0.25">
      <c r="L54" s="452"/>
      <c r="M54" s="452"/>
    </row>
    <row r="55" spans="11:13" x14ac:dyDescent="0.25">
      <c r="K55" s="376"/>
      <c r="L55" s="452"/>
      <c r="M55" s="452"/>
    </row>
    <row r="56" spans="11:13" x14ac:dyDescent="0.25">
      <c r="L56" s="452"/>
      <c r="M56" s="452"/>
    </row>
  </sheetData>
  <mergeCells count="4">
    <mergeCell ref="C6:H6"/>
    <mergeCell ref="C7:H7"/>
    <mergeCell ref="B6:B8"/>
    <mergeCell ref="W7:AA7"/>
  </mergeCells>
  <printOptions horizontalCentered="1"/>
  <pageMargins left="0.51181102362204722" right="0.27559055118110237" top="0.35433070866141736" bottom="0.19685039370078741" header="0" footer="0"/>
  <pageSetup paperSize="9" scale="72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D70"/>
  <sheetViews>
    <sheetView zoomScaleNormal="100" zoomScaleSheetLayoutView="100" workbookViewId="0">
      <selection activeCell="C6" sqref="C6"/>
    </sheetView>
  </sheetViews>
  <sheetFormatPr baseColWidth="10" defaultColWidth="11.453125" defaultRowHeight="12.5" x14ac:dyDescent="0.25"/>
  <cols>
    <col min="1" max="1" width="7.26953125" style="315" customWidth="1"/>
    <col min="2" max="2" width="20.7265625" style="315" customWidth="1"/>
    <col min="3" max="3" width="28.1796875" style="315" customWidth="1"/>
    <col min="4" max="4" width="16.7265625" style="315" customWidth="1"/>
    <col min="5" max="6" width="11.453125" style="315"/>
    <col min="7" max="7" width="4.453125" style="315" customWidth="1"/>
    <col min="8" max="8" width="9.54296875" style="315" customWidth="1"/>
    <col min="9" max="16384" width="11.453125" style="315"/>
  </cols>
  <sheetData>
    <row r="3" spans="1:4" ht="16.5" x14ac:dyDescent="0.35">
      <c r="A3" s="453" t="s">
        <v>122</v>
      </c>
    </row>
    <row r="4" spans="1:4" ht="18" x14ac:dyDescent="0.4">
      <c r="A4" s="438"/>
      <c r="B4" s="1557"/>
      <c r="C4" s="1557"/>
      <c r="D4" s="1557"/>
    </row>
    <row r="5" spans="1:4" ht="12.75" customHeight="1" x14ac:dyDescent="0.25"/>
    <row r="6" spans="1:4" ht="38.25" customHeight="1" x14ac:dyDescent="0.25">
      <c r="B6" s="454" t="s">
        <v>39</v>
      </c>
      <c r="C6" s="455" t="s">
        <v>123</v>
      </c>
    </row>
    <row r="7" spans="1:4" ht="12.75" customHeight="1" x14ac:dyDescent="0.25">
      <c r="B7" s="456"/>
      <c r="C7" s="457"/>
    </row>
    <row r="8" spans="1:4" ht="12.75" customHeight="1" x14ac:dyDescent="0.25">
      <c r="B8" s="458">
        <v>1995</v>
      </c>
      <c r="C8" s="459">
        <v>3.66</v>
      </c>
    </row>
    <row r="9" spans="1:4" x14ac:dyDescent="0.25">
      <c r="B9" s="460">
        <v>1996</v>
      </c>
      <c r="C9" s="461">
        <v>3.57</v>
      </c>
    </row>
    <row r="10" spans="1:4" x14ac:dyDescent="0.25">
      <c r="B10" s="458">
        <v>1997</v>
      </c>
      <c r="C10" s="459">
        <v>3.38</v>
      </c>
    </row>
    <row r="11" spans="1:4" x14ac:dyDescent="0.25">
      <c r="B11" s="460">
        <v>1998</v>
      </c>
      <c r="C11" s="461">
        <v>2.9</v>
      </c>
    </row>
    <row r="12" spans="1:4" x14ac:dyDescent="0.25">
      <c r="B12" s="458">
        <v>1999</v>
      </c>
      <c r="C12" s="459">
        <v>2.77</v>
      </c>
    </row>
    <row r="13" spans="1:4" x14ac:dyDescent="0.25">
      <c r="B13" s="460">
        <v>2000</v>
      </c>
      <c r="C13" s="461">
        <v>2.52</v>
      </c>
    </row>
    <row r="14" spans="1:4" x14ac:dyDescent="0.25">
      <c r="B14" s="458">
        <v>2001</v>
      </c>
      <c r="C14" s="459">
        <v>2.31</v>
      </c>
    </row>
    <row r="15" spans="1:4" x14ac:dyDescent="0.25">
      <c r="B15" s="460">
        <v>2002</v>
      </c>
      <c r="C15" s="461">
        <v>2.2999999999999998</v>
      </c>
    </row>
    <row r="16" spans="1:4" x14ac:dyDescent="0.25">
      <c r="B16" s="458">
        <v>2003</v>
      </c>
      <c r="C16" s="459">
        <v>2.08</v>
      </c>
    </row>
    <row r="17" spans="2:4" x14ac:dyDescent="0.25">
      <c r="B17" s="460">
        <v>2004</v>
      </c>
      <c r="C17" s="461">
        <v>1.81</v>
      </c>
    </row>
    <row r="18" spans="2:4" x14ac:dyDescent="0.25">
      <c r="B18" s="458">
        <v>2005</v>
      </c>
      <c r="C18" s="459">
        <v>1.88</v>
      </c>
    </row>
    <row r="19" spans="2:4" x14ac:dyDescent="0.25">
      <c r="B19" s="460" t="s">
        <v>124</v>
      </c>
      <c r="C19" s="461">
        <v>1.86</v>
      </c>
    </row>
    <row r="20" spans="2:4" x14ac:dyDescent="0.25">
      <c r="B20" s="458">
        <v>2007</v>
      </c>
      <c r="C20" s="459">
        <v>2.15</v>
      </c>
    </row>
    <row r="21" spans="2:4" x14ac:dyDescent="0.25">
      <c r="B21" s="460">
        <v>2008</v>
      </c>
      <c r="C21" s="461">
        <v>2.11</v>
      </c>
    </row>
    <row r="22" spans="2:4" x14ac:dyDescent="0.25">
      <c r="B22" s="458">
        <v>2009</v>
      </c>
      <c r="C22" s="459">
        <v>2.2400000000000002</v>
      </c>
      <c r="D22" s="462"/>
    </row>
    <row r="23" spans="2:4" x14ac:dyDescent="0.25">
      <c r="B23" s="460">
        <v>2010</v>
      </c>
      <c r="C23" s="461">
        <v>2.68</v>
      </c>
      <c r="D23" s="462"/>
    </row>
    <row r="24" spans="2:4" x14ac:dyDescent="0.25">
      <c r="B24" s="458">
        <v>2011</v>
      </c>
      <c r="C24" s="459">
        <v>2.93</v>
      </c>
      <c r="D24" s="462"/>
    </row>
    <row r="25" spans="2:4" x14ac:dyDescent="0.25">
      <c r="B25" s="460">
        <v>2012</v>
      </c>
      <c r="C25" s="461">
        <v>4.32</v>
      </c>
      <c r="D25" s="462"/>
    </row>
    <row r="26" spans="2:4" x14ac:dyDescent="0.25">
      <c r="B26" s="458">
        <v>2013</v>
      </c>
      <c r="C26" s="459">
        <v>4.3499999999999996</v>
      </c>
      <c r="D26" s="462"/>
    </row>
    <row r="27" spans="2:4" x14ac:dyDescent="0.25">
      <c r="B27" s="460">
        <v>2014</v>
      </c>
      <c r="C27" s="461">
        <v>3.8</v>
      </c>
      <c r="D27" s="462"/>
    </row>
    <row r="28" spans="2:4" x14ac:dyDescent="0.25">
      <c r="B28" s="458">
        <v>2015</v>
      </c>
      <c r="C28" s="459"/>
      <c r="D28" s="462"/>
    </row>
    <row r="29" spans="2:4" x14ac:dyDescent="0.25">
      <c r="B29" s="460">
        <v>2016</v>
      </c>
      <c r="C29" s="461"/>
      <c r="D29" s="462"/>
    </row>
    <row r="30" spans="2:4" x14ac:dyDescent="0.25">
      <c r="B30" s="458">
        <v>2017</v>
      </c>
      <c r="C30" s="459"/>
      <c r="D30" s="462"/>
    </row>
    <row r="31" spans="2:4" x14ac:dyDescent="0.25">
      <c r="B31" s="460">
        <v>2018</v>
      </c>
      <c r="C31" s="461"/>
      <c r="D31" s="462"/>
    </row>
    <row r="32" spans="2:4" x14ac:dyDescent="0.25">
      <c r="B32" s="458">
        <v>2019</v>
      </c>
      <c r="C32" s="459"/>
      <c r="D32" s="462"/>
    </row>
    <row r="33" spans="2:4" x14ac:dyDescent="0.25">
      <c r="B33" s="460">
        <v>2020</v>
      </c>
      <c r="C33" s="461"/>
      <c r="D33" s="462"/>
    </row>
    <row r="34" spans="2:4" x14ac:dyDescent="0.25">
      <c r="B34" s="458">
        <v>2021</v>
      </c>
      <c r="C34" s="459"/>
      <c r="D34" s="462"/>
    </row>
    <row r="35" spans="2:4" x14ac:dyDescent="0.25">
      <c r="B35" s="460"/>
      <c r="C35" s="461"/>
    </row>
    <row r="36" spans="2:4" ht="13" x14ac:dyDescent="0.25">
      <c r="B36" s="463" t="s">
        <v>43</v>
      </c>
      <c r="C36" s="464" t="e">
        <f>(C34/C33)-1</f>
        <v>#DIV/0!</v>
      </c>
    </row>
    <row r="37" spans="2:4" ht="13" x14ac:dyDescent="0.25">
      <c r="B37" s="465" t="s">
        <v>44</v>
      </c>
      <c r="C37" s="466" t="e">
        <f>((C34/C29)^(1/5))-1</f>
        <v>#DIV/0!</v>
      </c>
    </row>
    <row r="38" spans="2:4" ht="13" x14ac:dyDescent="0.25">
      <c r="B38" s="467" t="s">
        <v>45</v>
      </c>
      <c r="C38" s="468">
        <f>(C34/C24)-1</f>
        <v>-1</v>
      </c>
    </row>
    <row r="39" spans="2:4" ht="13" x14ac:dyDescent="0.25">
      <c r="B39" s="469" t="s">
        <v>46</v>
      </c>
      <c r="C39" s="470">
        <f>((C34/C24)^(1/10))-1</f>
        <v>-1</v>
      </c>
    </row>
    <row r="41" spans="2:4" x14ac:dyDescent="0.25">
      <c r="B41" s="315" t="s">
        <v>125</v>
      </c>
    </row>
    <row r="42" spans="2:4" x14ac:dyDescent="0.25">
      <c r="B42" s="326" t="s">
        <v>126</v>
      </c>
    </row>
    <row r="70" spans="2:2" x14ac:dyDescent="0.25">
      <c r="B70" s="471"/>
    </row>
  </sheetData>
  <mergeCells count="1">
    <mergeCell ref="B4:D4"/>
  </mergeCells>
  <printOptions horizontalCentered="1"/>
  <pageMargins left="0.35433070866141736" right="0.23622047244094491" top="0.39370078740157483" bottom="0.19685039370078741" header="0" footer="0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0"/>
  <sheetViews>
    <sheetView view="pageBreakPreview" zoomScaleNormal="90" zoomScaleSheetLayoutView="100" workbookViewId="0">
      <selection activeCell="M39" sqref="M39"/>
    </sheetView>
  </sheetViews>
  <sheetFormatPr baseColWidth="10" defaultColWidth="11.453125" defaultRowHeight="12.5" x14ac:dyDescent="0.25"/>
  <cols>
    <col min="1" max="1" width="5.453125" style="333" customWidth="1"/>
    <col min="2" max="2" width="22.1796875" style="315" customWidth="1"/>
    <col min="3" max="3" width="15" style="315" customWidth="1"/>
    <col min="4" max="4" width="12.81640625" style="315" customWidth="1"/>
    <col min="5" max="5" width="12.7265625" style="315" customWidth="1"/>
    <col min="6" max="6" width="14" style="315" customWidth="1"/>
    <col min="7" max="8" width="12.453125" style="315" customWidth="1"/>
    <col min="9" max="9" width="11.7265625" style="315" customWidth="1"/>
    <col min="10" max="10" width="11" style="315" customWidth="1"/>
    <col min="11" max="11" width="11.26953125" style="315" customWidth="1"/>
    <col min="12" max="12" width="4.1796875" style="333" customWidth="1"/>
    <col min="13" max="14" width="11.453125" style="315"/>
    <col min="15" max="16" width="16.26953125" style="315" customWidth="1"/>
    <col min="17" max="16384" width="11.453125" style="315"/>
  </cols>
  <sheetData>
    <row r="1" spans="1:16" s="333" customFormat="1" ht="18" x14ac:dyDescent="0.4">
      <c r="A1" s="330" t="s">
        <v>127</v>
      </c>
    </row>
    <row r="2" spans="1:16" s="333" customFormat="1" ht="14" x14ac:dyDescent="0.3">
      <c r="C2" s="331"/>
      <c r="D2" s="331"/>
      <c r="E2" s="331"/>
      <c r="F2" s="331"/>
      <c r="G2" s="331"/>
      <c r="H2" s="332"/>
      <c r="I2" s="332"/>
      <c r="J2" s="332"/>
      <c r="K2" s="332"/>
    </row>
    <row r="3" spans="1:16" s="333" customFormat="1" ht="15.5" x14ac:dyDescent="0.35">
      <c r="B3" s="391" t="s">
        <v>232</v>
      </c>
    </row>
    <row r="4" spans="1:16" s="333" customFormat="1" ht="13" thickBot="1" x14ac:dyDescent="0.3"/>
    <row r="5" spans="1:16" s="493" customFormat="1" ht="15" customHeight="1" x14ac:dyDescent="0.25">
      <c r="A5" s="492"/>
      <c r="B5" s="1558" t="s">
        <v>39</v>
      </c>
      <c r="C5" s="1516" t="s">
        <v>128</v>
      </c>
      <c r="D5" s="1517"/>
      <c r="E5" s="1517"/>
      <c r="F5" s="1094" t="s">
        <v>56</v>
      </c>
      <c r="G5" s="1095"/>
      <c r="H5" s="1096"/>
      <c r="I5" s="1097" t="s">
        <v>54</v>
      </c>
      <c r="J5" s="1098"/>
      <c r="K5" s="1099"/>
      <c r="L5" s="492"/>
      <c r="N5" s="1648" t="s">
        <v>39</v>
      </c>
      <c r="O5" s="1649" t="s">
        <v>128</v>
      </c>
      <c r="P5" s="1649"/>
    </row>
    <row r="6" spans="1:16" s="493" customFormat="1" ht="15" customHeight="1" thickBot="1" x14ac:dyDescent="0.3">
      <c r="A6" s="492"/>
      <c r="B6" s="1559"/>
      <c r="C6" s="1100" t="s">
        <v>53</v>
      </c>
      <c r="D6" s="1066" t="s">
        <v>129</v>
      </c>
      <c r="E6" s="1070" t="s">
        <v>130</v>
      </c>
      <c r="F6" s="1066" t="s">
        <v>131</v>
      </c>
      <c r="G6" s="1067" t="s">
        <v>129</v>
      </c>
      <c r="H6" s="1101" t="s">
        <v>130</v>
      </c>
      <c r="I6" s="1069" t="s">
        <v>53</v>
      </c>
      <c r="J6" s="1067" t="s">
        <v>129</v>
      </c>
      <c r="K6" s="1102" t="s">
        <v>130</v>
      </c>
      <c r="L6" s="492"/>
      <c r="N6" s="1648"/>
      <c r="O6" s="1650" t="s">
        <v>129</v>
      </c>
      <c r="P6" s="1650" t="s">
        <v>130</v>
      </c>
    </row>
    <row r="7" spans="1:16" ht="13" x14ac:dyDescent="0.3">
      <c r="B7" s="440">
        <v>1995</v>
      </c>
      <c r="C7" s="477">
        <f t="shared" ref="C7:C22" si="0">SUM(D7:E7)</f>
        <v>2491835</v>
      </c>
      <c r="D7" s="478">
        <f t="shared" ref="D7:E13" si="1">(G7+J7)</f>
        <v>2491629</v>
      </c>
      <c r="E7" s="478">
        <f t="shared" si="1"/>
        <v>206</v>
      </c>
      <c r="F7" s="478">
        <f t="shared" ref="F7:F22" si="2">SUM(G7:H7)</f>
        <v>2491804</v>
      </c>
      <c r="G7" s="478">
        <f>+'7.2 y 7.3'!H7</f>
        <v>2491629</v>
      </c>
      <c r="H7" s="479">
        <f>+'7.2 y 7.3'!C7</f>
        <v>175</v>
      </c>
      <c r="I7" s="480">
        <f t="shared" ref="I7:I22" si="3">SUM(J7:K7)</f>
        <v>31</v>
      </c>
      <c r="J7" s="478"/>
      <c r="K7" s="481">
        <f>+'7.2 y 7.3'!B69</f>
        <v>31</v>
      </c>
      <c r="M7" s="375"/>
      <c r="N7" s="1651">
        <f>+B7</f>
        <v>1995</v>
      </c>
      <c r="O7" s="1652">
        <f>+D7</f>
        <v>2491629</v>
      </c>
      <c r="P7" s="1652">
        <f>+E7</f>
        <v>206</v>
      </c>
    </row>
    <row r="8" spans="1:16" ht="13" x14ac:dyDescent="0.3">
      <c r="B8" s="446">
        <v>1996</v>
      </c>
      <c r="C8" s="482">
        <f t="shared" si="0"/>
        <v>2775713</v>
      </c>
      <c r="D8" s="483">
        <f t="shared" si="1"/>
        <v>2775514</v>
      </c>
      <c r="E8" s="483">
        <f t="shared" si="1"/>
        <v>199</v>
      </c>
      <c r="F8" s="483">
        <f t="shared" si="2"/>
        <v>2775675</v>
      </c>
      <c r="G8" s="483">
        <f>+'7.2 y 7.3'!H8</f>
        <v>2775514</v>
      </c>
      <c r="H8" s="484">
        <f>+'7.2 y 7.3'!C8</f>
        <v>161</v>
      </c>
      <c r="I8" s="485">
        <f t="shared" si="3"/>
        <v>38</v>
      </c>
      <c r="J8" s="483"/>
      <c r="K8" s="486">
        <f>+'7.2 y 7.3'!B70</f>
        <v>38</v>
      </c>
      <c r="M8" s="375"/>
      <c r="N8" s="1651">
        <f>+B12</f>
        <v>2000</v>
      </c>
      <c r="O8" s="1652">
        <f>+D12</f>
        <v>3351980</v>
      </c>
      <c r="P8" s="1652">
        <f>+E12</f>
        <v>229</v>
      </c>
    </row>
    <row r="9" spans="1:16" ht="13" x14ac:dyDescent="0.3">
      <c r="B9" s="440">
        <v>1997</v>
      </c>
      <c r="C9" s="477">
        <f t="shared" si="0"/>
        <v>2964315</v>
      </c>
      <c r="D9" s="478">
        <f t="shared" si="1"/>
        <v>2964103</v>
      </c>
      <c r="E9" s="478">
        <f t="shared" si="1"/>
        <v>212</v>
      </c>
      <c r="F9" s="479">
        <f t="shared" si="2"/>
        <v>2964263</v>
      </c>
      <c r="G9" s="480">
        <f>+'7.2 y 7.3'!H9</f>
        <v>2964103</v>
      </c>
      <c r="H9" s="479">
        <f>+'7.2 y 7.3'!C9</f>
        <v>160</v>
      </c>
      <c r="I9" s="487">
        <f t="shared" si="3"/>
        <v>52</v>
      </c>
      <c r="J9" s="478"/>
      <c r="K9" s="481">
        <f>+'7.2 y 7.3'!B71</f>
        <v>52</v>
      </c>
      <c r="M9" s="375"/>
      <c r="N9" s="1651">
        <f>+B17</f>
        <v>2005</v>
      </c>
      <c r="O9" s="1652">
        <f>+D17</f>
        <v>3976856</v>
      </c>
      <c r="P9" s="1652">
        <f>+E17</f>
        <v>244</v>
      </c>
    </row>
    <row r="10" spans="1:16" ht="13" x14ac:dyDescent="0.3">
      <c r="B10" s="446">
        <v>1998</v>
      </c>
      <c r="C10" s="482">
        <f t="shared" si="0"/>
        <v>3057320</v>
      </c>
      <c r="D10" s="483">
        <f t="shared" si="1"/>
        <v>3057102</v>
      </c>
      <c r="E10" s="483">
        <f t="shared" si="1"/>
        <v>218</v>
      </c>
      <c r="F10" s="484">
        <f t="shared" si="2"/>
        <v>3057270</v>
      </c>
      <c r="G10" s="485">
        <f>+'7.2 y 7.3'!H10</f>
        <v>3057102</v>
      </c>
      <c r="H10" s="484">
        <f>+'7.2 y 7.3'!C10</f>
        <v>168</v>
      </c>
      <c r="I10" s="488">
        <f t="shared" si="3"/>
        <v>50</v>
      </c>
      <c r="J10" s="483"/>
      <c r="K10" s="486">
        <f>+'7.2 y 7.3'!B72</f>
        <v>50</v>
      </c>
      <c r="M10" s="375"/>
      <c r="N10" s="1651">
        <f>+B22</f>
        <v>2010</v>
      </c>
      <c r="O10" s="1652">
        <f>+D22</f>
        <v>5170638</v>
      </c>
      <c r="P10" s="1652">
        <f>+E22</f>
        <v>258</v>
      </c>
    </row>
    <row r="11" spans="1:16" ht="13" x14ac:dyDescent="0.3">
      <c r="B11" s="440">
        <v>1999</v>
      </c>
      <c r="C11" s="477">
        <f t="shared" si="0"/>
        <v>3217058</v>
      </c>
      <c r="D11" s="478">
        <f t="shared" si="1"/>
        <v>3216835</v>
      </c>
      <c r="E11" s="478">
        <f t="shared" si="1"/>
        <v>223</v>
      </c>
      <c r="F11" s="479">
        <f t="shared" si="2"/>
        <v>3217011</v>
      </c>
      <c r="G11" s="480">
        <f>+'7.2 y 7.3'!H11</f>
        <v>3216835</v>
      </c>
      <c r="H11" s="479">
        <f>+'7.2 y 7.3'!C11</f>
        <v>176</v>
      </c>
      <c r="I11" s="487">
        <f t="shared" si="3"/>
        <v>47</v>
      </c>
      <c r="J11" s="478"/>
      <c r="K11" s="481">
        <f>+'7.2 y 7.3'!B73</f>
        <v>47</v>
      </c>
      <c r="M11" s="375"/>
      <c r="N11" s="1651">
        <f t="shared" ref="N11:N20" si="4">+B23</f>
        <v>2011</v>
      </c>
      <c r="O11" s="1652">
        <f t="shared" ref="O11:P11" si="5">+D23</f>
        <v>5494961</v>
      </c>
      <c r="P11" s="1652">
        <f t="shared" si="5"/>
        <v>261</v>
      </c>
    </row>
    <row r="12" spans="1:16" ht="13" x14ac:dyDescent="0.3">
      <c r="B12" s="446">
        <v>2000</v>
      </c>
      <c r="C12" s="482">
        <f t="shared" si="0"/>
        <v>3352209</v>
      </c>
      <c r="D12" s="483">
        <f t="shared" si="1"/>
        <v>3351980</v>
      </c>
      <c r="E12" s="483">
        <f t="shared" si="1"/>
        <v>229</v>
      </c>
      <c r="F12" s="484">
        <f t="shared" si="2"/>
        <v>3352159</v>
      </c>
      <c r="G12" s="485">
        <f>+'7.2 y 7.3'!H12</f>
        <v>3351980</v>
      </c>
      <c r="H12" s="484">
        <f>+'7.2 y 7.3'!C12</f>
        <v>179</v>
      </c>
      <c r="I12" s="488">
        <f t="shared" si="3"/>
        <v>50</v>
      </c>
      <c r="J12" s="484"/>
      <c r="K12" s="486">
        <f>+'7.2 y 7.3'!B74</f>
        <v>50</v>
      </c>
      <c r="M12" s="375"/>
      <c r="N12" s="1651">
        <f t="shared" si="4"/>
        <v>2012</v>
      </c>
      <c r="O12" s="1652">
        <f t="shared" ref="O12:P12" si="6">+D24</f>
        <v>5834625</v>
      </c>
      <c r="P12" s="1652">
        <f t="shared" si="6"/>
        <v>262</v>
      </c>
    </row>
    <row r="13" spans="1:16" ht="13" x14ac:dyDescent="0.3">
      <c r="B13" s="440">
        <v>2001</v>
      </c>
      <c r="C13" s="477">
        <f t="shared" si="0"/>
        <v>3462851</v>
      </c>
      <c r="D13" s="478">
        <f t="shared" si="1"/>
        <v>3462610</v>
      </c>
      <c r="E13" s="478">
        <f t="shared" si="1"/>
        <v>241</v>
      </c>
      <c r="F13" s="479">
        <f t="shared" si="2"/>
        <v>3462792</v>
      </c>
      <c r="G13" s="480">
        <f>+'7.2 y 7.3'!H13</f>
        <v>3462610</v>
      </c>
      <c r="H13" s="479">
        <f>+'7.2 y 7.3'!C13</f>
        <v>182</v>
      </c>
      <c r="I13" s="487">
        <f t="shared" si="3"/>
        <v>59</v>
      </c>
      <c r="J13" s="479"/>
      <c r="K13" s="481">
        <f>+'7.2 y 7.3'!B75</f>
        <v>59</v>
      </c>
      <c r="M13" s="375"/>
      <c r="N13" s="1651">
        <f t="shared" si="4"/>
        <v>2013</v>
      </c>
      <c r="O13" s="1652">
        <f t="shared" ref="O13:P13" si="7">+D25</f>
        <v>6156035</v>
      </c>
      <c r="P13" s="1652">
        <f t="shared" si="7"/>
        <v>280</v>
      </c>
    </row>
    <row r="14" spans="1:16" ht="13" x14ac:dyDescent="0.3">
      <c r="B14" s="446">
        <v>2002</v>
      </c>
      <c r="C14" s="482">
        <f t="shared" si="0"/>
        <v>3614484</v>
      </c>
      <c r="D14" s="483">
        <f t="shared" ref="D14:E25" si="8">SUM(G14,J14)</f>
        <v>3614223</v>
      </c>
      <c r="E14" s="483">
        <f t="shared" si="8"/>
        <v>261</v>
      </c>
      <c r="F14" s="484">
        <f t="shared" si="2"/>
        <v>3614408</v>
      </c>
      <c r="G14" s="483">
        <f>+'7.2 y 7.3'!H14</f>
        <v>3614223</v>
      </c>
      <c r="H14" s="484">
        <f>+'7.2 y 7.3'!C14</f>
        <v>185</v>
      </c>
      <c r="I14" s="484">
        <f t="shared" si="3"/>
        <v>76</v>
      </c>
      <c r="J14" s="484"/>
      <c r="K14" s="486">
        <f>+'7.2 y 7.3'!B76</f>
        <v>76</v>
      </c>
      <c r="N14" s="1651">
        <f t="shared" si="4"/>
        <v>2014</v>
      </c>
      <c r="O14" s="1652">
        <f t="shared" ref="O14:P14" si="9">+D26</f>
        <v>6432444</v>
      </c>
      <c r="P14" s="1652">
        <f t="shared" si="9"/>
        <v>299</v>
      </c>
    </row>
    <row r="15" spans="1:16" ht="13" x14ac:dyDescent="0.3">
      <c r="B15" s="440">
        <v>2003</v>
      </c>
      <c r="C15" s="477">
        <f>SUM(D15:E15)</f>
        <v>3727266</v>
      </c>
      <c r="D15" s="478">
        <f t="shared" si="8"/>
        <v>3727019</v>
      </c>
      <c r="E15" s="478">
        <f t="shared" si="8"/>
        <v>247</v>
      </c>
      <c r="F15" s="479">
        <f>SUM(G15:H15)</f>
        <v>3727184</v>
      </c>
      <c r="G15" s="478">
        <f>+'7.2 y 7.3'!H15</f>
        <v>3727019</v>
      </c>
      <c r="H15" s="479">
        <f>+'7.2 y 7.3'!C15</f>
        <v>165</v>
      </c>
      <c r="I15" s="479">
        <f>SUM(J15:K15)</f>
        <v>82</v>
      </c>
      <c r="J15" s="479"/>
      <c r="K15" s="481">
        <f>+'7.2 y 7.3'!B77</f>
        <v>82</v>
      </c>
      <c r="N15" s="1651">
        <f t="shared" si="4"/>
        <v>2015</v>
      </c>
      <c r="O15" s="1652">
        <f t="shared" ref="O15:P15" si="10">+D27</f>
        <v>6681681.9999999972</v>
      </c>
      <c r="P15" s="1652">
        <f t="shared" si="10"/>
        <v>346</v>
      </c>
    </row>
    <row r="16" spans="1:16" ht="13" x14ac:dyDescent="0.3">
      <c r="B16" s="446">
        <v>2004</v>
      </c>
      <c r="C16" s="482">
        <f t="shared" si="0"/>
        <v>3860515</v>
      </c>
      <c r="D16" s="483">
        <f t="shared" si="8"/>
        <v>3860270</v>
      </c>
      <c r="E16" s="483">
        <f t="shared" si="8"/>
        <v>245</v>
      </c>
      <c r="F16" s="484">
        <f t="shared" si="2"/>
        <v>3860430</v>
      </c>
      <c r="G16" s="483">
        <f>+'7.2 y 7.3'!H16</f>
        <v>3860270</v>
      </c>
      <c r="H16" s="484">
        <f>+'7.2 y 7.3'!C16</f>
        <v>160</v>
      </c>
      <c r="I16" s="484">
        <f t="shared" si="3"/>
        <v>85</v>
      </c>
      <c r="J16" s="484"/>
      <c r="K16" s="486">
        <f>+'7.2 y 7.3'!B78</f>
        <v>85</v>
      </c>
      <c r="N16" s="1651">
        <f t="shared" si="4"/>
        <v>2016</v>
      </c>
      <c r="O16" s="1652">
        <f t="shared" ref="O16:P16" si="11">+D28</f>
        <v>6935575</v>
      </c>
      <c r="P16" s="1652">
        <f t="shared" si="11"/>
        <v>933</v>
      </c>
    </row>
    <row r="17" spans="2:16" ht="13" x14ac:dyDescent="0.3">
      <c r="B17" s="440">
        <v>2005</v>
      </c>
      <c r="C17" s="477">
        <f t="shared" si="0"/>
        <v>3977100</v>
      </c>
      <c r="D17" s="478">
        <f t="shared" si="8"/>
        <v>3976856</v>
      </c>
      <c r="E17" s="478">
        <f t="shared" si="8"/>
        <v>244</v>
      </c>
      <c r="F17" s="479">
        <f t="shared" si="2"/>
        <v>3977020</v>
      </c>
      <c r="G17" s="478">
        <f>+'7.2 y 7.3'!H17</f>
        <v>3976856</v>
      </c>
      <c r="H17" s="479">
        <f>+'7.2 y 7.3'!C17</f>
        <v>164</v>
      </c>
      <c r="I17" s="479">
        <f t="shared" si="3"/>
        <v>80</v>
      </c>
      <c r="J17" s="479"/>
      <c r="K17" s="481">
        <f>+'7.2 y 7.3'!B79</f>
        <v>80</v>
      </c>
      <c r="N17" s="1651">
        <f t="shared" si="4"/>
        <v>2017</v>
      </c>
      <c r="O17" s="1652">
        <f t="shared" ref="O17:P17" si="12">+D29</f>
        <v>7166319.0000000075</v>
      </c>
      <c r="P17" s="1652">
        <f t="shared" si="12"/>
        <v>1415</v>
      </c>
    </row>
    <row r="18" spans="2:16" ht="13" x14ac:dyDescent="0.3">
      <c r="B18" s="446">
        <v>2006</v>
      </c>
      <c r="C18" s="482">
        <f t="shared" si="0"/>
        <v>4165274</v>
      </c>
      <c r="D18" s="483">
        <f t="shared" si="8"/>
        <v>4165037</v>
      </c>
      <c r="E18" s="483">
        <f t="shared" si="8"/>
        <v>237</v>
      </c>
      <c r="F18" s="484">
        <f t="shared" si="2"/>
        <v>4165191</v>
      </c>
      <c r="G18" s="483">
        <f>+'7.2 y 7.3'!H18</f>
        <v>4165037</v>
      </c>
      <c r="H18" s="484">
        <f>+'7.2 y 7.3'!C18</f>
        <v>154</v>
      </c>
      <c r="I18" s="484">
        <f t="shared" si="3"/>
        <v>83</v>
      </c>
      <c r="J18" s="484"/>
      <c r="K18" s="486">
        <f>+'7.2 y 7.3'!B80</f>
        <v>83</v>
      </c>
      <c r="N18" s="1651">
        <f t="shared" si="4"/>
        <v>2018</v>
      </c>
      <c r="O18" s="1652">
        <f t="shared" ref="O18:P18" si="13">+D30</f>
        <v>7375103.9999999925</v>
      </c>
      <c r="P18" s="1652">
        <f t="shared" si="13"/>
        <v>1834</v>
      </c>
    </row>
    <row r="19" spans="2:16" ht="13" x14ac:dyDescent="0.3">
      <c r="B19" s="440">
        <v>2007</v>
      </c>
      <c r="C19" s="477">
        <f t="shared" si="0"/>
        <v>4359862</v>
      </c>
      <c r="D19" s="478">
        <f t="shared" si="8"/>
        <v>4359612</v>
      </c>
      <c r="E19" s="478">
        <f t="shared" si="8"/>
        <v>250</v>
      </c>
      <c r="F19" s="479">
        <f t="shared" si="2"/>
        <v>4359764</v>
      </c>
      <c r="G19" s="478">
        <f>+'7.2 y 7.3'!H19</f>
        <v>4359612</v>
      </c>
      <c r="H19" s="479">
        <f>+'7.2 y 7.3'!C19</f>
        <v>152</v>
      </c>
      <c r="I19" s="479">
        <f t="shared" si="3"/>
        <v>98</v>
      </c>
      <c r="J19" s="479"/>
      <c r="K19" s="481">
        <f>+'7.2 y 7.3'!B81</f>
        <v>98</v>
      </c>
      <c r="N19" s="1651">
        <f t="shared" si="4"/>
        <v>2019</v>
      </c>
      <c r="O19" s="1652">
        <f t="shared" ref="O19:P19" si="14">+D31</f>
        <v>7563790.0000000102</v>
      </c>
      <c r="P19" s="1652">
        <f t="shared" si="14"/>
        <v>2246.0000000000005</v>
      </c>
    </row>
    <row r="20" spans="2:16" ht="13" x14ac:dyDescent="0.3">
      <c r="B20" s="446">
        <v>2008</v>
      </c>
      <c r="C20" s="482">
        <f t="shared" si="0"/>
        <v>4624792</v>
      </c>
      <c r="D20" s="483">
        <f t="shared" si="8"/>
        <v>4624534</v>
      </c>
      <c r="E20" s="483">
        <f t="shared" si="8"/>
        <v>258</v>
      </c>
      <c r="F20" s="484">
        <f t="shared" si="2"/>
        <v>4624684</v>
      </c>
      <c r="G20" s="483">
        <f>+'7.2 y 7.3'!H20</f>
        <v>4624534</v>
      </c>
      <c r="H20" s="484">
        <f>+'7.2 y 7.3'!C20</f>
        <v>150</v>
      </c>
      <c r="I20" s="484">
        <f t="shared" si="3"/>
        <v>108</v>
      </c>
      <c r="J20" s="484"/>
      <c r="K20" s="486">
        <f>+'7.2 y 7.3'!B82</f>
        <v>108</v>
      </c>
      <c r="N20" s="1651">
        <f t="shared" si="4"/>
        <v>2020</v>
      </c>
      <c r="O20" s="1652">
        <f t="shared" ref="O20:P20" si="15">+D32</f>
        <v>7776466.9999999981</v>
      </c>
      <c r="P20" s="1652">
        <f t="shared" si="15"/>
        <v>2561</v>
      </c>
    </row>
    <row r="21" spans="2:16" ht="13" x14ac:dyDescent="0.3">
      <c r="B21" s="440">
        <v>2009</v>
      </c>
      <c r="C21" s="477">
        <f t="shared" si="0"/>
        <v>4878964</v>
      </c>
      <c r="D21" s="478">
        <f t="shared" si="8"/>
        <v>4878695</v>
      </c>
      <c r="E21" s="478">
        <f t="shared" si="8"/>
        <v>269</v>
      </c>
      <c r="F21" s="479">
        <f t="shared" si="2"/>
        <v>4878854</v>
      </c>
      <c r="G21" s="478">
        <f>+'7.2 y 7.3'!H21</f>
        <v>4878695</v>
      </c>
      <c r="H21" s="479">
        <f>+'7.2 y 7.3'!C21</f>
        <v>159</v>
      </c>
      <c r="I21" s="479">
        <f t="shared" si="3"/>
        <v>110</v>
      </c>
      <c r="J21" s="479"/>
      <c r="K21" s="481">
        <f>+'7.2 y 7.3'!B83</f>
        <v>110</v>
      </c>
      <c r="N21" s="1651">
        <f>+B33</f>
        <v>2021</v>
      </c>
      <c r="O21" s="1652">
        <f>+D33</f>
        <v>8141157.9999999981</v>
      </c>
      <c r="P21" s="1652">
        <f>+E33</f>
        <v>2934</v>
      </c>
    </row>
    <row r="22" spans="2:16" ht="13" x14ac:dyDescent="0.3">
      <c r="B22" s="446">
        <v>2010</v>
      </c>
      <c r="C22" s="482">
        <f t="shared" si="0"/>
        <v>5170896</v>
      </c>
      <c r="D22" s="483">
        <f t="shared" si="8"/>
        <v>5170638</v>
      </c>
      <c r="E22" s="483">
        <f t="shared" si="8"/>
        <v>258</v>
      </c>
      <c r="F22" s="484">
        <f t="shared" si="2"/>
        <v>5170778</v>
      </c>
      <c r="G22" s="483">
        <f>+'7.2 y 7.3'!H22</f>
        <v>5170638</v>
      </c>
      <c r="H22" s="484">
        <f>+'7.2 y 7.3'!C22</f>
        <v>140</v>
      </c>
      <c r="I22" s="484">
        <f t="shared" si="3"/>
        <v>118</v>
      </c>
      <c r="J22" s="484"/>
      <c r="K22" s="486">
        <f>+'7.2 y 7.3'!B84</f>
        <v>118</v>
      </c>
      <c r="N22" s="1651">
        <f t="shared" ref="N22" si="16">+B34</f>
        <v>2022</v>
      </c>
      <c r="O22" s="1652">
        <f t="shared" ref="O22" si="17">+D34</f>
        <v>8346460</v>
      </c>
      <c r="P22" s="1652">
        <f t="shared" ref="P22" si="18">+E34</f>
        <v>3203</v>
      </c>
    </row>
    <row r="23" spans="2:16" ht="13" x14ac:dyDescent="0.3">
      <c r="B23" s="440">
        <v>2011</v>
      </c>
      <c r="C23" s="477">
        <f>SUM(D23:E23)</f>
        <v>5495222</v>
      </c>
      <c r="D23" s="478">
        <f t="shared" si="8"/>
        <v>5494961</v>
      </c>
      <c r="E23" s="478">
        <f t="shared" si="8"/>
        <v>261</v>
      </c>
      <c r="F23" s="479">
        <f>SUM(G23:H23)</f>
        <v>5495091</v>
      </c>
      <c r="G23" s="478">
        <f>+'7.2 y 7.3'!H23</f>
        <v>5494961</v>
      </c>
      <c r="H23" s="479">
        <f>+'7.2 y 7.3'!C23</f>
        <v>130</v>
      </c>
      <c r="I23" s="479">
        <f>SUM(J23:K23)</f>
        <v>131</v>
      </c>
      <c r="J23" s="479"/>
      <c r="K23" s="481">
        <f>+'7.2 y 7.3'!B85</f>
        <v>131</v>
      </c>
      <c r="N23" s="328"/>
      <c r="O23" s="452"/>
    </row>
    <row r="24" spans="2:16" ht="13" x14ac:dyDescent="0.3">
      <c r="B24" s="446">
        <v>2012</v>
      </c>
      <c r="C24" s="489">
        <f>SUM(D24:E24)</f>
        <v>5834887</v>
      </c>
      <c r="D24" s="490">
        <f>SUM(G24,J24)</f>
        <v>5834625</v>
      </c>
      <c r="E24" s="490">
        <f>SUM(H24,K24)</f>
        <v>262</v>
      </c>
      <c r="F24" s="491">
        <f>SUM(G24:H24)</f>
        <v>5834755</v>
      </c>
      <c r="G24" s="483">
        <f>+'7.2 y 7.3'!H24</f>
        <v>5834625</v>
      </c>
      <c r="H24" s="484">
        <f>+'7.2 y 7.3'!C24</f>
        <v>130</v>
      </c>
      <c r="I24" s="491">
        <f>SUM(J24:K24)</f>
        <v>132</v>
      </c>
      <c r="J24" s="484"/>
      <c r="K24" s="486">
        <f>+'7.2 y 7.3'!B86</f>
        <v>132</v>
      </c>
      <c r="N24" s="328"/>
      <c r="O24" s="452"/>
    </row>
    <row r="25" spans="2:16" ht="13" x14ac:dyDescent="0.3">
      <c r="B25" s="440">
        <v>2013</v>
      </c>
      <c r="C25" s="477">
        <f>SUM(D25:E25)</f>
        <v>6156315</v>
      </c>
      <c r="D25" s="478">
        <f t="shared" si="8"/>
        <v>6156035</v>
      </c>
      <c r="E25" s="478">
        <f t="shared" si="8"/>
        <v>280</v>
      </c>
      <c r="F25" s="479">
        <f>SUM(G25:H25)</f>
        <v>6156176</v>
      </c>
      <c r="G25" s="478">
        <f>+'7.2 y 7.3'!H25</f>
        <v>6156035</v>
      </c>
      <c r="H25" s="479">
        <f>+'7.2 y 7.3'!C25</f>
        <v>141</v>
      </c>
      <c r="I25" s="479">
        <f>SUM(J25:K25)</f>
        <v>139</v>
      </c>
      <c r="J25" s="479"/>
      <c r="K25" s="481">
        <f>+'7.2 y 7.3'!B87</f>
        <v>139</v>
      </c>
      <c r="N25" s="328"/>
      <c r="O25" s="452"/>
    </row>
    <row r="26" spans="2:16" ht="13" x14ac:dyDescent="0.3">
      <c r="B26" s="446">
        <v>2014</v>
      </c>
      <c r="C26" s="489">
        <f>SUM(D26:E26)</f>
        <v>6432743</v>
      </c>
      <c r="D26" s="490">
        <f>SUM(G26,J26)</f>
        <v>6432444</v>
      </c>
      <c r="E26" s="490">
        <f>SUM(H26,K26)</f>
        <v>299</v>
      </c>
      <c r="F26" s="491">
        <f>SUM(G26:H26)</f>
        <v>6432587</v>
      </c>
      <c r="G26" s="483">
        <f>+'7.2 y 7.3'!H26</f>
        <v>6432444</v>
      </c>
      <c r="H26" s="484">
        <f>+'7.2 y 7.3'!C26</f>
        <v>143.00000000000003</v>
      </c>
      <c r="I26" s="491">
        <f>SUM(J26:K26)</f>
        <v>156</v>
      </c>
      <c r="J26" s="484"/>
      <c r="K26" s="486">
        <f>+'7.2 y 7.3'!B88</f>
        <v>156</v>
      </c>
      <c r="N26" s="328"/>
      <c r="O26" s="452"/>
    </row>
    <row r="27" spans="2:16" ht="13" x14ac:dyDescent="0.3">
      <c r="B27" s="440">
        <v>2015</v>
      </c>
      <c r="C27" s="477">
        <f>SUM(D27:E27)</f>
        <v>6682027.9999999972</v>
      </c>
      <c r="D27" s="478">
        <f>SUM(G27,J27)</f>
        <v>6681681.9999999972</v>
      </c>
      <c r="E27" s="478">
        <f>SUM(H27,K27)</f>
        <v>346</v>
      </c>
      <c r="F27" s="479">
        <f>SUM(G27:H27)</f>
        <v>6681856.9999999972</v>
      </c>
      <c r="G27" s="478">
        <f>+'7.2 y 7.3'!H27</f>
        <v>6681681.9999999972</v>
      </c>
      <c r="H27" s="479">
        <f>+'7.2 y 7.3'!C27</f>
        <v>175</v>
      </c>
      <c r="I27" s="479">
        <f>SUM(J27:K27)</f>
        <v>171</v>
      </c>
      <c r="J27" s="479"/>
      <c r="K27" s="481">
        <f>+'7.2 y 7.3'!B89</f>
        <v>171</v>
      </c>
      <c r="N27" s="328"/>
      <c r="O27" s="452"/>
    </row>
    <row r="28" spans="2:16" ht="13" x14ac:dyDescent="0.3">
      <c r="B28" s="446">
        <v>2016</v>
      </c>
      <c r="C28" s="489">
        <f t="shared" ref="C28:C34" si="19">SUM(D28:E28)</f>
        <v>6936508</v>
      </c>
      <c r="D28" s="490">
        <f t="shared" ref="D28:E32" si="20">SUM(G28,J28)</f>
        <v>6935575</v>
      </c>
      <c r="E28" s="490">
        <f t="shared" si="20"/>
        <v>933</v>
      </c>
      <c r="F28" s="491">
        <f t="shared" ref="F28:F32" si="21">SUM(G28:H28)</f>
        <v>6936040</v>
      </c>
      <c r="G28" s="483">
        <f>+'7.2 y 7.3'!H28</f>
        <v>6935575</v>
      </c>
      <c r="H28" s="484">
        <f>+'7.2 y 7.3'!C28</f>
        <v>465</v>
      </c>
      <c r="I28" s="491">
        <f t="shared" ref="I28:I32" si="22">SUM(J28:K28)</f>
        <v>468</v>
      </c>
      <c r="J28" s="484"/>
      <c r="K28" s="486">
        <f>+'7.2 y 7.3'!B90</f>
        <v>468</v>
      </c>
      <c r="N28" s="328"/>
      <c r="O28" s="452"/>
    </row>
    <row r="29" spans="2:16" ht="13" x14ac:dyDescent="0.3">
      <c r="B29" s="440">
        <v>2017</v>
      </c>
      <c r="C29" s="477">
        <f t="shared" si="19"/>
        <v>7167734.0000000075</v>
      </c>
      <c r="D29" s="478">
        <f t="shared" si="20"/>
        <v>7166319.0000000075</v>
      </c>
      <c r="E29" s="478">
        <f t="shared" si="20"/>
        <v>1415</v>
      </c>
      <c r="F29" s="479">
        <f t="shared" si="21"/>
        <v>7167018.0000000075</v>
      </c>
      <c r="G29" s="478">
        <f>+'7.2 y 7.3'!H29</f>
        <v>7166319.0000000075</v>
      </c>
      <c r="H29" s="479">
        <f>+'7.2 y 7.3'!C29</f>
        <v>699</v>
      </c>
      <c r="I29" s="479">
        <f t="shared" si="22"/>
        <v>716</v>
      </c>
      <c r="J29" s="479"/>
      <c r="K29" s="481">
        <f>+'7.2 y 7.3'!B91</f>
        <v>716</v>
      </c>
      <c r="N29" s="328"/>
      <c r="O29" s="452"/>
    </row>
    <row r="30" spans="2:16" ht="13" x14ac:dyDescent="0.3">
      <c r="B30" s="446">
        <v>2018</v>
      </c>
      <c r="C30" s="489">
        <f t="shared" si="19"/>
        <v>7376937.9999999925</v>
      </c>
      <c r="D30" s="490">
        <f t="shared" si="20"/>
        <v>7375103.9999999925</v>
      </c>
      <c r="E30" s="490">
        <f t="shared" si="20"/>
        <v>1834</v>
      </c>
      <c r="F30" s="491">
        <f t="shared" si="21"/>
        <v>7375863.9999999925</v>
      </c>
      <c r="G30" s="483">
        <f>+'7.2 y 7.3'!H30</f>
        <v>7375103.9999999925</v>
      </c>
      <c r="H30" s="484">
        <f>+'7.2 y 7.3'!C30</f>
        <v>760</v>
      </c>
      <c r="I30" s="491">
        <f t="shared" si="22"/>
        <v>1074</v>
      </c>
      <c r="J30" s="484"/>
      <c r="K30" s="486">
        <f>+'7.2 y 7.3'!B92</f>
        <v>1074</v>
      </c>
      <c r="N30" s="328"/>
      <c r="O30" s="452"/>
    </row>
    <row r="31" spans="2:16" ht="13" x14ac:dyDescent="0.3">
      <c r="B31" s="440">
        <v>2019</v>
      </c>
      <c r="C31" s="477">
        <f t="shared" si="19"/>
        <v>7566036.0000000102</v>
      </c>
      <c r="D31" s="478">
        <f t="shared" si="20"/>
        <v>7563790.0000000102</v>
      </c>
      <c r="E31" s="478">
        <f t="shared" si="20"/>
        <v>2246.0000000000005</v>
      </c>
      <c r="F31" s="479">
        <f t="shared" si="21"/>
        <v>7564747.0000000102</v>
      </c>
      <c r="G31" s="478">
        <f>+'7.2 y 7.3'!H31</f>
        <v>7563790.0000000102</v>
      </c>
      <c r="H31" s="479">
        <f>+'7.2 y 7.3'!C31</f>
        <v>957</v>
      </c>
      <c r="I31" s="479">
        <f t="shared" si="22"/>
        <v>1289.0000000000005</v>
      </c>
      <c r="J31" s="479"/>
      <c r="K31" s="481">
        <f>+'7.2 y 7.3'!B93</f>
        <v>1289.0000000000005</v>
      </c>
      <c r="N31" s="328"/>
      <c r="O31" s="452"/>
    </row>
    <row r="32" spans="2:16" ht="13" x14ac:dyDescent="0.3">
      <c r="B32" s="446">
        <v>2020</v>
      </c>
      <c r="C32" s="489">
        <f t="shared" si="19"/>
        <v>7779027.9999999981</v>
      </c>
      <c r="D32" s="490">
        <f t="shared" si="20"/>
        <v>7776466.9999999981</v>
      </c>
      <c r="E32" s="490">
        <f t="shared" si="20"/>
        <v>2561</v>
      </c>
      <c r="F32" s="491">
        <f t="shared" si="21"/>
        <v>7777498.9999999981</v>
      </c>
      <c r="G32" s="483">
        <f>+'7.2 y 7.3'!H32</f>
        <v>7776466.9999999981</v>
      </c>
      <c r="H32" s="484">
        <f>+'7.2 y 7.3'!C32</f>
        <v>1032</v>
      </c>
      <c r="I32" s="491">
        <f t="shared" si="22"/>
        <v>1529</v>
      </c>
      <c r="J32" s="484"/>
      <c r="K32" s="486">
        <f>+'7.2 y 7.3'!B94</f>
        <v>1529</v>
      </c>
      <c r="N32" s="328"/>
      <c r="O32" s="452"/>
    </row>
    <row r="33" spans="1:15" ht="13" x14ac:dyDescent="0.3">
      <c r="B33" s="440">
        <v>2021</v>
      </c>
      <c r="C33" s="477">
        <f t="shared" ref="C33" si="23">SUM(D33:E33)</f>
        <v>8144091.9999999981</v>
      </c>
      <c r="D33" s="478">
        <f t="shared" ref="D33:D34" si="24">SUM(G33,J33)</f>
        <v>8141157.9999999981</v>
      </c>
      <c r="E33" s="478">
        <f t="shared" ref="E33:E34" si="25">SUM(H33,K33)</f>
        <v>2934</v>
      </c>
      <c r="F33" s="479">
        <f t="shared" ref="F33:F34" si="26">SUM(G33:H33)</f>
        <v>8142361.9999999981</v>
      </c>
      <c r="G33" s="478">
        <f>+'7.2 y 7.3'!H33</f>
        <v>8141157.9999999981</v>
      </c>
      <c r="H33" s="479">
        <f>+'7.2 y 7.3'!C33</f>
        <v>1204</v>
      </c>
      <c r="I33" s="479">
        <f t="shared" ref="I33:I34" si="27">SUM(J33:K33)</f>
        <v>1729.9999999999998</v>
      </c>
      <c r="J33" s="479"/>
      <c r="K33" s="481">
        <f>+'7.2 y 7.3'!B95</f>
        <v>1729.9999999999998</v>
      </c>
      <c r="N33" s="328"/>
      <c r="O33" s="452"/>
    </row>
    <row r="34" spans="1:15" ht="13.5" thickBot="1" x14ac:dyDescent="0.35">
      <c r="B34" s="979">
        <v>2022</v>
      </c>
      <c r="C34" s="489">
        <f t="shared" si="19"/>
        <v>8349663</v>
      </c>
      <c r="D34" s="490">
        <f t="shared" si="24"/>
        <v>8346460</v>
      </c>
      <c r="E34" s="490">
        <f t="shared" si="25"/>
        <v>3203</v>
      </c>
      <c r="F34" s="491">
        <f t="shared" si="26"/>
        <v>8347886</v>
      </c>
      <c r="G34" s="483">
        <f>+'7.2 y 7.3'!H34</f>
        <v>8346460</v>
      </c>
      <c r="H34" s="484">
        <f>+'7.2 y 7.3'!C34</f>
        <v>1426</v>
      </c>
      <c r="I34" s="491">
        <f t="shared" si="27"/>
        <v>1777</v>
      </c>
      <c r="J34" s="484"/>
      <c r="K34" s="486">
        <f>+'7.2 y 7.3'!B96</f>
        <v>1777</v>
      </c>
      <c r="N34" s="328"/>
      <c r="O34" s="452"/>
    </row>
    <row r="35" spans="1:15" s="493" customFormat="1" ht="18.75" customHeight="1" x14ac:dyDescent="0.25">
      <c r="A35" s="492"/>
      <c r="B35" s="494" t="s">
        <v>161</v>
      </c>
      <c r="C35" s="1352">
        <f>(C34/C33)-1</f>
        <v>2.5241733516762954E-2</v>
      </c>
      <c r="D35" s="1352">
        <f t="shared" ref="D35:K35" si="28">(D34/D33)-1</f>
        <v>2.5217788427641663E-2</v>
      </c>
      <c r="E35" s="1352">
        <f t="shared" si="28"/>
        <v>9.168370824812544E-2</v>
      </c>
      <c r="F35" s="1352">
        <f t="shared" si="28"/>
        <v>2.5241324323335368E-2</v>
      </c>
      <c r="G35" s="1352">
        <f t="shared" si="28"/>
        <v>2.5217788427641663E-2</v>
      </c>
      <c r="H35" s="1352">
        <f t="shared" si="28"/>
        <v>0.18438538205980071</v>
      </c>
      <c r="I35" s="1352">
        <f t="shared" si="28"/>
        <v>2.7167630057803649E-2</v>
      </c>
      <c r="J35" s="1352" t="s">
        <v>32</v>
      </c>
      <c r="K35" s="1353">
        <f t="shared" si="28"/>
        <v>2.7167630057803649E-2</v>
      </c>
      <c r="L35" s="492"/>
    </row>
    <row r="36" spans="1:15" s="493" customFormat="1" ht="18.75" customHeight="1" x14ac:dyDescent="0.25">
      <c r="A36" s="492"/>
      <c r="B36" s="495" t="s">
        <v>162</v>
      </c>
      <c r="C36" s="1354">
        <f>((C34/C29)^(1/5))-1</f>
        <v>3.0997028246520619E-2</v>
      </c>
      <c r="D36" s="1354">
        <f t="shared" ref="D36:K36" si="29">((D34/D29)^(1/5))-1</f>
        <v>3.0958624333872642E-2</v>
      </c>
      <c r="E36" s="1354">
        <f t="shared" si="29"/>
        <v>0.17749778747713929</v>
      </c>
      <c r="F36" s="1354">
        <f t="shared" si="29"/>
        <v>3.0973738591609568E-2</v>
      </c>
      <c r="G36" s="1354">
        <f t="shared" si="29"/>
        <v>3.0958624333872642E-2</v>
      </c>
      <c r="H36" s="1354">
        <f t="shared" si="29"/>
        <v>0.15326329507972192</v>
      </c>
      <c r="I36" s="1354">
        <f t="shared" si="29"/>
        <v>0.19937469351052095</v>
      </c>
      <c r="J36" s="1354" t="s">
        <v>32</v>
      </c>
      <c r="K36" s="1355">
        <f t="shared" si="29"/>
        <v>0.19937469351052095</v>
      </c>
      <c r="L36" s="492"/>
    </row>
    <row r="37" spans="1:15" s="493" customFormat="1" ht="18.75" customHeight="1" x14ac:dyDescent="0.25">
      <c r="A37" s="492"/>
      <c r="B37" s="496" t="s">
        <v>163</v>
      </c>
      <c r="C37" s="1356">
        <f>(C34/C24)-1</f>
        <v>0.43098966612378264</v>
      </c>
      <c r="D37" s="1356">
        <f t="shared" ref="D37:K37" si="30">(D34/D24)-1</f>
        <v>0.43050495961608504</v>
      </c>
      <c r="E37" s="1356">
        <f t="shared" si="30"/>
        <v>11.225190839694656</v>
      </c>
      <c r="F37" s="1356">
        <f t="shared" si="30"/>
        <v>0.43071748513862196</v>
      </c>
      <c r="G37" s="1356">
        <f t="shared" si="30"/>
        <v>0.43050495961608504</v>
      </c>
      <c r="H37" s="1356">
        <f t="shared" si="30"/>
        <v>9.9692307692307693</v>
      </c>
      <c r="I37" s="1356">
        <f t="shared" si="30"/>
        <v>12.462121212121213</v>
      </c>
      <c r="J37" s="1356" t="s">
        <v>32</v>
      </c>
      <c r="K37" s="1357">
        <f t="shared" si="30"/>
        <v>12.462121212121213</v>
      </c>
      <c r="L37" s="492"/>
    </row>
    <row r="38" spans="1:15" s="333" customFormat="1" ht="17.25" customHeight="1" thickBot="1" x14ac:dyDescent="0.3">
      <c r="B38" s="497" t="s">
        <v>164</v>
      </c>
      <c r="C38" s="1358">
        <f>((C34/C24)^(1/10))-1</f>
        <v>3.6486499693493046E-2</v>
      </c>
      <c r="D38" s="1358">
        <f t="shared" ref="D38:K38" si="31">((D34/D24)^(1/10))-1</f>
        <v>3.6451386348044235E-2</v>
      </c>
      <c r="E38" s="1358">
        <f t="shared" si="31"/>
        <v>0.28447473030190884</v>
      </c>
      <c r="F38" s="1358">
        <f t="shared" si="31"/>
        <v>3.6466783543702475E-2</v>
      </c>
      <c r="G38" s="1358">
        <f t="shared" si="31"/>
        <v>3.6451386348044235E-2</v>
      </c>
      <c r="H38" s="1358">
        <f t="shared" si="31"/>
        <v>0.27062564757596475</v>
      </c>
      <c r="I38" s="1358">
        <f t="shared" si="31"/>
        <v>0.29691451135112357</v>
      </c>
      <c r="J38" s="1358" t="s">
        <v>32</v>
      </c>
      <c r="K38" s="1359">
        <f t="shared" si="31"/>
        <v>0.29691451135112357</v>
      </c>
    </row>
    <row r="39" spans="1:15" s="333" customFormat="1" x14ac:dyDescent="0.25">
      <c r="B39" s="1418" t="s">
        <v>233</v>
      </c>
      <c r="C39" s="387"/>
    </row>
    <row r="40" spans="1:15" s="333" customFormat="1" x14ac:dyDescent="0.25">
      <c r="B40" s="388"/>
      <c r="C40" s="498"/>
    </row>
    <row r="41" spans="1:15" s="333" customFormat="1" x14ac:dyDescent="0.25">
      <c r="B41" s="424"/>
    </row>
    <row r="42" spans="1:15" s="333" customFormat="1" x14ac:dyDescent="0.25">
      <c r="O42" s="499"/>
    </row>
    <row r="43" spans="1:15" s="333" customFormat="1" x14ac:dyDescent="0.25">
      <c r="O43" s="499"/>
    </row>
    <row r="44" spans="1:15" s="333" customFormat="1" x14ac:dyDescent="0.25">
      <c r="O44" s="499"/>
    </row>
    <row r="45" spans="1:15" s="333" customFormat="1" x14ac:dyDescent="0.25">
      <c r="O45" s="499"/>
    </row>
    <row r="46" spans="1:15" s="333" customFormat="1" x14ac:dyDescent="0.25">
      <c r="O46" s="499"/>
    </row>
    <row r="47" spans="1:15" s="333" customFormat="1" x14ac:dyDescent="0.25">
      <c r="O47" s="499"/>
    </row>
    <row r="48" spans="1:15" s="333" customFormat="1" x14ac:dyDescent="0.25">
      <c r="O48" s="499"/>
    </row>
    <row r="49" spans="14:15" s="333" customFormat="1" x14ac:dyDescent="0.25">
      <c r="O49" s="499"/>
    </row>
    <row r="50" spans="14:15" s="333" customFormat="1" x14ac:dyDescent="0.25">
      <c r="O50" s="499"/>
    </row>
    <row r="51" spans="14:15" s="333" customFormat="1" x14ac:dyDescent="0.25">
      <c r="N51" s="386"/>
      <c r="O51" s="499"/>
    </row>
    <row r="52" spans="14:15" s="333" customFormat="1" x14ac:dyDescent="0.25">
      <c r="N52" s="386"/>
      <c r="O52" s="499"/>
    </row>
    <row r="53" spans="14:15" s="333" customFormat="1" x14ac:dyDescent="0.25">
      <c r="N53" s="386"/>
      <c r="O53" s="499"/>
    </row>
    <row r="54" spans="14:15" s="333" customFormat="1" x14ac:dyDescent="0.25">
      <c r="N54" s="386"/>
      <c r="O54" s="499"/>
    </row>
    <row r="55" spans="14:15" s="333" customFormat="1" x14ac:dyDescent="0.25">
      <c r="N55" s="386"/>
      <c r="O55" s="499"/>
    </row>
    <row r="56" spans="14:15" s="333" customFormat="1" x14ac:dyDescent="0.25">
      <c r="N56" s="386"/>
      <c r="O56" s="499"/>
    </row>
    <row r="57" spans="14:15" s="333" customFormat="1" x14ac:dyDescent="0.25"/>
    <row r="58" spans="14:15" s="333" customFormat="1" x14ac:dyDescent="0.25"/>
    <row r="59" spans="14:15" s="333" customFormat="1" x14ac:dyDescent="0.25"/>
    <row r="60" spans="14:15" s="333" customFormat="1" x14ac:dyDescent="0.25"/>
    <row r="61" spans="14:15" s="333" customFormat="1" x14ac:dyDescent="0.25"/>
    <row r="62" spans="14:15" s="333" customFormat="1" x14ac:dyDescent="0.25"/>
    <row r="63" spans="14:15" s="333" customFormat="1" x14ac:dyDescent="0.25"/>
    <row r="64" spans="14:15" s="333" customFormat="1" x14ac:dyDescent="0.25"/>
    <row r="65" spans="2:11" s="333" customFormat="1" x14ac:dyDescent="0.25"/>
    <row r="66" spans="2:11" s="333" customFormat="1" x14ac:dyDescent="0.25"/>
    <row r="67" spans="2:11" s="333" customFormat="1" x14ac:dyDescent="0.25"/>
    <row r="68" spans="2:11" s="333" customFormat="1" x14ac:dyDescent="0.25"/>
    <row r="69" spans="2:11" s="333" customFormat="1" x14ac:dyDescent="0.25"/>
    <row r="70" spans="2:11" s="333" customFormat="1" x14ac:dyDescent="0.25"/>
    <row r="71" spans="2:11" s="333" customFormat="1" x14ac:dyDescent="0.25"/>
    <row r="72" spans="2:11" s="333" customFormat="1" x14ac:dyDescent="0.25"/>
    <row r="73" spans="2:11" s="333" customFormat="1" x14ac:dyDescent="0.25"/>
    <row r="74" spans="2:11" s="333" customFormat="1" x14ac:dyDescent="0.25"/>
    <row r="75" spans="2:11" s="333" customFormat="1" x14ac:dyDescent="0.25"/>
    <row r="76" spans="2:11" s="333" customFormat="1" x14ac:dyDescent="0.25"/>
    <row r="77" spans="2:11" s="333" customFormat="1" x14ac:dyDescent="0.25"/>
    <row r="78" spans="2:11" s="333" customFormat="1" x14ac:dyDescent="0.25"/>
    <row r="79" spans="2:11" s="333" customFormat="1" x14ac:dyDescent="0.25"/>
    <row r="80" spans="2:11" x14ac:dyDescent="0.25">
      <c r="B80" s="333"/>
      <c r="C80" s="333"/>
      <c r="D80" s="333"/>
      <c r="E80" s="333"/>
      <c r="F80" s="333"/>
      <c r="G80" s="333"/>
      <c r="H80" s="333"/>
      <c r="I80" s="333"/>
      <c r="J80" s="333"/>
      <c r="K80" s="333"/>
    </row>
  </sheetData>
  <mergeCells count="3">
    <mergeCell ref="B5:B6"/>
    <mergeCell ref="C5:E5"/>
    <mergeCell ref="O5:P5"/>
  </mergeCells>
  <pageMargins left="0.51181102362204722" right="0.27559055118110237" top="0.43307086614173229" bottom="0.19685039370078741" header="0" footer="0"/>
  <pageSetup paperSize="9" scale="63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119"/>
  <sheetViews>
    <sheetView showGridLines="0" view="pageBreakPreview" zoomScaleNormal="100" zoomScaleSheetLayoutView="100" workbookViewId="0">
      <selection activeCell="M47" sqref="M47"/>
    </sheetView>
  </sheetViews>
  <sheetFormatPr baseColWidth="10" defaultColWidth="11.453125" defaultRowHeight="12.5" x14ac:dyDescent="0.25"/>
  <cols>
    <col min="1" max="1" width="25" style="315" customWidth="1"/>
    <col min="2" max="2" width="15.7265625" style="315" customWidth="1"/>
    <col min="3" max="3" width="14.26953125" style="315" customWidth="1"/>
    <col min="4" max="7" width="7.54296875" style="315" customWidth="1"/>
    <col min="8" max="8" width="15.453125" style="315" customWidth="1"/>
    <col min="9" max="11" width="10.1796875" style="315" customWidth="1"/>
    <col min="12" max="12" width="11.7265625" style="315" bestFit="1" customWidth="1"/>
    <col min="13" max="13" width="9" style="315" customWidth="1"/>
    <col min="14" max="14" width="12.54296875" style="315" bestFit="1" customWidth="1"/>
    <col min="15" max="15" width="14.26953125" style="315" bestFit="1" customWidth="1"/>
    <col min="16" max="16" width="11.453125" style="315"/>
    <col min="17" max="17" width="13.54296875" style="315" bestFit="1" customWidth="1"/>
    <col min="18" max="18" width="15.54296875" style="315" bestFit="1" customWidth="1"/>
    <col min="19" max="20" width="10.26953125" style="315" bestFit="1" customWidth="1"/>
    <col min="21" max="21" width="9.453125" style="315" customWidth="1"/>
    <col min="22" max="16384" width="11.453125" style="315"/>
  </cols>
  <sheetData>
    <row r="1" spans="1:17" s="333" customFormat="1" x14ac:dyDescent="0.25"/>
    <row r="2" spans="1:17" s="333" customFormat="1" ht="15.5" x14ac:dyDescent="0.35">
      <c r="A2" s="391" t="s">
        <v>204</v>
      </c>
    </row>
    <row r="3" spans="1:17" s="333" customFormat="1" x14ac:dyDescent="0.25">
      <c r="A3" s="388"/>
    </row>
    <row r="4" spans="1:17" s="333" customFormat="1" ht="13" thickBot="1" x14ac:dyDescent="0.3"/>
    <row r="5" spans="1:17" ht="13" x14ac:dyDescent="0.25">
      <c r="A5" s="1514" t="s">
        <v>39</v>
      </c>
      <c r="B5" s="1511" t="s">
        <v>86</v>
      </c>
      <c r="C5" s="1561" t="s">
        <v>132</v>
      </c>
      <c r="D5" s="1517"/>
      <c r="E5" s="1517"/>
      <c r="F5" s="1517"/>
      <c r="G5" s="1517"/>
      <c r="H5" s="1562" t="s">
        <v>133</v>
      </c>
      <c r="I5" s="1563"/>
      <c r="J5" s="1564"/>
      <c r="K5" s="1564"/>
      <c r="L5" s="1565"/>
    </row>
    <row r="6" spans="1:17" ht="13.5" thickBot="1" x14ac:dyDescent="0.3">
      <c r="A6" s="1515"/>
      <c r="B6" s="1560"/>
      <c r="C6" s="1104" t="s">
        <v>53</v>
      </c>
      <c r="D6" s="1105" t="s">
        <v>134</v>
      </c>
      <c r="E6" s="1104" t="s">
        <v>135</v>
      </c>
      <c r="F6" s="1104" t="s">
        <v>136</v>
      </c>
      <c r="G6" s="1106" t="s">
        <v>137</v>
      </c>
      <c r="H6" s="1107" t="s">
        <v>53</v>
      </c>
      <c r="I6" s="1105" t="s">
        <v>134</v>
      </c>
      <c r="J6" s="1104" t="s">
        <v>135</v>
      </c>
      <c r="K6" s="1104" t="s">
        <v>136</v>
      </c>
      <c r="L6" s="1108" t="s">
        <v>137</v>
      </c>
    </row>
    <row r="7" spans="1:17" ht="13" x14ac:dyDescent="0.3">
      <c r="A7" s="1361">
        <v>1995</v>
      </c>
      <c r="B7" s="1362">
        <f>+H7+C7</f>
        <v>2491804</v>
      </c>
      <c r="C7" s="1363">
        <f t="shared" ref="C7:C25" si="0">SUM(D7:G7)</f>
        <v>175</v>
      </c>
      <c r="D7" s="1364">
        <v>4</v>
      </c>
      <c r="E7" s="1365">
        <v>24</v>
      </c>
      <c r="F7" s="1365">
        <v>145</v>
      </c>
      <c r="G7" s="1364">
        <v>2</v>
      </c>
      <c r="H7" s="1366">
        <f t="shared" ref="H7:H22" si="1">SUM(I7:L7)</f>
        <v>2491629</v>
      </c>
      <c r="I7" s="1364"/>
      <c r="J7" s="1365">
        <v>13</v>
      </c>
      <c r="K7" s="1365">
        <v>3747</v>
      </c>
      <c r="L7" s="1367">
        <v>2487869</v>
      </c>
      <c r="M7" s="328"/>
      <c r="N7" s="371"/>
      <c r="O7" s="371"/>
      <c r="P7" s="371"/>
      <c r="Q7" s="371"/>
    </row>
    <row r="8" spans="1:17" ht="13" x14ac:dyDescent="0.3">
      <c r="A8" s="446">
        <v>1996</v>
      </c>
      <c r="B8" s="504">
        <f t="shared" ref="B8:B26" si="2">+H8+C8</f>
        <v>2775675</v>
      </c>
      <c r="C8" s="505">
        <f t="shared" si="0"/>
        <v>161</v>
      </c>
      <c r="D8" s="1368">
        <v>3</v>
      </c>
      <c r="E8" s="448">
        <v>20</v>
      </c>
      <c r="F8" s="448">
        <v>137</v>
      </c>
      <c r="G8" s="1368">
        <v>1</v>
      </c>
      <c r="H8" s="506">
        <f t="shared" si="1"/>
        <v>2775514</v>
      </c>
      <c r="I8" s="1368"/>
      <c r="J8" s="448">
        <v>15</v>
      </c>
      <c r="K8" s="448">
        <v>4866</v>
      </c>
      <c r="L8" s="507">
        <v>2770633</v>
      </c>
      <c r="M8" s="328"/>
      <c r="N8" s="371"/>
      <c r="O8" s="371"/>
      <c r="P8" s="371"/>
      <c r="Q8" s="371"/>
    </row>
    <row r="9" spans="1:17" ht="13" x14ac:dyDescent="0.3">
      <c r="A9" s="440">
        <v>1997</v>
      </c>
      <c r="B9" s="500">
        <f t="shared" si="2"/>
        <v>2964263</v>
      </c>
      <c r="C9" s="501">
        <f t="shared" si="0"/>
        <v>160</v>
      </c>
      <c r="D9" s="1369">
        <v>3</v>
      </c>
      <c r="E9" s="442">
        <v>20</v>
      </c>
      <c r="F9" s="442">
        <v>136</v>
      </c>
      <c r="G9" s="1369">
        <v>1</v>
      </c>
      <c r="H9" s="502">
        <f t="shared" si="1"/>
        <v>2964103</v>
      </c>
      <c r="I9" s="1369"/>
      <c r="J9" s="442">
        <v>17</v>
      </c>
      <c r="K9" s="442">
        <v>4861</v>
      </c>
      <c r="L9" s="503">
        <v>2959225</v>
      </c>
      <c r="O9" s="371"/>
      <c r="Q9" s="371"/>
    </row>
    <row r="10" spans="1:17" ht="13" x14ac:dyDescent="0.3">
      <c r="A10" s="446">
        <v>1998</v>
      </c>
      <c r="B10" s="504">
        <f t="shared" si="2"/>
        <v>3057270</v>
      </c>
      <c r="C10" s="505">
        <f>SUM(D10:G10)</f>
        <v>168</v>
      </c>
      <c r="D10" s="1368">
        <v>4</v>
      </c>
      <c r="E10" s="448">
        <v>22</v>
      </c>
      <c r="F10" s="448">
        <v>141</v>
      </c>
      <c r="G10" s="1368">
        <v>1</v>
      </c>
      <c r="H10" s="506">
        <f t="shared" si="1"/>
        <v>3057102</v>
      </c>
      <c r="I10" s="1368"/>
      <c r="J10" s="448">
        <v>13</v>
      </c>
      <c r="K10" s="448">
        <v>5372</v>
      </c>
      <c r="L10" s="507">
        <v>3051717</v>
      </c>
      <c r="O10" s="371"/>
      <c r="Q10" s="371"/>
    </row>
    <row r="11" spans="1:17" ht="13" x14ac:dyDescent="0.3">
      <c r="A11" s="440">
        <v>1999</v>
      </c>
      <c r="B11" s="500">
        <f t="shared" si="2"/>
        <v>3217011</v>
      </c>
      <c r="C11" s="501">
        <f t="shared" si="0"/>
        <v>176</v>
      </c>
      <c r="D11" s="1369">
        <f>3-1</f>
        <v>2</v>
      </c>
      <c r="E11" s="442">
        <v>23</v>
      </c>
      <c r="F11" s="442">
        <f>154-5+1</f>
        <v>150</v>
      </c>
      <c r="G11" s="1369">
        <v>1</v>
      </c>
      <c r="H11" s="502">
        <f t="shared" si="1"/>
        <v>3216835</v>
      </c>
      <c r="I11" s="1369"/>
      <c r="J11" s="442">
        <v>20</v>
      </c>
      <c r="K11" s="442">
        <v>5774</v>
      </c>
      <c r="L11" s="503">
        <v>3211041</v>
      </c>
      <c r="O11" s="371"/>
      <c r="Q11" s="371"/>
    </row>
    <row r="12" spans="1:17" ht="13" x14ac:dyDescent="0.3">
      <c r="A12" s="446">
        <v>2000</v>
      </c>
      <c r="B12" s="504">
        <f t="shared" si="2"/>
        <v>3352159</v>
      </c>
      <c r="C12" s="505">
        <f t="shared" si="0"/>
        <v>179</v>
      </c>
      <c r="D12" s="1368">
        <v>3</v>
      </c>
      <c r="E12" s="448">
        <f>21-1</f>
        <v>20</v>
      </c>
      <c r="F12" s="448">
        <f>155+1</f>
        <v>156</v>
      </c>
      <c r="G12" s="1368">
        <v>0</v>
      </c>
      <c r="H12" s="506">
        <f t="shared" si="1"/>
        <v>3351980</v>
      </c>
      <c r="I12" s="1368"/>
      <c r="J12" s="448">
        <v>9</v>
      </c>
      <c r="K12" s="448">
        <v>6259</v>
      </c>
      <c r="L12" s="507">
        <v>3345712</v>
      </c>
      <c r="O12" s="371"/>
      <c r="Q12" s="371"/>
    </row>
    <row r="13" spans="1:17" ht="13" x14ac:dyDescent="0.3">
      <c r="A13" s="440">
        <v>2001</v>
      </c>
      <c r="B13" s="500">
        <f t="shared" si="2"/>
        <v>3462792</v>
      </c>
      <c r="C13" s="501">
        <f t="shared" si="0"/>
        <v>182</v>
      </c>
      <c r="D13" s="508">
        <v>2</v>
      </c>
      <c r="E13" s="442">
        <v>17</v>
      </c>
      <c r="F13" s="442">
        <v>163</v>
      </c>
      <c r="G13" s="1369">
        <v>0</v>
      </c>
      <c r="H13" s="502">
        <f t="shared" si="1"/>
        <v>3462610</v>
      </c>
      <c r="I13" s="508"/>
      <c r="J13" s="442">
        <v>9</v>
      </c>
      <c r="K13" s="442">
        <v>6752</v>
      </c>
      <c r="L13" s="503">
        <v>3455849</v>
      </c>
      <c r="O13" s="371"/>
      <c r="Q13" s="371"/>
    </row>
    <row r="14" spans="1:17" ht="13" x14ac:dyDescent="0.3">
      <c r="A14" s="446">
        <v>2002</v>
      </c>
      <c r="B14" s="504">
        <f t="shared" si="2"/>
        <v>3614408</v>
      </c>
      <c r="C14" s="505">
        <f t="shared" si="0"/>
        <v>185</v>
      </c>
      <c r="D14" s="509">
        <v>2</v>
      </c>
      <c r="E14" s="448">
        <v>15</v>
      </c>
      <c r="F14" s="448">
        <v>168</v>
      </c>
      <c r="G14" s="1368">
        <v>0</v>
      </c>
      <c r="H14" s="506">
        <f t="shared" si="1"/>
        <v>3614223</v>
      </c>
      <c r="I14" s="509"/>
      <c r="J14" s="448">
        <v>11</v>
      </c>
      <c r="K14" s="448">
        <v>7166</v>
      </c>
      <c r="L14" s="507">
        <v>3607046</v>
      </c>
      <c r="O14" s="371"/>
      <c r="Q14" s="371"/>
    </row>
    <row r="15" spans="1:17" ht="13" x14ac:dyDescent="0.3">
      <c r="A15" s="440">
        <v>2003</v>
      </c>
      <c r="B15" s="500">
        <f t="shared" si="2"/>
        <v>3727184</v>
      </c>
      <c r="C15" s="501">
        <f t="shared" si="0"/>
        <v>165</v>
      </c>
      <c r="D15" s="508">
        <v>2</v>
      </c>
      <c r="E15" s="442">
        <v>14</v>
      </c>
      <c r="F15" s="442">
        <v>149</v>
      </c>
      <c r="G15" s="1369">
        <v>0</v>
      </c>
      <c r="H15" s="502">
        <f t="shared" si="1"/>
        <v>3727019</v>
      </c>
      <c r="I15" s="508"/>
      <c r="J15" s="442">
        <v>12</v>
      </c>
      <c r="K15" s="442">
        <v>7598</v>
      </c>
      <c r="L15" s="503">
        <v>3719409</v>
      </c>
      <c r="O15" s="371"/>
      <c r="Q15" s="371"/>
    </row>
    <row r="16" spans="1:17" ht="13" x14ac:dyDescent="0.3">
      <c r="A16" s="446">
        <v>2004</v>
      </c>
      <c r="B16" s="504">
        <f t="shared" si="2"/>
        <v>3860430</v>
      </c>
      <c r="C16" s="505">
        <f t="shared" si="0"/>
        <v>160</v>
      </c>
      <c r="D16" s="509">
        <v>2</v>
      </c>
      <c r="E16" s="448">
        <v>10</v>
      </c>
      <c r="F16" s="448">
        <v>148</v>
      </c>
      <c r="G16" s="1368">
        <v>0</v>
      </c>
      <c r="H16" s="506">
        <f t="shared" si="1"/>
        <v>3860270</v>
      </c>
      <c r="I16" s="509"/>
      <c r="J16" s="448">
        <v>19</v>
      </c>
      <c r="K16" s="448">
        <v>8120</v>
      </c>
      <c r="L16" s="507">
        <v>3852131</v>
      </c>
      <c r="O16" s="371"/>
      <c r="Q16" s="371"/>
    </row>
    <row r="17" spans="1:30" ht="13" x14ac:dyDescent="0.3">
      <c r="A17" s="440">
        <v>2005</v>
      </c>
      <c r="B17" s="500">
        <f t="shared" si="2"/>
        <v>3977020</v>
      </c>
      <c r="C17" s="501">
        <f t="shared" si="0"/>
        <v>164</v>
      </c>
      <c r="D17" s="508">
        <v>2</v>
      </c>
      <c r="E17" s="442">
        <v>14</v>
      </c>
      <c r="F17" s="442">
        <v>148</v>
      </c>
      <c r="G17" s="1369">
        <v>0</v>
      </c>
      <c r="H17" s="502">
        <f t="shared" si="1"/>
        <v>3976856</v>
      </c>
      <c r="I17" s="508"/>
      <c r="J17" s="442">
        <v>18</v>
      </c>
      <c r="K17" s="442">
        <v>8727</v>
      </c>
      <c r="L17" s="503">
        <v>3968111</v>
      </c>
      <c r="O17" s="371"/>
      <c r="Q17" s="371"/>
    </row>
    <row r="18" spans="1:30" ht="13" x14ac:dyDescent="0.3">
      <c r="A18" s="446">
        <v>2006</v>
      </c>
      <c r="B18" s="504">
        <f t="shared" si="2"/>
        <v>4165191</v>
      </c>
      <c r="C18" s="505">
        <f>SUM(D18:G18)</f>
        <v>154</v>
      </c>
      <c r="D18" s="509">
        <v>2</v>
      </c>
      <c r="E18" s="448">
        <v>13</v>
      </c>
      <c r="F18" s="448">
        <v>139</v>
      </c>
      <c r="G18" s="1368">
        <v>0</v>
      </c>
      <c r="H18" s="506">
        <f t="shared" si="1"/>
        <v>4165037</v>
      </c>
      <c r="I18" s="509"/>
      <c r="J18" s="448">
        <v>22</v>
      </c>
      <c r="K18" s="448">
        <v>9454</v>
      </c>
      <c r="L18" s="507">
        <v>4155561</v>
      </c>
      <c r="O18" s="371"/>
      <c r="Q18" s="371"/>
    </row>
    <row r="19" spans="1:30" ht="13" x14ac:dyDescent="0.3">
      <c r="A19" s="440">
        <v>2007</v>
      </c>
      <c r="B19" s="500">
        <f t="shared" si="2"/>
        <v>4359764</v>
      </c>
      <c r="C19" s="501">
        <f t="shared" si="0"/>
        <v>152</v>
      </c>
      <c r="D19" s="508">
        <v>2</v>
      </c>
      <c r="E19" s="442">
        <v>11</v>
      </c>
      <c r="F19" s="442">
        <v>139</v>
      </c>
      <c r="G19" s="1369">
        <v>0</v>
      </c>
      <c r="H19" s="502">
        <f t="shared" si="1"/>
        <v>4359612</v>
      </c>
      <c r="I19" s="508"/>
      <c r="J19" s="442">
        <v>25</v>
      </c>
      <c r="K19" s="442">
        <v>10314</v>
      </c>
      <c r="L19" s="503">
        <v>4349273</v>
      </c>
      <c r="O19" s="371"/>
      <c r="Q19" s="371"/>
    </row>
    <row r="20" spans="1:30" ht="13" x14ac:dyDescent="0.3">
      <c r="A20" s="446">
        <v>2008</v>
      </c>
      <c r="B20" s="504">
        <f t="shared" si="2"/>
        <v>4624684</v>
      </c>
      <c r="C20" s="505">
        <f t="shared" si="0"/>
        <v>150</v>
      </c>
      <c r="D20" s="509">
        <v>2</v>
      </c>
      <c r="E20" s="448">
        <v>10</v>
      </c>
      <c r="F20" s="448">
        <v>138</v>
      </c>
      <c r="G20" s="1368">
        <v>0</v>
      </c>
      <c r="H20" s="506">
        <f t="shared" si="1"/>
        <v>4624534</v>
      </c>
      <c r="I20" s="509"/>
      <c r="J20" s="448">
        <v>24</v>
      </c>
      <c r="K20" s="448">
        <v>11422</v>
      </c>
      <c r="L20" s="507">
        <v>4613088</v>
      </c>
      <c r="O20" s="371"/>
      <c r="Q20" s="371"/>
    </row>
    <row r="21" spans="1:30" ht="13" x14ac:dyDescent="0.3">
      <c r="A21" s="440">
        <v>2009</v>
      </c>
      <c r="B21" s="500">
        <f t="shared" si="2"/>
        <v>4878854</v>
      </c>
      <c r="C21" s="501">
        <f t="shared" si="0"/>
        <v>159</v>
      </c>
      <c r="D21" s="508">
        <v>2</v>
      </c>
      <c r="E21" s="442">
        <v>13</v>
      </c>
      <c r="F21" s="442">
        <v>144</v>
      </c>
      <c r="G21" s="1369">
        <v>0</v>
      </c>
      <c r="H21" s="502">
        <f t="shared" si="1"/>
        <v>4878695</v>
      </c>
      <c r="I21" s="508"/>
      <c r="J21" s="442">
        <v>22</v>
      </c>
      <c r="K21" s="442">
        <v>12368</v>
      </c>
      <c r="L21" s="503">
        <v>4866305</v>
      </c>
      <c r="O21" s="371"/>
      <c r="Q21" s="371"/>
    </row>
    <row r="22" spans="1:30" ht="13" x14ac:dyDescent="0.3">
      <c r="A22" s="446">
        <v>2010</v>
      </c>
      <c r="B22" s="510">
        <f t="shared" si="2"/>
        <v>5170778</v>
      </c>
      <c r="C22" s="511">
        <f t="shared" si="0"/>
        <v>140</v>
      </c>
      <c r="D22" s="512">
        <v>2</v>
      </c>
      <c r="E22" s="513">
        <v>13</v>
      </c>
      <c r="F22" s="513">
        <v>125</v>
      </c>
      <c r="G22" s="1370">
        <v>0</v>
      </c>
      <c r="H22" s="514">
        <f t="shared" si="1"/>
        <v>5170638</v>
      </c>
      <c r="I22" s="512"/>
      <c r="J22" s="513">
        <v>23</v>
      </c>
      <c r="K22" s="513">
        <v>13331</v>
      </c>
      <c r="L22" s="515">
        <v>5157284</v>
      </c>
      <c r="O22" s="371"/>
      <c r="Q22" s="371"/>
    </row>
    <row r="23" spans="1:30" s="333" customFormat="1" ht="13" x14ac:dyDescent="0.3">
      <c r="A23" s="440">
        <v>2011</v>
      </c>
      <c r="B23" s="500">
        <f t="shared" si="2"/>
        <v>5495091</v>
      </c>
      <c r="C23" s="501">
        <f t="shared" si="0"/>
        <v>130</v>
      </c>
      <c r="D23" s="508">
        <v>2</v>
      </c>
      <c r="E23" s="442">
        <v>15</v>
      </c>
      <c r="F23" s="442">
        <v>113</v>
      </c>
      <c r="G23" s="1369">
        <v>0</v>
      </c>
      <c r="H23" s="502">
        <f>SUM(I23:L23)</f>
        <v>5494961</v>
      </c>
      <c r="I23" s="508">
        <v>1</v>
      </c>
      <c r="J23" s="442">
        <v>24</v>
      </c>
      <c r="K23" s="442">
        <v>14409</v>
      </c>
      <c r="L23" s="503">
        <v>5480527</v>
      </c>
      <c r="M23" s="315"/>
      <c r="N23" s="315"/>
      <c r="O23" s="371"/>
      <c r="P23" s="315"/>
      <c r="Q23" s="371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</row>
    <row r="24" spans="1:30" s="333" customFormat="1" ht="13" x14ac:dyDescent="0.3">
      <c r="A24" s="446">
        <v>2012</v>
      </c>
      <c r="B24" s="510">
        <f t="shared" si="2"/>
        <v>5834755</v>
      </c>
      <c r="C24" s="511">
        <f t="shared" si="0"/>
        <v>130</v>
      </c>
      <c r="D24" s="512">
        <v>2</v>
      </c>
      <c r="E24" s="513">
        <v>16</v>
      </c>
      <c r="F24" s="513">
        <v>112</v>
      </c>
      <c r="G24" s="1370">
        <v>0</v>
      </c>
      <c r="H24" s="514">
        <f>SUM(I24:L24)</f>
        <v>5834625</v>
      </c>
      <c r="I24" s="512">
        <v>1</v>
      </c>
      <c r="J24" s="513">
        <v>19</v>
      </c>
      <c r="K24" s="513">
        <v>15886</v>
      </c>
      <c r="L24" s="515">
        <v>5818719</v>
      </c>
      <c r="M24" s="315"/>
      <c r="N24" s="315"/>
      <c r="O24" s="371"/>
      <c r="P24" s="315"/>
      <c r="Q24" s="371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</row>
    <row r="25" spans="1:30" s="333" customFormat="1" ht="13" x14ac:dyDescent="0.3">
      <c r="A25" s="440">
        <v>2013</v>
      </c>
      <c r="B25" s="500">
        <f t="shared" si="2"/>
        <v>6156176</v>
      </c>
      <c r="C25" s="501">
        <f t="shared" si="0"/>
        <v>141</v>
      </c>
      <c r="D25" s="508">
        <v>3</v>
      </c>
      <c r="E25" s="442">
        <v>18</v>
      </c>
      <c r="F25" s="442">
        <v>120</v>
      </c>
      <c r="G25" s="1369">
        <v>0</v>
      </c>
      <c r="H25" s="502">
        <f>SUM(I25:L25)</f>
        <v>6156035</v>
      </c>
      <c r="I25" s="508">
        <v>1</v>
      </c>
      <c r="J25" s="442">
        <v>19</v>
      </c>
      <c r="K25" s="442">
        <v>16943</v>
      </c>
      <c r="L25" s="503">
        <v>6139072</v>
      </c>
      <c r="M25" s="315"/>
      <c r="N25" s="315"/>
      <c r="O25" s="371"/>
      <c r="P25" s="315"/>
      <c r="Q25" s="371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</row>
    <row r="26" spans="1:30" s="333" customFormat="1" ht="13" x14ac:dyDescent="0.3">
      <c r="A26" s="446">
        <v>2014</v>
      </c>
      <c r="B26" s="510">
        <f t="shared" si="2"/>
        <v>6432587</v>
      </c>
      <c r="C26" s="511">
        <f>SUM(D26:G26)</f>
        <v>143.00000000000003</v>
      </c>
      <c r="D26" s="512">
        <v>2</v>
      </c>
      <c r="E26" s="513">
        <v>16</v>
      </c>
      <c r="F26" s="513">
        <v>125.00000000000003</v>
      </c>
      <c r="G26" s="1370">
        <v>0</v>
      </c>
      <c r="H26" s="514">
        <f>SUM(I26:L26)</f>
        <v>6432444</v>
      </c>
      <c r="I26" s="512">
        <v>1</v>
      </c>
      <c r="J26" s="513">
        <v>16</v>
      </c>
      <c r="K26" s="513">
        <v>17700.000000000004</v>
      </c>
      <c r="L26" s="515">
        <v>6414727</v>
      </c>
      <c r="M26" s="315"/>
      <c r="N26" s="516"/>
      <c r="O26" s="371"/>
      <c r="P26" s="315"/>
      <c r="Q26" s="371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</row>
    <row r="27" spans="1:30" s="333" customFormat="1" ht="13" x14ac:dyDescent="0.3">
      <c r="A27" s="440">
        <v>2015</v>
      </c>
      <c r="B27" s="500">
        <f>+H27+C27</f>
        <v>6681856.9999999972</v>
      </c>
      <c r="C27" s="501">
        <f>SUM(D27:G27)</f>
        <v>175</v>
      </c>
      <c r="D27" s="508">
        <v>2</v>
      </c>
      <c r="E27" s="442">
        <v>17</v>
      </c>
      <c r="F27" s="442">
        <v>156</v>
      </c>
      <c r="G27" s="1369">
        <v>0</v>
      </c>
      <c r="H27" s="502">
        <f>SUM(I27:L27)</f>
        <v>6681681.9999999972</v>
      </c>
      <c r="I27" s="508">
        <v>1</v>
      </c>
      <c r="J27" s="442">
        <v>17</v>
      </c>
      <c r="K27" s="442">
        <v>18796.000000000095</v>
      </c>
      <c r="L27" s="503">
        <v>6662867.9999999972</v>
      </c>
      <c r="M27" s="315"/>
      <c r="N27" s="315"/>
      <c r="O27" s="371"/>
      <c r="P27" s="315"/>
      <c r="Q27" s="371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</row>
    <row r="28" spans="1:30" s="333" customFormat="1" ht="13" x14ac:dyDescent="0.3">
      <c r="A28" s="446">
        <v>2016</v>
      </c>
      <c r="B28" s="510">
        <f t="shared" ref="B28:B34" si="3">+H28+C28</f>
        <v>6936040</v>
      </c>
      <c r="C28" s="511">
        <f t="shared" ref="C28:C34" si="4">SUM(D28:G28)</f>
        <v>465</v>
      </c>
      <c r="D28" s="512">
        <v>1</v>
      </c>
      <c r="E28" s="513">
        <v>15.000000000000002</v>
      </c>
      <c r="F28" s="513">
        <v>449</v>
      </c>
      <c r="G28" s="1370">
        <v>0</v>
      </c>
      <c r="H28" s="514">
        <f t="shared" ref="H28:H34" si="5">SUM(I28:L28)</f>
        <v>6935575</v>
      </c>
      <c r="I28" s="512">
        <v>1</v>
      </c>
      <c r="J28" s="513">
        <v>16</v>
      </c>
      <c r="K28" s="513">
        <v>18704.999999999996</v>
      </c>
      <c r="L28" s="515">
        <v>6916853</v>
      </c>
      <c r="M28" s="315"/>
      <c r="N28" s="315"/>
      <c r="O28" s="371"/>
      <c r="P28" s="315"/>
      <c r="Q28" s="371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</row>
    <row r="29" spans="1:30" s="333" customFormat="1" ht="13" x14ac:dyDescent="0.3">
      <c r="A29" s="440">
        <v>2017</v>
      </c>
      <c r="B29" s="500">
        <f t="shared" si="3"/>
        <v>7167018.0000000075</v>
      </c>
      <c r="C29" s="501">
        <f t="shared" si="4"/>
        <v>699</v>
      </c>
      <c r="D29" s="508">
        <v>1</v>
      </c>
      <c r="E29" s="442">
        <v>12</v>
      </c>
      <c r="F29" s="442">
        <v>686</v>
      </c>
      <c r="G29" s="1369">
        <v>0</v>
      </c>
      <c r="H29" s="502">
        <f t="shared" si="5"/>
        <v>7166319.0000000075</v>
      </c>
      <c r="I29" s="508">
        <v>1</v>
      </c>
      <c r="J29" s="442">
        <v>12</v>
      </c>
      <c r="K29" s="442">
        <v>18760</v>
      </c>
      <c r="L29" s="503">
        <v>7147546.0000000075</v>
      </c>
      <c r="M29" s="315"/>
      <c r="N29" s="315"/>
      <c r="O29" s="371"/>
      <c r="P29" s="315"/>
      <c r="Q29" s="371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</row>
    <row r="30" spans="1:30" s="333" customFormat="1" ht="13" x14ac:dyDescent="0.3">
      <c r="A30" s="446">
        <v>2018</v>
      </c>
      <c r="B30" s="510">
        <f t="shared" si="3"/>
        <v>7375863.9999999925</v>
      </c>
      <c r="C30" s="511">
        <f t="shared" si="4"/>
        <v>760</v>
      </c>
      <c r="D30" s="512">
        <v>2</v>
      </c>
      <c r="E30" s="513">
        <v>14</v>
      </c>
      <c r="F30" s="513">
        <v>742</v>
      </c>
      <c r="G30" s="1370">
        <v>2</v>
      </c>
      <c r="H30" s="514">
        <f t="shared" si="5"/>
        <v>7375103.9999999925</v>
      </c>
      <c r="I30" s="512">
        <v>1</v>
      </c>
      <c r="J30" s="513">
        <v>10</v>
      </c>
      <c r="K30" s="513">
        <v>19056.999999999996</v>
      </c>
      <c r="L30" s="515">
        <v>7356035.9999999925</v>
      </c>
      <c r="M30" s="315"/>
      <c r="N30" s="315"/>
      <c r="O30" s="371"/>
      <c r="P30" s="315"/>
      <c r="Q30" s="371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</row>
    <row r="31" spans="1:30" s="333" customFormat="1" ht="13" x14ac:dyDescent="0.3">
      <c r="A31" s="440">
        <v>2019</v>
      </c>
      <c r="B31" s="500">
        <f t="shared" si="3"/>
        <v>7564747.0000000102</v>
      </c>
      <c r="C31" s="501">
        <f t="shared" si="4"/>
        <v>957</v>
      </c>
      <c r="D31" s="508">
        <v>2</v>
      </c>
      <c r="E31" s="442">
        <v>15</v>
      </c>
      <c r="F31" s="442">
        <v>939</v>
      </c>
      <c r="G31" s="1369">
        <v>1</v>
      </c>
      <c r="H31" s="502">
        <f t="shared" si="5"/>
        <v>7563790.0000000102</v>
      </c>
      <c r="I31" s="508">
        <v>1</v>
      </c>
      <c r="J31" s="442">
        <v>9</v>
      </c>
      <c r="K31" s="442">
        <v>19211.999999999996</v>
      </c>
      <c r="L31" s="503">
        <v>7544568.0000000102</v>
      </c>
      <c r="M31" s="315"/>
      <c r="N31" s="315"/>
      <c r="O31" s="371"/>
      <c r="P31" s="315"/>
      <c r="Q31" s="371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</row>
    <row r="32" spans="1:30" s="333" customFormat="1" ht="13" x14ac:dyDescent="0.3">
      <c r="A32" s="446">
        <v>2020</v>
      </c>
      <c r="B32" s="510">
        <f t="shared" si="3"/>
        <v>7777498.9999999981</v>
      </c>
      <c r="C32" s="511">
        <f t="shared" si="4"/>
        <v>1032</v>
      </c>
      <c r="D32" s="512">
        <v>2</v>
      </c>
      <c r="E32" s="513">
        <v>14</v>
      </c>
      <c r="F32" s="513">
        <v>1014.9999999999999</v>
      </c>
      <c r="G32" s="1370">
        <v>1</v>
      </c>
      <c r="H32" s="514">
        <f t="shared" si="5"/>
        <v>7776466.9999999981</v>
      </c>
      <c r="I32" s="512">
        <v>1</v>
      </c>
      <c r="J32" s="513">
        <v>9</v>
      </c>
      <c r="K32" s="513">
        <v>19117.000000000007</v>
      </c>
      <c r="L32" s="515">
        <v>7757339.9999999981</v>
      </c>
      <c r="M32" s="315"/>
      <c r="N32" s="315"/>
      <c r="O32" s="371"/>
      <c r="P32" s="315"/>
      <c r="Q32" s="371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</row>
    <row r="33" spans="1:30" s="333" customFormat="1" ht="13" x14ac:dyDescent="0.3">
      <c r="A33" s="440">
        <v>2021</v>
      </c>
      <c r="B33" s="500">
        <f t="shared" ref="B33" si="6">+H33+C33</f>
        <v>8142361.9999999981</v>
      </c>
      <c r="C33" s="501">
        <f t="shared" ref="C33" si="7">SUM(D33:G33)</f>
        <v>1204</v>
      </c>
      <c r="D33" s="508">
        <v>1</v>
      </c>
      <c r="E33" s="442">
        <v>17</v>
      </c>
      <c r="F33" s="442">
        <v>1182</v>
      </c>
      <c r="G33" s="1369">
        <v>4</v>
      </c>
      <c r="H33" s="502">
        <f t="shared" ref="H33" si="8">SUM(I33:L33)</f>
        <v>8141157.9999999981</v>
      </c>
      <c r="I33" s="508">
        <v>1</v>
      </c>
      <c r="J33" s="442">
        <v>6</v>
      </c>
      <c r="K33" s="442">
        <v>19290</v>
      </c>
      <c r="L33" s="503">
        <v>8121860.9999999981</v>
      </c>
      <c r="M33" s="315"/>
      <c r="N33" s="315"/>
      <c r="O33" s="371"/>
      <c r="P33" s="315"/>
      <c r="Q33" s="371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</row>
    <row r="34" spans="1:30" s="333" customFormat="1" ht="13.5" thickBot="1" x14ac:dyDescent="0.35">
      <c r="A34" s="1371">
        <v>2022</v>
      </c>
      <c r="B34" s="517">
        <f t="shared" si="3"/>
        <v>8347886</v>
      </c>
      <c r="C34" s="1372">
        <f t="shared" si="4"/>
        <v>1426</v>
      </c>
      <c r="D34" s="520">
        <v>0</v>
      </c>
      <c r="E34" s="518">
        <v>18</v>
      </c>
      <c r="F34" s="518">
        <v>1401</v>
      </c>
      <c r="G34" s="1373">
        <v>7</v>
      </c>
      <c r="H34" s="519">
        <f t="shared" si="5"/>
        <v>8346460</v>
      </c>
      <c r="I34" s="520">
        <v>1</v>
      </c>
      <c r="J34" s="518">
        <v>5</v>
      </c>
      <c r="K34" s="518">
        <v>19508</v>
      </c>
      <c r="L34" s="521">
        <v>8326946</v>
      </c>
      <c r="M34" s="315"/>
      <c r="N34" s="315"/>
      <c r="O34" s="371"/>
      <c r="P34" s="315"/>
      <c r="Q34" s="371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</row>
    <row r="35" spans="1:30" s="492" customFormat="1" ht="18.75" customHeight="1" x14ac:dyDescent="0.25">
      <c r="A35" s="546" t="s">
        <v>161</v>
      </c>
      <c r="B35" s="522">
        <f>(B34/B33)-1</f>
        <v>2.5241324323335368E-2</v>
      </c>
      <c r="C35" s="529">
        <f>(C34/C33)-1</f>
        <v>0.18438538205980071</v>
      </c>
      <c r="D35" s="526"/>
      <c r="E35" s="526"/>
      <c r="F35" s="526"/>
      <c r="G35" s="526"/>
      <c r="H35" s="1360">
        <f>(H34/H33)-1</f>
        <v>2.5217788427641663E-2</v>
      </c>
      <c r="K35" s="523">
        <f>(K34/K33)-1</f>
        <v>1.1301192327630938E-2</v>
      </c>
      <c r="L35" s="1374">
        <f>(L34/L33)-1</f>
        <v>2.5250986196390546E-2</v>
      </c>
      <c r="M35" s="493"/>
      <c r="N35" s="493"/>
      <c r="O35" s="493"/>
      <c r="P35" s="493"/>
      <c r="Q35" s="493"/>
      <c r="R35" s="493"/>
      <c r="S35" s="493"/>
      <c r="T35" s="493"/>
      <c r="U35" s="493"/>
      <c r="V35" s="493"/>
      <c r="W35" s="493"/>
      <c r="X35" s="493"/>
      <c r="Y35" s="493"/>
      <c r="Z35" s="493"/>
      <c r="AA35" s="493"/>
      <c r="AB35" s="493"/>
      <c r="AC35" s="493"/>
      <c r="AD35" s="493"/>
    </row>
    <row r="36" spans="1:30" s="492" customFormat="1" ht="18.75" customHeight="1" x14ac:dyDescent="0.25">
      <c r="A36" s="904" t="s">
        <v>162</v>
      </c>
      <c r="B36" s="524">
        <f>((B34/B29)^(1/5))-1</f>
        <v>3.0973738591609568E-2</v>
      </c>
      <c r="C36" s="525">
        <f>((C34/C29)^(1/5))-1</f>
        <v>0.15326329507972192</v>
      </c>
      <c r="D36" s="526"/>
      <c r="E36" s="526"/>
      <c r="F36" s="526"/>
      <c r="G36" s="526"/>
      <c r="H36" s="527">
        <f>((H34/H29)^(1/5))-1</f>
        <v>3.0958624333872642E-2</v>
      </c>
      <c r="K36" s="261">
        <f>((K34/K29)^(1/5))-1</f>
        <v>7.8501912917763317E-3</v>
      </c>
      <c r="L36" s="926">
        <f>((L34/L29)^(1/5))-1</f>
        <v>3.1016837629362026E-2</v>
      </c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</row>
    <row r="37" spans="1:30" s="492" customFormat="1" ht="18.75" customHeight="1" x14ac:dyDescent="0.25">
      <c r="A37" s="905" t="s">
        <v>163</v>
      </c>
      <c r="B37" s="528">
        <f>(B34/B24)-1</f>
        <v>0.43071748513862196</v>
      </c>
      <c r="C37" s="529">
        <f>(C34/C24)-1</f>
        <v>9.9692307692307693</v>
      </c>
      <c r="D37" s="526"/>
      <c r="E37" s="526"/>
      <c r="F37" s="526"/>
      <c r="G37" s="526"/>
      <c r="H37" s="530">
        <f>(H34/H24)-1</f>
        <v>0.43050495961608504</v>
      </c>
      <c r="K37" s="531">
        <f>(K34/K24)-1</f>
        <v>0.22799949641193495</v>
      </c>
      <c r="L37" s="924">
        <f>(L34/L24)-1</f>
        <v>0.43106171650495573</v>
      </c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</row>
    <row r="38" spans="1:30" s="492" customFormat="1" ht="19.5" customHeight="1" thickBot="1" x14ac:dyDescent="0.3">
      <c r="A38" s="906" t="s">
        <v>164</v>
      </c>
      <c r="B38" s="532">
        <f>((B34/B24)^(1/10))-1</f>
        <v>3.6466783543702475E-2</v>
      </c>
      <c r="C38" s="533">
        <f>((C34/C24)^(1/10))-1</f>
        <v>0.27062564757596475</v>
      </c>
      <c r="H38" s="534">
        <f>((H34/H24)^(1/10))-1</f>
        <v>3.6451386348044235E-2</v>
      </c>
      <c r="I38" s="535"/>
      <c r="J38" s="535"/>
      <c r="K38" s="536">
        <f>((K34/K24)^(1/10))-1</f>
        <v>2.0751011304621869E-2</v>
      </c>
      <c r="L38" s="1375">
        <f>((L34/L24)^(1/10))-1</f>
        <v>3.6491718288508723E-2</v>
      </c>
      <c r="M38" s="493"/>
      <c r="N38" s="493"/>
      <c r="O38" s="493"/>
      <c r="P38" s="493"/>
      <c r="Q38" s="493"/>
      <c r="R38" s="493"/>
      <c r="S38" s="493"/>
      <c r="T38" s="493"/>
      <c r="U38" s="493"/>
      <c r="V38" s="493"/>
      <c r="W38" s="493"/>
      <c r="X38" s="493"/>
      <c r="Y38" s="493"/>
      <c r="Z38" s="493"/>
      <c r="AA38" s="493"/>
      <c r="AB38" s="493"/>
      <c r="AC38" s="493"/>
      <c r="AD38" s="493"/>
    </row>
    <row r="39" spans="1:30" s="333" customFormat="1" ht="13" x14ac:dyDescent="0.3">
      <c r="B39" s="537"/>
      <c r="C39" s="537"/>
      <c r="H39" s="538"/>
      <c r="I39" s="539"/>
      <c r="J39" s="539"/>
      <c r="K39" s="539"/>
      <c r="L39" s="539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</row>
    <row r="40" spans="1:30" s="333" customFormat="1" x14ac:dyDescent="0.25">
      <c r="A40" s="388"/>
      <c r="M40" s="540"/>
      <c r="Z40" s="540"/>
    </row>
    <row r="41" spans="1:30" s="333" customFormat="1" x14ac:dyDescent="0.25">
      <c r="B41" s="540"/>
      <c r="M41" s="540"/>
      <c r="O41" s="1418" t="s">
        <v>188</v>
      </c>
      <c r="P41" s="1418" t="s">
        <v>189</v>
      </c>
      <c r="Z41" s="540"/>
    </row>
    <row r="42" spans="1:30" s="333" customFormat="1" x14ac:dyDescent="0.25">
      <c r="B42" s="540"/>
      <c r="M42" s="540"/>
      <c r="N42" s="333">
        <v>1995</v>
      </c>
      <c r="O42" s="540">
        <f>+C7</f>
        <v>175</v>
      </c>
      <c r="P42" s="540">
        <f>+H7</f>
        <v>2491629</v>
      </c>
      <c r="Z42" s="540"/>
    </row>
    <row r="43" spans="1:30" s="333" customFormat="1" x14ac:dyDescent="0.25">
      <c r="B43" s="540"/>
      <c r="M43" s="540"/>
      <c r="N43" s="333">
        <v>2000</v>
      </c>
      <c r="O43" s="540">
        <f>+C12</f>
        <v>179</v>
      </c>
      <c r="P43" s="540">
        <f>+H12</f>
        <v>3351980</v>
      </c>
      <c r="Z43" s="540"/>
    </row>
    <row r="44" spans="1:30" s="333" customFormat="1" x14ac:dyDescent="0.25">
      <c r="B44" s="540"/>
      <c r="M44" s="540"/>
      <c r="N44" s="333">
        <v>2005</v>
      </c>
      <c r="O44" s="540">
        <f>+C17</f>
        <v>164</v>
      </c>
      <c r="P44" s="540">
        <f>+H17</f>
        <v>3976856</v>
      </c>
      <c r="Z44" s="540"/>
    </row>
    <row r="45" spans="1:30" s="333" customFormat="1" x14ac:dyDescent="0.25">
      <c r="B45" s="540"/>
      <c r="M45" s="540"/>
      <c r="N45" s="333">
        <v>2010</v>
      </c>
      <c r="O45" s="540">
        <v>140</v>
      </c>
      <c r="P45" s="540">
        <v>5170638</v>
      </c>
      <c r="Z45" s="540"/>
    </row>
    <row r="46" spans="1:30" s="333" customFormat="1" x14ac:dyDescent="0.25">
      <c r="B46" s="540"/>
      <c r="M46" s="540"/>
      <c r="N46" s="333">
        <v>2011</v>
      </c>
      <c r="O46" s="540">
        <v>130</v>
      </c>
      <c r="P46" s="540">
        <v>5494961</v>
      </c>
      <c r="Z46" s="540"/>
    </row>
    <row r="47" spans="1:30" s="333" customFormat="1" x14ac:dyDescent="0.25">
      <c r="B47" s="540"/>
      <c r="M47" s="540"/>
      <c r="N47" s="333">
        <v>2012</v>
      </c>
      <c r="O47" s="540">
        <v>130</v>
      </c>
      <c r="P47" s="540">
        <v>5834625</v>
      </c>
      <c r="Z47" s="540"/>
    </row>
    <row r="48" spans="1:30" s="333" customFormat="1" x14ac:dyDescent="0.25">
      <c r="B48" s="540"/>
      <c r="M48" s="540"/>
      <c r="N48" s="333">
        <v>2013</v>
      </c>
      <c r="O48" s="540">
        <v>141</v>
      </c>
      <c r="P48" s="540">
        <v>6156035</v>
      </c>
      <c r="Z48" s="540"/>
    </row>
    <row r="49" spans="1:26" s="333" customFormat="1" x14ac:dyDescent="0.25">
      <c r="B49" s="540"/>
      <c r="M49" s="540"/>
      <c r="N49" s="333">
        <v>2014</v>
      </c>
      <c r="O49" s="540">
        <v>143.00000000000003</v>
      </c>
      <c r="P49" s="540">
        <v>6432444</v>
      </c>
      <c r="Z49" s="540"/>
    </row>
    <row r="50" spans="1:26" s="333" customFormat="1" x14ac:dyDescent="0.25">
      <c r="B50" s="540"/>
      <c r="M50" s="540"/>
      <c r="N50" s="333">
        <v>2015</v>
      </c>
      <c r="O50" s="540">
        <v>175</v>
      </c>
      <c r="P50" s="540">
        <v>6681681.9999999972</v>
      </c>
      <c r="Z50" s="540"/>
    </row>
    <row r="51" spans="1:26" s="333" customFormat="1" x14ac:dyDescent="0.25">
      <c r="B51" s="540"/>
      <c r="M51" s="540"/>
      <c r="N51" s="333">
        <v>2016</v>
      </c>
      <c r="O51" s="540">
        <v>465</v>
      </c>
      <c r="P51" s="540">
        <v>6935575</v>
      </c>
      <c r="Z51" s="540"/>
    </row>
    <row r="52" spans="1:26" s="333" customFormat="1" x14ac:dyDescent="0.25">
      <c r="B52" s="540"/>
      <c r="M52" s="540"/>
      <c r="N52" s="333">
        <v>2017</v>
      </c>
      <c r="O52" s="540">
        <v>699</v>
      </c>
      <c r="P52" s="540">
        <v>7166319.0000000075</v>
      </c>
      <c r="Z52" s="540"/>
    </row>
    <row r="53" spans="1:26" s="333" customFormat="1" x14ac:dyDescent="0.25">
      <c r="B53" s="540"/>
      <c r="M53" s="540"/>
      <c r="N53" s="333">
        <v>2018</v>
      </c>
      <c r="O53" s="540">
        <v>760</v>
      </c>
      <c r="P53" s="540">
        <v>7375103.9999999925</v>
      </c>
      <c r="Z53" s="540"/>
    </row>
    <row r="54" spans="1:26" s="333" customFormat="1" x14ac:dyDescent="0.25">
      <c r="B54" s="540"/>
      <c r="M54" s="540"/>
      <c r="N54" s="333">
        <v>2019</v>
      </c>
      <c r="O54" s="540">
        <v>957</v>
      </c>
      <c r="P54" s="540">
        <v>7563790.0000000102</v>
      </c>
      <c r="Z54" s="540"/>
    </row>
    <row r="55" spans="1:26" s="333" customFormat="1" x14ac:dyDescent="0.25">
      <c r="B55" s="540"/>
      <c r="M55" s="540"/>
      <c r="N55" s="333">
        <v>2020</v>
      </c>
      <c r="O55" s="540">
        <v>1032</v>
      </c>
      <c r="P55" s="540">
        <v>7776466.9999999981</v>
      </c>
      <c r="Z55" s="540"/>
    </row>
    <row r="56" spans="1:26" s="333" customFormat="1" x14ac:dyDescent="0.25">
      <c r="B56" s="540"/>
      <c r="M56" s="540"/>
      <c r="N56" s="333">
        <v>2021</v>
      </c>
      <c r="O56" s="540">
        <v>1204</v>
      </c>
      <c r="P56" s="540">
        <v>8141157.9999999981</v>
      </c>
      <c r="Z56" s="540"/>
    </row>
    <row r="57" spans="1:26" s="333" customFormat="1" x14ac:dyDescent="0.25">
      <c r="B57" s="540"/>
      <c r="M57" s="540"/>
      <c r="N57" s="333">
        <v>2022</v>
      </c>
      <c r="O57" s="540">
        <v>1426</v>
      </c>
      <c r="P57" s="540">
        <v>8346460</v>
      </c>
      <c r="Z57" s="540"/>
    </row>
    <row r="58" spans="1:26" s="333" customFormat="1" x14ac:dyDescent="0.25">
      <c r="B58" s="540"/>
      <c r="M58" s="540"/>
      <c r="Z58" s="540"/>
    </row>
    <row r="59" spans="1:26" s="333" customFormat="1" x14ac:dyDescent="0.25">
      <c r="B59" s="540"/>
      <c r="M59" s="540"/>
      <c r="Z59" s="540"/>
    </row>
    <row r="60" spans="1:26" s="333" customFormat="1" x14ac:dyDescent="0.25">
      <c r="B60" s="540"/>
      <c r="M60" s="540"/>
      <c r="Z60" s="540"/>
    </row>
    <row r="61" spans="1:26" s="333" customFormat="1" x14ac:dyDescent="0.25">
      <c r="B61" s="540"/>
      <c r="M61" s="540"/>
      <c r="Z61" s="540"/>
    </row>
    <row r="62" spans="1:26" s="333" customFormat="1" x14ac:dyDescent="0.25">
      <c r="B62" s="540"/>
      <c r="M62" s="540"/>
      <c r="Z62" s="540"/>
    </row>
    <row r="63" spans="1:26" s="333" customFormat="1" x14ac:dyDescent="0.25">
      <c r="M63" s="540"/>
      <c r="Z63" s="540"/>
    </row>
    <row r="64" spans="1:26" s="333" customFormat="1" ht="15.5" x14ac:dyDescent="0.35">
      <c r="A64" s="391" t="s">
        <v>205</v>
      </c>
      <c r="M64" s="540"/>
      <c r="Z64" s="540"/>
    </row>
    <row r="65" spans="1:13" s="333" customFormat="1" x14ac:dyDescent="0.25">
      <c r="A65" s="388"/>
      <c r="M65" s="540"/>
    </row>
    <row r="66" spans="1:13" ht="13" thickBot="1" x14ac:dyDescent="0.3">
      <c r="A66" s="333"/>
      <c r="B66" s="333"/>
      <c r="C66" s="333"/>
      <c r="D66" s="333"/>
      <c r="E66" s="333"/>
      <c r="F66" s="333"/>
      <c r="G66" s="333"/>
      <c r="H66" s="333"/>
      <c r="I66" s="333"/>
      <c r="J66" s="333"/>
      <c r="K66" s="333"/>
      <c r="L66" s="333"/>
    </row>
    <row r="67" spans="1:13" ht="13" x14ac:dyDescent="0.25">
      <c r="A67" s="1514" t="s">
        <v>39</v>
      </c>
      <c r="B67" s="1511" t="s">
        <v>86</v>
      </c>
      <c r="C67" s="1561" t="s">
        <v>132</v>
      </c>
      <c r="D67" s="1517"/>
      <c r="E67" s="1517"/>
      <c r="F67" s="1549"/>
      <c r="G67" s="333"/>
      <c r="H67" s="333"/>
      <c r="I67" s="333"/>
      <c r="J67" s="333"/>
      <c r="K67" s="333"/>
      <c r="L67" s="333"/>
    </row>
    <row r="68" spans="1:13" ht="13.5" thickBot="1" x14ac:dyDescent="0.3">
      <c r="A68" s="1515"/>
      <c r="B68" s="1560"/>
      <c r="C68" s="1105" t="s">
        <v>134</v>
      </c>
      <c r="D68" s="1104" t="s">
        <v>135</v>
      </c>
      <c r="E68" s="1104" t="s">
        <v>136</v>
      </c>
      <c r="F68" s="1108" t="s">
        <v>137</v>
      </c>
      <c r="G68" s="333"/>
      <c r="H68" s="333"/>
      <c r="I68" s="333"/>
      <c r="J68" s="333"/>
      <c r="K68" s="333"/>
      <c r="L68" s="333"/>
    </row>
    <row r="69" spans="1:13" ht="13" x14ac:dyDescent="0.3">
      <c r="A69" s="666">
        <v>1995</v>
      </c>
      <c r="B69" s="541">
        <f t="shared" ref="B69:B87" si="9">SUM(C69:F69)</f>
        <v>31</v>
      </c>
      <c r="C69" s="508">
        <v>3</v>
      </c>
      <c r="D69" s="442">
        <v>4</v>
      </c>
      <c r="E69" s="442">
        <v>11</v>
      </c>
      <c r="F69" s="503">
        <v>13</v>
      </c>
      <c r="G69" s="333"/>
      <c r="H69" s="540"/>
      <c r="I69" s="333"/>
      <c r="J69" s="333"/>
      <c r="K69" s="333"/>
      <c r="L69" s="333"/>
    </row>
    <row r="70" spans="1:13" ht="13" x14ac:dyDescent="0.3">
      <c r="A70" s="1410">
        <v>1996</v>
      </c>
      <c r="B70" s="542">
        <f t="shared" si="9"/>
        <v>38</v>
      </c>
      <c r="C70" s="509">
        <v>5</v>
      </c>
      <c r="D70" s="448">
        <v>8</v>
      </c>
      <c r="E70" s="448">
        <v>16</v>
      </c>
      <c r="F70" s="507">
        <v>9</v>
      </c>
      <c r="G70" s="333"/>
      <c r="H70" s="540"/>
      <c r="I70" s="333"/>
      <c r="J70" s="333"/>
      <c r="K70" s="333"/>
      <c r="L70" s="333"/>
    </row>
    <row r="71" spans="1:13" ht="13" x14ac:dyDescent="0.3">
      <c r="A71" s="666">
        <v>1997</v>
      </c>
      <c r="B71" s="541">
        <f t="shared" si="9"/>
        <v>52</v>
      </c>
      <c r="C71" s="508">
        <v>8</v>
      </c>
      <c r="D71" s="442">
        <v>15</v>
      </c>
      <c r="E71" s="442">
        <v>21</v>
      </c>
      <c r="F71" s="503">
        <v>8</v>
      </c>
      <c r="G71" s="333"/>
      <c r="H71" s="540"/>
      <c r="I71" s="333"/>
      <c r="J71" s="333"/>
      <c r="K71" s="333"/>
      <c r="L71" s="333"/>
    </row>
    <row r="72" spans="1:13" ht="13" x14ac:dyDescent="0.3">
      <c r="A72" s="1410">
        <v>1998</v>
      </c>
      <c r="B72" s="542">
        <f t="shared" si="9"/>
        <v>50</v>
      </c>
      <c r="C72" s="509">
        <v>13</v>
      </c>
      <c r="D72" s="448">
        <v>15</v>
      </c>
      <c r="E72" s="448">
        <v>22</v>
      </c>
      <c r="F72" s="507">
        <v>0</v>
      </c>
      <c r="G72" s="333"/>
      <c r="H72" s="540"/>
      <c r="I72" s="333"/>
      <c r="J72" s="333"/>
      <c r="K72" s="333"/>
      <c r="L72" s="333"/>
    </row>
    <row r="73" spans="1:13" ht="13" x14ac:dyDescent="0.3">
      <c r="A73" s="666">
        <v>1999</v>
      </c>
      <c r="B73" s="541">
        <f t="shared" si="9"/>
        <v>47</v>
      </c>
      <c r="C73" s="508">
        <v>11</v>
      </c>
      <c r="D73" s="442">
        <v>18</v>
      </c>
      <c r="E73" s="442">
        <v>18</v>
      </c>
      <c r="F73" s="503">
        <v>0</v>
      </c>
      <c r="G73" s="333"/>
      <c r="H73" s="540"/>
      <c r="I73" s="333"/>
      <c r="J73" s="333"/>
      <c r="K73" s="333"/>
      <c r="L73" s="333"/>
    </row>
    <row r="74" spans="1:13" ht="13" x14ac:dyDescent="0.3">
      <c r="A74" s="1410">
        <v>2000</v>
      </c>
      <c r="B74" s="542">
        <f t="shared" si="9"/>
        <v>50</v>
      </c>
      <c r="C74" s="509">
        <v>12</v>
      </c>
      <c r="D74" s="448">
        <v>20</v>
      </c>
      <c r="E74" s="448">
        <v>18</v>
      </c>
      <c r="F74" s="507">
        <v>0</v>
      </c>
      <c r="G74" s="333"/>
      <c r="H74" s="540"/>
      <c r="I74" s="333"/>
      <c r="J74" s="333"/>
      <c r="K74" s="333"/>
      <c r="L74" s="333"/>
    </row>
    <row r="75" spans="1:13" ht="13" x14ac:dyDescent="0.3">
      <c r="A75" s="666">
        <v>2001</v>
      </c>
      <c r="B75" s="541">
        <f t="shared" si="9"/>
        <v>59</v>
      </c>
      <c r="C75" s="508">
        <v>21</v>
      </c>
      <c r="D75" s="442">
        <v>21</v>
      </c>
      <c r="E75" s="442">
        <v>17</v>
      </c>
      <c r="F75" s="503">
        <v>0</v>
      </c>
      <c r="G75" s="333"/>
      <c r="H75" s="540"/>
      <c r="I75" s="333"/>
      <c r="J75" s="333"/>
      <c r="K75" s="333"/>
      <c r="L75" s="333"/>
    </row>
    <row r="76" spans="1:13" ht="13" x14ac:dyDescent="0.3">
      <c r="A76" s="1410">
        <v>2002</v>
      </c>
      <c r="B76" s="542">
        <f t="shared" si="9"/>
        <v>76</v>
      </c>
      <c r="C76" s="509">
        <v>30</v>
      </c>
      <c r="D76" s="448">
        <v>26</v>
      </c>
      <c r="E76" s="448">
        <v>20</v>
      </c>
      <c r="F76" s="507">
        <v>0</v>
      </c>
      <c r="G76" s="333"/>
      <c r="H76" s="540"/>
      <c r="I76" s="333"/>
      <c r="J76" s="333"/>
      <c r="K76" s="333"/>
      <c r="L76" s="333"/>
    </row>
    <row r="77" spans="1:13" ht="13" x14ac:dyDescent="0.3">
      <c r="A77" s="666">
        <v>2003</v>
      </c>
      <c r="B77" s="541">
        <f t="shared" si="9"/>
        <v>82</v>
      </c>
      <c r="C77" s="508">
        <v>35</v>
      </c>
      <c r="D77" s="442">
        <v>21</v>
      </c>
      <c r="E77" s="442">
        <v>26</v>
      </c>
      <c r="F77" s="503">
        <v>0</v>
      </c>
      <c r="G77" s="333"/>
      <c r="H77" s="540"/>
      <c r="I77" s="333"/>
      <c r="J77" s="333"/>
      <c r="K77" s="333"/>
      <c r="L77" s="333"/>
    </row>
    <row r="78" spans="1:13" ht="13" x14ac:dyDescent="0.3">
      <c r="A78" s="1410">
        <v>2004</v>
      </c>
      <c r="B78" s="542">
        <f t="shared" si="9"/>
        <v>85</v>
      </c>
      <c r="C78" s="509">
        <v>35</v>
      </c>
      <c r="D78" s="448">
        <v>23</v>
      </c>
      <c r="E78" s="448">
        <v>27</v>
      </c>
      <c r="F78" s="507">
        <v>0</v>
      </c>
      <c r="G78" s="333"/>
      <c r="H78" s="540"/>
      <c r="I78" s="333"/>
      <c r="J78" s="333"/>
      <c r="K78" s="333"/>
      <c r="L78" s="333"/>
    </row>
    <row r="79" spans="1:13" ht="13" x14ac:dyDescent="0.3">
      <c r="A79" s="666">
        <v>2005</v>
      </c>
      <c r="B79" s="541">
        <f t="shared" si="9"/>
        <v>80</v>
      </c>
      <c r="C79" s="508">
        <v>34</v>
      </c>
      <c r="D79" s="442">
        <v>22</v>
      </c>
      <c r="E79" s="442">
        <v>24</v>
      </c>
      <c r="F79" s="503">
        <v>0</v>
      </c>
      <c r="G79" s="333"/>
      <c r="H79" s="540"/>
      <c r="I79" s="333"/>
      <c r="J79" s="333"/>
      <c r="K79" s="333"/>
      <c r="L79" s="333"/>
    </row>
    <row r="80" spans="1:13" ht="13" x14ac:dyDescent="0.3">
      <c r="A80" s="1410">
        <v>2006</v>
      </c>
      <c r="B80" s="542">
        <f t="shared" si="9"/>
        <v>83</v>
      </c>
      <c r="C80" s="509">
        <v>36</v>
      </c>
      <c r="D80" s="448">
        <v>23</v>
      </c>
      <c r="E80" s="448">
        <v>24</v>
      </c>
      <c r="F80" s="507">
        <v>0</v>
      </c>
      <c r="G80" s="333"/>
      <c r="H80" s="540"/>
      <c r="I80" s="333"/>
      <c r="J80" s="333"/>
      <c r="K80" s="333"/>
      <c r="L80" s="333"/>
    </row>
    <row r="81" spans="1:12" ht="13" x14ac:dyDescent="0.3">
      <c r="A81" s="666">
        <v>2007</v>
      </c>
      <c r="B81" s="541">
        <f t="shared" si="9"/>
        <v>98</v>
      </c>
      <c r="C81" s="508">
        <v>41</v>
      </c>
      <c r="D81" s="442">
        <v>23</v>
      </c>
      <c r="E81" s="442">
        <v>34</v>
      </c>
      <c r="F81" s="503">
        <v>0</v>
      </c>
      <c r="G81" s="333"/>
      <c r="H81" s="540"/>
      <c r="I81" s="333"/>
      <c r="J81" s="333"/>
      <c r="K81" s="333"/>
      <c r="L81" s="333"/>
    </row>
    <row r="82" spans="1:12" ht="13" x14ac:dyDescent="0.3">
      <c r="A82" s="1410">
        <v>2008</v>
      </c>
      <c r="B82" s="542">
        <f t="shared" si="9"/>
        <v>108</v>
      </c>
      <c r="C82" s="509">
        <v>42</v>
      </c>
      <c r="D82" s="448">
        <v>24</v>
      </c>
      <c r="E82" s="448">
        <v>42</v>
      </c>
      <c r="F82" s="507">
        <v>0</v>
      </c>
      <c r="G82" s="333"/>
      <c r="H82" s="540"/>
      <c r="I82" s="333"/>
      <c r="J82" s="333"/>
      <c r="K82" s="333"/>
      <c r="L82" s="333"/>
    </row>
    <row r="83" spans="1:12" ht="13" x14ac:dyDescent="0.3">
      <c r="A83" s="666">
        <v>2009</v>
      </c>
      <c r="B83" s="541">
        <f t="shared" si="9"/>
        <v>110</v>
      </c>
      <c r="C83" s="508">
        <v>40</v>
      </c>
      <c r="D83" s="442">
        <v>27</v>
      </c>
      <c r="E83" s="442">
        <v>43</v>
      </c>
      <c r="F83" s="503">
        <v>0</v>
      </c>
      <c r="G83" s="333"/>
      <c r="H83" s="540"/>
      <c r="I83" s="333"/>
      <c r="J83" s="333"/>
      <c r="K83" s="333"/>
      <c r="L83" s="333"/>
    </row>
    <row r="84" spans="1:12" ht="13" x14ac:dyDescent="0.3">
      <c r="A84" s="703">
        <v>2010</v>
      </c>
      <c r="B84" s="542">
        <f t="shared" si="9"/>
        <v>118</v>
      </c>
      <c r="C84" s="512">
        <v>46</v>
      </c>
      <c r="D84" s="513">
        <v>26</v>
      </c>
      <c r="E84" s="513">
        <v>46</v>
      </c>
      <c r="F84" s="507">
        <v>0</v>
      </c>
      <c r="G84" s="333"/>
      <c r="H84" s="540"/>
      <c r="I84" s="333"/>
      <c r="J84" s="333"/>
      <c r="K84" s="333"/>
      <c r="L84" s="333"/>
    </row>
    <row r="85" spans="1:12" ht="13" x14ac:dyDescent="0.3">
      <c r="A85" s="666">
        <v>2011</v>
      </c>
      <c r="B85" s="541">
        <f t="shared" si="9"/>
        <v>131</v>
      </c>
      <c r="C85" s="508">
        <v>46</v>
      </c>
      <c r="D85" s="442">
        <v>30</v>
      </c>
      <c r="E85" s="442">
        <v>55</v>
      </c>
      <c r="F85" s="503">
        <v>0</v>
      </c>
      <c r="G85" s="333"/>
      <c r="H85" s="540"/>
      <c r="I85" s="333"/>
      <c r="J85" s="333"/>
      <c r="K85" s="333"/>
      <c r="L85" s="333"/>
    </row>
    <row r="86" spans="1:12" ht="13" x14ac:dyDescent="0.3">
      <c r="A86" s="703">
        <v>2012</v>
      </c>
      <c r="B86" s="543">
        <f>SUM(C86:F86)</f>
        <v>132</v>
      </c>
      <c r="C86" s="512">
        <v>50</v>
      </c>
      <c r="D86" s="513">
        <v>30</v>
      </c>
      <c r="E86" s="513">
        <v>52</v>
      </c>
      <c r="F86" s="544">
        <v>0</v>
      </c>
      <c r="G86" s="333"/>
      <c r="H86" s="540"/>
      <c r="I86" s="333"/>
      <c r="J86" s="333"/>
      <c r="K86" s="333"/>
      <c r="L86" s="333"/>
    </row>
    <row r="87" spans="1:12" ht="13" x14ac:dyDescent="0.3">
      <c r="A87" s="666">
        <v>2013</v>
      </c>
      <c r="B87" s="541">
        <f t="shared" si="9"/>
        <v>139</v>
      </c>
      <c r="C87" s="508">
        <v>54</v>
      </c>
      <c r="D87" s="442">
        <v>39</v>
      </c>
      <c r="E87" s="442">
        <v>46</v>
      </c>
      <c r="F87" s="503">
        <v>0</v>
      </c>
      <c r="G87" s="333"/>
      <c r="H87" s="540"/>
      <c r="I87" s="333"/>
      <c r="J87" s="333"/>
      <c r="K87" s="333"/>
      <c r="L87" s="333"/>
    </row>
    <row r="88" spans="1:12" ht="13" x14ac:dyDescent="0.3">
      <c r="A88" s="703">
        <v>2014</v>
      </c>
      <c r="B88" s="543">
        <f>SUM(C88:F88)</f>
        <v>156</v>
      </c>
      <c r="C88" s="512">
        <v>65</v>
      </c>
      <c r="D88" s="513">
        <v>44</v>
      </c>
      <c r="E88" s="513">
        <v>47</v>
      </c>
      <c r="F88" s="544">
        <v>0</v>
      </c>
      <c r="G88" s="333"/>
      <c r="H88" s="540"/>
      <c r="I88" s="333"/>
      <c r="J88" s="333"/>
      <c r="K88" s="333"/>
      <c r="L88" s="333"/>
    </row>
    <row r="89" spans="1:12" ht="12.75" customHeight="1" x14ac:dyDescent="0.3">
      <c r="A89" s="666">
        <v>2015</v>
      </c>
      <c r="B89" s="541">
        <f>SUM(C89:F89)</f>
        <v>171</v>
      </c>
      <c r="C89" s="508">
        <v>61.000000000000021</v>
      </c>
      <c r="D89" s="442">
        <v>38</v>
      </c>
      <c r="E89" s="442">
        <v>71.999999999999986</v>
      </c>
      <c r="F89" s="503">
        <v>0</v>
      </c>
      <c r="G89" s="333"/>
      <c r="H89" s="540"/>
      <c r="I89" s="333"/>
      <c r="J89" s="333"/>
      <c r="K89" s="333"/>
      <c r="L89" s="333"/>
    </row>
    <row r="90" spans="1:12" ht="12.75" customHeight="1" x14ac:dyDescent="0.3">
      <c r="A90" s="703">
        <v>2016</v>
      </c>
      <c r="B90" s="543">
        <f t="shared" ref="B90:B94" si="10">SUM(C90:F90)</f>
        <v>468</v>
      </c>
      <c r="C90" s="512">
        <v>70</v>
      </c>
      <c r="D90" s="513">
        <v>37</v>
      </c>
      <c r="E90" s="513">
        <v>361</v>
      </c>
      <c r="F90" s="544">
        <v>0</v>
      </c>
      <c r="G90" s="333"/>
      <c r="H90" s="540"/>
      <c r="I90" s="333"/>
      <c r="J90" s="333"/>
      <c r="K90" s="333"/>
      <c r="L90" s="333"/>
    </row>
    <row r="91" spans="1:12" ht="12.75" customHeight="1" x14ac:dyDescent="0.3">
      <c r="A91" s="666">
        <v>2017</v>
      </c>
      <c r="B91" s="541">
        <f t="shared" si="10"/>
        <v>716</v>
      </c>
      <c r="C91" s="508">
        <v>133</v>
      </c>
      <c r="D91" s="442">
        <v>44</v>
      </c>
      <c r="E91" s="442">
        <v>539</v>
      </c>
      <c r="F91" s="503">
        <v>0</v>
      </c>
      <c r="G91" s="333"/>
      <c r="H91" s="540"/>
      <c r="I91" s="333"/>
      <c r="J91" s="333"/>
      <c r="K91" s="333"/>
      <c r="L91" s="333"/>
    </row>
    <row r="92" spans="1:12" ht="12.75" customHeight="1" x14ac:dyDescent="0.3">
      <c r="A92" s="703">
        <v>2018</v>
      </c>
      <c r="B92" s="543">
        <f t="shared" si="10"/>
        <v>1074</v>
      </c>
      <c r="C92" s="512">
        <v>183</v>
      </c>
      <c r="D92" s="513">
        <v>45</v>
      </c>
      <c r="E92" s="513">
        <v>846</v>
      </c>
      <c r="F92" s="544">
        <v>0</v>
      </c>
      <c r="G92" s="333"/>
      <c r="H92" s="540"/>
      <c r="I92" s="333"/>
      <c r="J92" s="333"/>
      <c r="K92" s="333"/>
      <c r="L92" s="333"/>
    </row>
    <row r="93" spans="1:12" ht="12.75" customHeight="1" x14ac:dyDescent="0.3">
      <c r="A93" s="666">
        <v>2019</v>
      </c>
      <c r="B93" s="541">
        <f t="shared" si="10"/>
        <v>1289.0000000000005</v>
      </c>
      <c r="C93" s="508">
        <v>228</v>
      </c>
      <c r="D93" s="442">
        <v>47</v>
      </c>
      <c r="E93" s="442">
        <v>1014.0000000000003</v>
      </c>
      <c r="F93" s="503">
        <v>0</v>
      </c>
      <c r="G93" s="333"/>
      <c r="H93" s="540"/>
      <c r="I93" s="333"/>
      <c r="J93" s="333"/>
      <c r="K93" s="333"/>
      <c r="L93" s="333"/>
    </row>
    <row r="94" spans="1:12" ht="12.75" customHeight="1" x14ac:dyDescent="0.3">
      <c r="A94" s="703">
        <v>2020</v>
      </c>
      <c r="B94" s="543">
        <f t="shared" si="10"/>
        <v>1529</v>
      </c>
      <c r="C94" s="512">
        <v>253</v>
      </c>
      <c r="D94" s="513">
        <v>49</v>
      </c>
      <c r="E94" s="513">
        <v>1227</v>
      </c>
      <c r="F94" s="544">
        <v>0</v>
      </c>
      <c r="G94" s="333"/>
      <c r="H94" s="540"/>
      <c r="I94" s="333"/>
      <c r="J94" s="333"/>
      <c r="K94" s="333"/>
      <c r="L94" s="333"/>
    </row>
    <row r="95" spans="1:12" ht="12.75" customHeight="1" x14ac:dyDescent="0.3">
      <c r="A95" s="666">
        <v>2021</v>
      </c>
      <c r="B95" s="541">
        <f t="shared" ref="B95" si="11">SUM(C95:F95)</f>
        <v>1729.9999999999998</v>
      </c>
      <c r="C95" s="508">
        <v>262</v>
      </c>
      <c r="D95" s="442">
        <v>54</v>
      </c>
      <c r="E95" s="442">
        <v>1413.9999999999998</v>
      </c>
      <c r="F95" s="503">
        <v>0</v>
      </c>
      <c r="G95" s="333"/>
      <c r="H95" s="540"/>
      <c r="I95" s="333"/>
      <c r="J95" s="333"/>
      <c r="K95" s="333"/>
      <c r="L95" s="333"/>
    </row>
    <row r="96" spans="1:12" ht="12.75" customHeight="1" thickBot="1" x14ac:dyDescent="0.35">
      <c r="A96" s="703">
        <v>2022</v>
      </c>
      <c r="B96" s="543">
        <f>SUM(C96:F96)</f>
        <v>1777</v>
      </c>
      <c r="C96" s="512">
        <v>187</v>
      </c>
      <c r="D96" s="513">
        <v>57</v>
      </c>
      <c r="E96" s="513">
        <v>1533</v>
      </c>
      <c r="F96" s="544">
        <v>0</v>
      </c>
      <c r="G96" s="333"/>
      <c r="H96" s="540"/>
      <c r="I96" s="333"/>
      <c r="J96" s="333"/>
      <c r="K96" s="333"/>
      <c r="L96" s="333"/>
    </row>
    <row r="97" spans="1:15" s="493" customFormat="1" ht="20.25" customHeight="1" x14ac:dyDescent="0.25">
      <c r="A97" s="545" t="s">
        <v>161</v>
      </c>
      <c r="B97" s="907">
        <f>(B96/B95)-1</f>
        <v>2.7167630057803649E-2</v>
      </c>
      <c r="C97" s="907">
        <f t="shared" ref="C97:F97" si="12">(C96/C95)-1</f>
        <v>-0.2862595419847328</v>
      </c>
      <c r="D97" s="907">
        <f t="shared" si="12"/>
        <v>5.555555555555558E-2</v>
      </c>
      <c r="E97" s="907">
        <f t="shared" si="12"/>
        <v>8.4158415841584233E-2</v>
      </c>
      <c r="F97" s="907" t="e">
        <f t="shared" si="12"/>
        <v>#DIV/0!</v>
      </c>
      <c r="G97" s="492"/>
      <c r="H97" s="492"/>
      <c r="I97" s="492"/>
      <c r="J97" s="492"/>
      <c r="K97" s="492"/>
      <c r="L97" s="492"/>
    </row>
    <row r="98" spans="1:15" s="493" customFormat="1" ht="20.25" customHeight="1" x14ac:dyDescent="0.25">
      <c r="A98" s="546" t="s">
        <v>162</v>
      </c>
      <c r="B98" s="908">
        <f>((B96/B91)^(1/5))-1</f>
        <v>0.19937469351052095</v>
      </c>
      <c r="C98" s="908">
        <f t="shared" ref="C98:F98" si="13">((C96/C91)^(1/5))-1</f>
        <v>7.0527906884579439E-2</v>
      </c>
      <c r="D98" s="908">
        <f t="shared" si="13"/>
        <v>5.3135944368471799E-2</v>
      </c>
      <c r="E98" s="908">
        <f t="shared" si="13"/>
        <v>0.23251064226175266</v>
      </c>
      <c r="F98" s="908" t="e">
        <f t="shared" si="13"/>
        <v>#DIV/0!</v>
      </c>
      <c r="G98" s="492"/>
      <c r="H98" s="492"/>
      <c r="I98" s="492"/>
      <c r="J98" s="492"/>
      <c r="K98" s="492"/>
      <c r="L98" s="492"/>
    </row>
    <row r="99" spans="1:15" s="493" customFormat="1" ht="20.25" customHeight="1" x14ac:dyDescent="0.25">
      <c r="A99" s="547" t="s">
        <v>163</v>
      </c>
      <c r="B99" s="410">
        <f>(B96/B86)-1</f>
        <v>12.462121212121213</v>
      </c>
      <c r="C99" s="410">
        <f t="shared" ref="C99:F99" si="14">(C96/C86)-1</f>
        <v>2.74</v>
      </c>
      <c r="D99" s="410">
        <f t="shared" si="14"/>
        <v>0.89999999999999991</v>
      </c>
      <c r="E99" s="410">
        <f t="shared" si="14"/>
        <v>28.48076923076923</v>
      </c>
      <c r="F99" s="410" t="e">
        <f t="shared" si="14"/>
        <v>#DIV/0!</v>
      </c>
      <c r="G99" s="492"/>
      <c r="H99" s="492"/>
      <c r="I99" s="492"/>
      <c r="J99" s="492"/>
      <c r="K99" s="492"/>
      <c r="L99" s="492"/>
    </row>
    <row r="100" spans="1:15" s="493" customFormat="1" ht="20.25" customHeight="1" thickBot="1" x14ac:dyDescent="0.3">
      <c r="A100" s="548" t="s">
        <v>164</v>
      </c>
      <c r="B100" s="909">
        <f>((B96/B86)^(1/10))-1</f>
        <v>0.29691451135112357</v>
      </c>
      <c r="C100" s="909">
        <f t="shared" ref="C100:F100" si="15">((C96/C86)^(1/10))-1</f>
        <v>0.14100398239669665</v>
      </c>
      <c r="D100" s="909">
        <f t="shared" si="15"/>
        <v>6.629005847852576E-2</v>
      </c>
      <c r="E100" s="909">
        <f t="shared" si="15"/>
        <v>0.402664743979118</v>
      </c>
      <c r="F100" s="909" t="e">
        <f t="shared" si="15"/>
        <v>#DIV/0!</v>
      </c>
      <c r="G100" s="492"/>
      <c r="H100" s="492"/>
      <c r="I100" s="492"/>
      <c r="J100" s="492"/>
      <c r="K100" s="492"/>
      <c r="L100" s="492"/>
    </row>
    <row r="101" spans="1:15" x14ac:dyDescent="0.25">
      <c r="A101" s="333"/>
      <c r="B101" s="537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</row>
    <row r="102" spans="1:15" x14ac:dyDescent="0.25">
      <c r="A102" s="388"/>
      <c r="B102" s="333"/>
      <c r="C102" s="333"/>
      <c r="D102" s="333"/>
      <c r="E102" s="333"/>
      <c r="F102" s="333"/>
    </row>
    <row r="104" spans="1:15" x14ac:dyDescent="0.25">
      <c r="N104" s="315">
        <v>1995</v>
      </c>
      <c r="O104" s="328">
        <f>+B69</f>
        <v>31</v>
      </c>
    </row>
    <row r="105" spans="1:15" x14ac:dyDescent="0.25">
      <c r="N105" s="315">
        <v>2000</v>
      </c>
      <c r="O105" s="328">
        <f>+B74</f>
        <v>50</v>
      </c>
    </row>
    <row r="106" spans="1:15" x14ac:dyDescent="0.25">
      <c r="N106" s="315">
        <v>2005</v>
      </c>
      <c r="O106" s="328">
        <f>+B79</f>
        <v>80</v>
      </c>
    </row>
    <row r="107" spans="1:15" x14ac:dyDescent="0.25">
      <c r="N107" s="315">
        <v>2010</v>
      </c>
      <c r="O107" s="315">
        <v>118</v>
      </c>
    </row>
    <row r="108" spans="1:15" x14ac:dyDescent="0.25">
      <c r="N108" s="315">
        <v>2011</v>
      </c>
      <c r="O108" s="315">
        <v>131</v>
      </c>
    </row>
    <row r="109" spans="1:15" x14ac:dyDescent="0.25">
      <c r="N109" s="315">
        <v>2012</v>
      </c>
      <c r="O109" s="315">
        <v>132</v>
      </c>
    </row>
    <row r="110" spans="1:15" x14ac:dyDescent="0.25">
      <c r="N110" s="315">
        <v>2013</v>
      </c>
      <c r="O110" s="315">
        <v>139</v>
      </c>
    </row>
    <row r="111" spans="1:15" x14ac:dyDescent="0.25">
      <c r="N111" s="315">
        <v>2014</v>
      </c>
      <c r="O111" s="315">
        <v>156</v>
      </c>
    </row>
    <row r="112" spans="1:15" x14ac:dyDescent="0.25">
      <c r="N112" s="315">
        <v>2015</v>
      </c>
      <c r="O112" s="315">
        <v>171</v>
      </c>
    </row>
    <row r="113" spans="14:15" x14ac:dyDescent="0.25">
      <c r="N113" s="315">
        <v>2016</v>
      </c>
      <c r="O113" s="315">
        <v>468</v>
      </c>
    </row>
    <row r="114" spans="14:15" x14ac:dyDescent="0.25">
      <c r="N114" s="315">
        <v>2017</v>
      </c>
      <c r="O114" s="315">
        <v>716</v>
      </c>
    </row>
    <row r="115" spans="14:15" x14ac:dyDescent="0.25">
      <c r="N115" s="315">
        <v>2018</v>
      </c>
      <c r="O115" s="315">
        <v>1074</v>
      </c>
    </row>
    <row r="116" spans="14:15" x14ac:dyDescent="0.25">
      <c r="N116" s="315">
        <v>2019</v>
      </c>
      <c r="O116" s="315">
        <v>1289.0000000000005</v>
      </c>
    </row>
    <row r="117" spans="14:15" x14ac:dyDescent="0.25">
      <c r="N117" s="315">
        <v>2020</v>
      </c>
      <c r="O117" s="315">
        <v>1529</v>
      </c>
    </row>
    <row r="118" spans="14:15" x14ac:dyDescent="0.25">
      <c r="N118" s="315">
        <v>2021</v>
      </c>
      <c r="O118" s="315">
        <v>1729.9999999999998</v>
      </c>
    </row>
    <row r="119" spans="14:15" x14ac:dyDescent="0.25">
      <c r="N119" s="315">
        <v>2022</v>
      </c>
      <c r="O119" s="315">
        <v>1777</v>
      </c>
    </row>
  </sheetData>
  <mergeCells count="7">
    <mergeCell ref="A5:A6"/>
    <mergeCell ref="B5:B6"/>
    <mergeCell ref="C5:G5"/>
    <mergeCell ref="H5:L5"/>
    <mergeCell ref="A67:A68"/>
    <mergeCell ref="B67:B68"/>
    <mergeCell ref="C67:F67"/>
  </mergeCells>
  <pageMargins left="0.83" right="0.59" top="0.94" bottom="1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116"/>
  <sheetViews>
    <sheetView showGridLines="0" view="pageBreakPreview" topLeftCell="A104" zoomScaleNormal="85" zoomScaleSheetLayoutView="100" workbookViewId="0">
      <selection activeCell="Q50" sqref="Q50"/>
    </sheetView>
  </sheetViews>
  <sheetFormatPr baseColWidth="10" defaultRowHeight="12.5" x14ac:dyDescent="0.25"/>
  <cols>
    <col min="1" max="1" width="4" customWidth="1"/>
    <col min="2" max="3" width="17.453125" customWidth="1"/>
    <col min="4" max="5" width="30" customWidth="1"/>
    <col min="8" max="8" width="13.81640625" bestFit="1" customWidth="1"/>
    <col min="9" max="9" width="13.81640625" customWidth="1"/>
    <col min="10" max="10" width="10.90625" style="1603"/>
    <col min="11" max="11" width="12" style="1603" bestFit="1" customWidth="1"/>
    <col min="12" max="12" width="13.81640625" style="1603" bestFit="1" customWidth="1"/>
    <col min="13" max="13" width="15" style="1603" customWidth="1"/>
    <col min="14" max="14" width="13.81640625" bestFit="1" customWidth="1"/>
    <col min="16" max="16" width="12" bestFit="1" customWidth="1"/>
    <col min="17" max="17" width="13.81640625" bestFit="1" customWidth="1"/>
    <col min="18" max="18" width="15" customWidth="1"/>
  </cols>
  <sheetData>
    <row r="1" spans="2:18" ht="15.5" x14ac:dyDescent="0.35">
      <c r="B1" s="70" t="s">
        <v>218</v>
      </c>
    </row>
    <row r="2" spans="2:18" hidden="1" x14ac:dyDescent="0.25">
      <c r="K2" s="1604" t="s">
        <v>36</v>
      </c>
      <c r="L2" s="1604" t="s">
        <v>37</v>
      </c>
      <c r="M2" s="1604" t="s">
        <v>38</v>
      </c>
      <c r="O2" s="71"/>
      <c r="P2" s="71" t="s">
        <v>36</v>
      </c>
      <c r="Q2" s="71" t="s">
        <v>37</v>
      </c>
      <c r="R2" s="71" t="s">
        <v>38</v>
      </c>
    </row>
    <row r="3" spans="2:18" ht="20.25" hidden="1" customHeight="1" x14ac:dyDescent="0.25">
      <c r="D3" s="1028" t="s">
        <v>39</v>
      </c>
      <c r="E3" s="1028" t="s">
        <v>40</v>
      </c>
      <c r="K3" s="1604" t="s">
        <v>41</v>
      </c>
      <c r="L3" s="1604" t="s">
        <v>42</v>
      </c>
      <c r="P3" s="71" t="s">
        <v>41</v>
      </c>
      <c r="Q3" s="71" t="s">
        <v>42</v>
      </c>
    </row>
    <row r="4" spans="2:18" hidden="1" x14ac:dyDescent="0.25">
      <c r="D4" s="72">
        <v>1995</v>
      </c>
      <c r="E4" s="73">
        <f t="shared" ref="E4:E31" si="0">+M4</f>
        <v>583.54420160499478</v>
      </c>
      <c r="F4" s="1"/>
      <c r="H4" s="74"/>
      <c r="I4" s="74"/>
      <c r="J4" s="1603">
        <v>1995</v>
      </c>
      <c r="K4" s="1605">
        <v>23345374</v>
      </c>
      <c r="L4" s="1606">
        <v>13623.057632000004</v>
      </c>
      <c r="M4" s="1605">
        <f>L4*1000000/K4</f>
        <v>583.54420160499478</v>
      </c>
      <c r="N4" s="75"/>
      <c r="O4">
        <v>1995</v>
      </c>
      <c r="P4" s="6">
        <v>23345374</v>
      </c>
      <c r="Q4" s="24">
        <v>13623.057632000004</v>
      </c>
      <c r="R4" s="6">
        <f t="shared" ref="R4:R19" si="1">Q4*1000000/P4</f>
        <v>583.54420160499478</v>
      </c>
    </row>
    <row r="5" spans="2:18" hidden="1" x14ac:dyDescent="0.25">
      <c r="D5" s="76">
        <v>1996</v>
      </c>
      <c r="E5" s="77">
        <f t="shared" si="0"/>
        <v>603.33847241893261</v>
      </c>
      <c r="F5" s="1"/>
      <c r="H5" s="74"/>
      <c r="I5" s="74"/>
      <c r="J5" s="1603">
        <v>1996</v>
      </c>
      <c r="K5" s="1605">
        <v>23706552</v>
      </c>
      <c r="L5" s="1606">
        <v>14303.074869999991</v>
      </c>
      <c r="M5" s="1605">
        <f t="shared" ref="M5:M31" si="2">L5*1000000/K5</f>
        <v>603.33847241893261</v>
      </c>
      <c r="N5" s="75"/>
      <c r="O5">
        <v>2000</v>
      </c>
      <c r="P5" s="6">
        <v>25208012</v>
      </c>
      <c r="Q5" s="24">
        <v>17140.395011000015</v>
      </c>
      <c r="R5" s="6">
        <f t="shared" si="1"/>
        <v>679.95822165587731</v>
      </c>
    </row>
    <row r="6" spans="2:18" hidden="1" x14ac:dyDescent="0.25">
      <c r="D6" s="78">
        <v>1997</v>
      </c>
      <c r="E6" s="79">
        <f t="shared" si="0"/>
        <v>625.42607790916031</v>
      </c>
      <c r="F6" s="1"/>
      <c r="H6" s="74"/>
      <c r="I6" s="74"/>
      <c r="J6" s="1603">
        <v>1997</v>
      </c>
      <c r="K6" s="1605">
        <v>24073318</v>
      </c>
      <c r="L6" s="1606">
        <v>15056.080858999991</v>
      </c>
      <c r="M6" s="1605">
        <f t="shared" si="2"/>
        <v>625.42607790916031</v>
      </c>
      <c r="N6" s="75"/>
      <c r="O6">
        <v>2005</v>
      </c>
      <c r="P6" s="6">
        <v>27219263.999999974</v>
      </c>
      <c r="Q6" s="24">
        <v>22400.244750429476</v>
      </c>
      <c r="R6" s="6">
        <f t="shared" si="1"/>
        <v>822.95556376651109</v>
      </c>
    </row>
    <row r="7" spans="2:18" hidden="1" x14ac:dyDescent="0.25">
      <c r="D7" s="76">
        <v>1998</v>
      </c>
      <c r="E7" s="77">
        <f t="shared" si="0"/>
        <v>645.31357413067633</v>
      </c>
      <c r="F7" s="1"/>
      <c r="H7" s="74"/>
      <c r="I7" s="74"/>
      <c r="J7" s="1603">
        <v>1998</v>
      </c>
      <c r="K7" s="1605">
        <v>24445757</v>
      </c>
      <c r="L7" s="1606">
        <v>15775.178822</v>
      </c>
      <c r="M7" s="1605">
        <f t="shared" si="2"/>
        <v>645.31357413067633</v>
      </c>
      <c r="N7" s="75"/>
      <c r="O7">
        <v>2010</v>
      </c>
      <c r="P7" s="6">
        <v>29461933</v>
      </c>
      <c r="Q7" s="24">
        <v>31798.367258000002</v>
      </c>
      <c r="R7" s="6">
        <f t="shared" si="1"/>
        <v>1079.3034950558065</v>
      </c>
    </row>
    <row r="8" spans="2:18" hidden="1" x14ac:dyDescent="0.25">
      <c r="D8" s="78">
        <v>1999</v>
      </c>
      <c r="E8" s="79">
        <f t="shared" si="0"/>
        <v>655.62821429893609</v>
      </c>
      <c r="F8" s="1"/>
      <c r="H8" s="74"/>
      <c r="I8" s="74"/>
      <c r="J8" s="1603">
        <v>1999</v>
      </c>
      <c r="K8" s="1605">
        <v>24823959</v>
      </c>
      <c r="L8" s="1606">
        <v>16275.287911000001</v>
      </c>
      <c r="M8" s="1605">
        <f t="shared" si="2"/>
        <v>655.62821429893609</v>
      </c>
      <c r="N8" s="75"/>
      <c r="O8">
        <v>2011</v>
      </c>
      <c r="P8" s="6">
        <v>29797694</v>
      </c>
      <c r="Q8" s="24">
        <v>34378.279759024779</v>
      </c>
      <c r="R8" s="6">
        <f t="shared" si="1"/>
        <v>1153.7228269752948</v>
      </c>
    </row>
    <row r="9" spans="2:18" hidden="1" x14ac:dyDescent="0.25">
      <c r="D9" s="76">
        <v>2000</v>
      </c>
      <c r="E9" s="77">
        <f t="shared" si="0"/>
        <v>679.95822165587731</v>
      </c>
      <c r="F9" s="1"/>
      <c r="H9" s="74"/>
      <c r="I9" s="74"/>
      <c r="J9" s="1603">
        <v>2000</v>
      </c>
      <c r="K9" s="1605">
        <v>25208012</v>
      </c>
      <c r="L9" s="1606">
        <v>17140.395011000015</v>
      </c>
      <c r="M9" s="1605">
        <f t="shared" si="2"/>
        <v>679.95822165587731</v>
      </c>
      <c r="N9" s="75"/>
      <c r="O9">
        <v>2012</v>
      </c>
      <c r="P9" s="6">
        <v>30135875</v>
      </c>
      <c r="Q9" s="24">
        <v>36323.139667407944</v>
      </c>
      <c r="R9" s="6">
        <f t="shared" si="1"/>
        <v>1205.312262126384</v>
      </c>
    </row>
    <row r="10" spans="2:18" hidden="1" x14ac:dyDescent="0.25">
      <c r="D10" s="78">
        <v>2001</v>
      </c>
      <c r="E10" s="79">
        <f t="shared" si="0"/>
        <v>710.99181424553831</v>
      </c>
      <c r="F10" s="1"/>
      <c r="H10" s="74"/>
      <c r="I10" s="74"/>
      <c r="J10" s="1603">
        <v>2001</v>
      </c>
      <c r="K10" s="1605">
        <v>25598007</v>
      </c>
      <c r="L10" s="1606">
        <v>18199.97343799999</v>
      </c>
      <c r="M10" s="1605">
        <f t="shared" si="2"/>
        <v>710.99181424553831</v>
      </c>
      <c r="N10" s="75"/>
      <c r="O10">
        <v>2013</v>
      </c>
      <c r="P10" s="6">
        <v>30475144</v>
      </c>
      <c r="Q10" s="24">
        <v>38278.2622035924</v>
      </c>
      <c r="R10" s="6">
        <f t="shared" si="1"/>
        <v>1256.0486081244571</v>
      </c>
    </row>
    <row r="11" spans="2:18" hidden="1" x14ac:dyDescent="0.25">
      <c r="D11" s="76">
        <v>2002</v>
      </c>
      <c r="E11" s="77">
        <f t="shared" si="0"/>
        <v>737.40531622325182</v>
      </c>
      <c r="F11" s="1"/>
      <c r="H11" s="74"/>
      <c r="I11" s="74"/>
      <c r="J11" s="1603">
        <v>2002</v>
      </c>
      <c r="K11" s="1605">
        <v>25994036.103537917</v>
      </c>
      <c r="L11" s="1606">
        <v>19168.140412848003</v>
      </c>
      <c r="M11" s="1605">
        <f t="shared" si="2"/>
        <v>737.40531622325182</v>
      </c>
      <c r="N11" s="75"/>
      <c r="O11">
        <v>2014</v>
      </c>
      <c r="P11" s="6">
        <v>30814175</v>
      </c>
      <c r="Q11" s="24">
        <v>40029.372901330993</v>
      </c>
      <c r="R11" s="6">
        <f t="shared" si="1"/>
        <v>1299.0571028213799</v>
      </c>
    </row>
    <row r="12" spans="2:18" hidden="1" x14ac:dyDescent="0.25">
      <c r="D12" s="78">
        <v>2003</v>
      </c>
      <c r="E12" s="79">
        <f t="shared" si="0"/>
        <v>755.30694386928781</v>
      </c>
      <c r="F12" s="1"/>
      <c r="H12" s="74"/>
      <c r="I12" s="74"/>
      <c r="J12" s="1603">
        <v>2003</v>
      </c>
      <c r="K12" s="1605">
        <v>26396191</v>
      </c>
      <c r="L12" s="1606">
        <v>19937.226353999999</v>
      </c>
      <c r="M12" s="1605">
        <f t="shared" si="2"/>
        <v>755.30694386928781</v>
      </c>
      <c r="N12" s="75"/>
      <c r="O12">
        <v>2015</v>
      </c>
      <c r="P12" s="6">
        <v>31151643</v>
      </c>
      <c r="Q12" s="24">
        <v>42333.773621130167</v>
      </c>
      <c r="R12" s="6">
        <f t="shared" si="1"/>
        <v>1358.9579728147939</v>
      </c>
    </row>
    <row r="13" spans="2:18" hidden="1" x14ac:dyDescent="0.25">
      <c r="D13" s="76">
        <v>2004</v>
      </c>
      <c r="E13" s="77">
        <f t="shared" si="0"/>
        <v>794.18270758924371</v>
      </c>
      <c r="F13" s="1"/>
      <c r="H13" s="74"/>
      <c r="I13" s="74"/>
      <c r="J13" s="1603">
        <v>2004</v>
      </c>
      <c r="K13" s="1605">
        <v>26804568</v>
      </c>
      <c r="L13" s="1606">
        <v>21287.724389999999</v>
      </c>
      <c r="M13" s="1605">
        <f t="shared" si="2"/>
        <v>794.18270758924371</v>
      </c>
      <c r="N13" s="75"/>
      <c r="O13">
        <v>2016</v>
      </c>
      <c r="P13" s="6">
        <v>31488625</v>
      </c>
      <c r="Q13" s="24">
        <v>45532.892131120541</v>
      </c>
      <c r="R13" s="6">
        <f t="shared" si="1"/>
        <v>1446.0108096533445</v>
      </c>
    </row>
    <row r="14" spans="2:18" hidden="1" x14ac:dyDescent="0.25">
      <c r="D14" s="78">
        <v>2005</v>
      </c>
      <c r="E14" s="79">
        <f t="shared" si="0"/>
        <v>822.95556376651109</v>
      </c>
      <c r="F14" s="1"/>
      <c r="H14" s="74"/>
      <c r="I14" s="74"/>
      <c r="J14" s="1603">
        <v>2005</v>
      </c>
      <c r="K14" s="1605">
        <v>27219263.999999974</v>
      </c>
      <c r="L14" s="1606">
        <v>22400.244750429476</v>
      </c>
      <c r="M14" s="1605">
        <f t="shared" si="2"/>
        <v>822.95556376651109</v>
      </c>
      <c r="N14" s="75"/>
      <c r="O14">
        <v>2017</v>
      </c>
      <c r="P14" s="6">
        <v>31826018</v>
      </c>
      <c r="Q14" s="24">
        <v>46578.443952766262</v>
      </c>
      <c r="R14" s="6">
        <f t="shared" si="1"/>
        <v>1463.5335137674547</v>
      </c>
    </row>
    <row r="15" spans="2:18" hidden="1" x14ac:dyDescent="0.25">
      <c r="D15" s="76">
        <v>2006</v>
      </c>
      <c r="E15" s="77">
        <f t="shared" si="0"/>
        <v>872.08597805171394</v>
      </c>
      <c r="F15" s="1"/>
      <c r="H15" s="74"/>
      <c r="I15" s="74"/>
      <c r="J15" s="1603">
        <v>2006</v>
      </c>
      <c r="K15" s="1605">
        <v>27573114</v>
      </c>
      <c r="L15" s="1606">
        <v>24046.126090621408</v>
      </c>
      <c r="M15" s="1605">
        <f t="shared" si="2"/>
        <v>872.08597805171394</v>
      </c>
      <c r="N15" s="75"/>
      <c r="O15">
        <v>2018</v>
      </c>
      <c r="P15" s="6">
        <v>32162184</v>
      </c>
      <c r="Q15" s="24">
        <v>48398.55041491711</v>
      </c>
      <c r="R15" s="6">
        <f t="shared" si="1"/>
        <v>1504.8278566815334</v>
      </c>
    </row>
    <row r="16" spans="2:18" hidden="1" x14ac:dyDescent="0.25">
      <c r="D16" s="78">
        <v>2007</v>
      </c>
      <c r="E16" s="79">
        <f t="shared" si="0"/>
        <v>947.46945546450365</v>
      </c>
      <c r="F16" s="1"/>
      <c r="H16" s="74"/>
      <c r="I16" s="74"/>
      <c r="J16" s="1607">
        <v>2007</v>
      </c>
      <c r="K16" s="1605">
        <v>27931564.919615995</v>
      </c>
      <c r="L16" s="1606">
        <v>26464.304604659999</v>
      </c>
      <c r="M16" s="1605">
        <f t="shared" si="2"/>
        <v>947.46945546450365</v>
      </c>
      <c r="N16" s="75"/>
      <c r="O16">
        <v>2019</v>
      </c>
      <c r="P16" s="6">
        <v>32131400</v>
      </c>
      <c r="Q16" s="24">
        <v>49940.650075603022</v>
      </c>
      <c r="R16" s="6">
        <f t="shared" si="1"/>
        <v>1554.2631219182176</v>
      </c>
    </row>
    <row r="17" spans="4:18" hidden="1" x14ac:dyDescent="0.25">
      <c r="D17" s="76">
        <v>2008</v>
      </c>
      <c r="E17" s="77">
        <f t="shared" si="0"/>
        <v>1001.5890432524228</v>
      </c>
      <c r="F17" s="1"/>
      <c r="H17" s="74"/>
      <c r="I17" s="74"/>
      <c r="J17" s="1603">
        <v>2008</v>
      </c>
      <c r="K17" s="1605">
        <v>28807033.999999993</v>
      </c>
      <c r="L17" s="1606">
        <v>28852.809623000008</v>
      </c>
      <c r="M17" s="1605">
        <f t="shared" si="2"/>
        <v>1001.5890432524228</v>
      </c>
      <c r="N17" s="75"/>
      <c r="O17">
        <v>2020</v>
      </c>
      <c r="P17" s="6">
        <v>32625948</v>
      </c>
      <c r="Q17" s="24">
        <v>45837.758694209886</v>
      </c>
      <c r="R17" s="6">
        <f t="shared" si="1"/>
        <v>1404.9479480016912</v>
      </c>
    </row>
    <row r="18" spans="4:18" hidden="1" x14ac:dyDescent="0.25">
      <c r="D18" s="81">
        <v>2009</v>
      </c>
      <c r="E18" s="82">
        <f t="shared" si="0"/>
        <v>999.23883787227487</v>
      </c>
      <c r="F18" s="1"/>
      <c r="H18" s="74"/>
      <c r="I18" s="74"/>
      <c r="J18" s="1603">
        <v>2009</v>
      </c>
      <c r="K18" s="1605">
        <v>29132013</v>
      </c>
      <c r="L18" s="1606">
        <v>29109.838815000003</v>
      </c>
      <c r="M18" s="1605">
        <f t="shared" si="2"/>
        <v>999.23883787227487</v>
      </c>
      <c r="N18" s="75"/>
      <c r="O18">
        <v>2021</v>
      </c>
      <c r="P18" s="6">
        <v>33035304</v>
      </c>
      <c r="Q18" s="24">
        <v>49913.003918781178</v>
      </c>
      <c r="R18" s="6">
        <f t="shared" si="1"/>
        <v>1510.8988831699924</v>
      </c>
    </row>
    <row r="19" spans="4:18" hidden="1" x14ac:dyDescent="0.25">
      <c r="D19" s="83">
        <v>2010</v>
      </c>
      <c r="E19" s="84">
        <f t="shared" si="0"/>
        <v>1079.3034950558065</v>
      </c>
      <c r="F19" s="1"/>
      <c r="H19" s="74"/>
      <c r="I19" s="74"/>
      <c r="J19" s="1603">
        <v>2010</v>
      </c>
      <c r="K19" s="1605">
        <v>29461933</v>
      </c>
      <c r="L19" s="1606">
        <v>31798.367258000002</v>
      </c>
      <c r="M19" s="1605">
        <f t="shared" si="2"/>
        <v>1079.3034950558065</v>
      </c>
      <c r="N19" s="75"/>
      <c r="O19">
        <v>2022</v>
      </c>
      <c r="P19" s="6">
        <v>33396698</v>
      </c>
      <c r="Q19" s="24">
        <v>52331.19587722727</v>
      </c>
      <c r="R19" s="6">
        <f t="shared" si="1"/>
        <v>1566.957184726085</v>
      </c>
    </row>
    <row r="20" spans="4:18" hidden="1" x14ac:dyDescent="0.25">
      <c r="D20" s="78">
        <v>2011</v>
      </c>
      <c r="E20" s="79">
        <f t="shared" si="0"/>
        <v>1153.7228269752948</v>
      </c>
      <c r="F20" s="1"/>
      <c r="H20" s="74"/>
      <c r="I20" s="74"/>
      <c r="J20" s="1603">
        <v>2011</v>
      </c>
      <c r="K20" s="1605">
        <v>29797694</v>
      </c>
      <c r="L20" s="1606">
        <v>34378.279759024779</v>
      </c>
      <c r="M20" s="1605">
        <f t="shared" si="2"/>
        <v>1153.7228269752948</v>
      </c>
      <c r="N20" s="75"/>
    </row>
    <row r="21" spans="4:18" hidden="1" x14ac:dyDescent="0.25">
      <c r="D21" s="83">
        <v>2012</v>
      </c>
      <c r="E21" s="84">
        <f t="shared" si="0"/>
        <v>1205.312262126384</v>
      </c>
      <c r="F21" s="1"/>
      <c r="G21" s="75"/>
      <c r="H21" s="74"/>
      <c r="I21" s="74"/>
      <c r="J21" s="1603">
        <v>2012</v>
      </c>
      <c r="K21" s="1605">
        <v>30135875</v>
      </c>
      <c r="L21" s="1606">
        <v>36323.139667407944</v>
      </c>
      <c r="M21" s="1605">
        <f t="shared" si="2"/>
        <v>1205.312262126384</v>
      </c>
      <c r="N21" s="75"/>
    </row>
    <row r="22" spans="4:18" hidden="1" x14ac:dyDescent="0.25">
      <c r="D22" s="85">
        <v>2013</v>
      </c>
      <c r="E22" s="86">
        <f t="shared" si="0"/>
        <v>1256.0486081244571</v>
      </c>
      <c r="F22" s="1"/>
      <c r="G22" s="75"/>
      <c r="H22" s="74"/>
      <c r="I22" s="74"/>
      <c r="J22" s="1603">
        <v>2013</v>
      </c>
      <c r="K22" s="1605">
        <v>30475144</v>
      </c>
      <c r="L22" s="1606">
        <v>38278.2622035924</v>
      </c>
      <c r="M22" s="1605">
        <f t="shared" si="2"/>
        <v>1256.0486081244571</v>
      </c>
      <c r="N22" s="75"/>
    </row>
    <row r="23" spans="4:18" hidden="1" x14ac:dyDescent="0.25">
      <c r="D23" s="83">
        <v>2014</v>
      </c>
      <c r="E23" s="84">
        <f t="shared" si="0"/>
        <v>1299.0571028213799</v>
      </c>
      <c r="F23" s="1"/>
      <c r="G23" s="75"/>
      <c r="H23" s="74"/>
      <c r="I23" s="74"/>
      <c r="J23" s="1603">
        <v>2014</v>
      </c>
      <c r="K23" s="1605">
        <v>30814175</v>
      </c>
      <c r="L23" s="1606">
        <v>40029.372901330993</v>
      </c>
      <c r="M23" s="1605">
        <f t="shared" si="2"/>
        <v>1299.0571028213799</v>
      </c>
      <c r="N23" s="75"/>
    </row>
    <row r="24" spans="4:18" hidden="1" x14ac:dyDescent="0.25">
      <c r="D24" s="87">
        <v>2015</v>
      </c>
      <c r="E24" s="88">
        <f t="shared" si="0"/>
        <v>1358.9579728147939</v>
      </c>
      <c r="F24" s="1"/>
      <c r="G24" s="75"/>
      <c r="H24" s="74"/>
      <c r="I24" s="74"/>
      <c r="J24" s="1603">
        <v>2015</v>
      </c>
      <c r="K24" s="1605">
        <v>31151643</v>
      </c>
      <c r="L24" s="1606">
        <v>42333.773621130167</v>
      </c>
      <c r="M24" s="1605">
        <f t="shared" si="2"/>
        <v>1358.9579728147939</v>
      </c>
      <c r="N24" s="75"/>
    </row>
    <row r="25" spans="4:18" ht="13.5" hidden="1" customHeight="1" x14ac:dyDescent="0.25">
      <c r="D25" s="89">
        <v>2016</v>
      </c>
      <c r="E25" s="90">
        <f t="shared" si="0"/>
        <v>1446.0108096533445</v>
      </c>
      <c r="F25" s="1"/>
      <c r="G25" s="75"/>
      <c r="H25" s="74"/>
      <c r="I25" s="74"/>
      <c r="J25" s="1603">
        <v>2016</v>
      </c>
      <c r="K25" s="1605">
        <v>31488625</v>
      </c>
      <c r="L25" s="1606">
        <v>45532.892131120541</v>
      </c>
      <c r="M25" s="1605">
        <f t="shared" si="2"/>
        <v>1446.0108096533445</v>
      </c>
      <c r="N25" s="75"/>
    </row>
    <row r="26" spans="4:18" ht="13.5" hidden="1" customHeight="1" x14ac:dyDescent="0.25">
      <c r="D26" s="87">
        <v>2017</v>
      </c>
      <c r="E26" s="88">
        <f t="shared" si="0"/>
        <v>1463.5335137674547</v>
      </c>
      <c r="F26" s="1"/>
      <c r="G26" s="6"/>
      <c r="H26" s="74"/>
      <c r="I26" s="74"/>
      <c r="J26" s="1603">
        <v>2017</v>
      </c>
      <c r="K26" s="1605">
        <v>31826018</v>
      </c>
      <c r="L26" s="1606">
        <v>46578.443952766262</v>
      </c>
      <c r="M26" s="1605">
        <f t="shared" si="2"/>
        <v>1463.5335137674547</v>
      </c>
      <c r="N26" s="75"/>
    </row>
    <row r="27" spans="4:18" ht="13.5" hidden="1" customHeight="1" x14ac:dyDescent="0.25">
      <c r="D27" s="89">
        <v>2018</v>
      </c>
      <c r="E27" s="90">
        <f t="shared" si="0"/>
        <v>1504.8278566815334</v>
      </c>
      <c r="F27" s="1"/>
      <c r="G27" s="75"/>
      <c r="H27" s="74"/>
      <c r="I27" s="74"/>
      <c r="J27" s="1603">
        <v>2018</v>
      </c>
      <c r="K27" s="1605">
        <v>32162184</v>
      </c>
      <c r="L27" s="1606">
        <v>48398.55041491711</v>
      </c>
      <c r="M27" s="1605">
        <f t="shared" si="2"/>
        <v>1504.8278566815334</v>
      </c>
      <c r="N27" s="75"/>
    </row>
    <row r="28" spans="4:18" ht="13.5" hidden="1" customHeight="1" x14ac:dyDescent="0.25">
      <c r="D28" s="87">
        <v>2019</v>
      </c>
      <c r="E28" s="88">
        <f t="shared" si="0"/>
        <v>1554.2631219182176</v>
      </c>
      <c r="F28" s="1"/>
      <c r="G28" s="75"/>
      <c r="H28" s="74"/>
      <c r="I28" s="74"/>
      <c r="J28" s="1603">
        <v>2019</v>
      </c>
      <c r="K28" s="1605">
        <v>32131400</v>
      </c>
      <c r="L28" s="1606">
        <v>49940.650075603022</v>
      </c>
      <c r="M28" s="1605">
        <f t="shared" si="2"/>
        <v>1554.2631219182176</v>
      </c>
      <c r="N28" s="75"/>
    </row>
    <row r="29" spans="4:18" ht="13.5" hidden="1" customHeight="1" x14ac:dyDescent="0.25">
      <c r="D29" s="89">
        <v>2020</v>
      </c>
      <c r="E29" s="90">
        <f t="shared" si="0"/>
        <v>1404.9479480016912</v>
      </c>
      <c r="F29" s="1"/>
      <c r="G29" s="75"/>
      <c r="H29" s="74"/>
      <c r="I29" s="74"/>
      <c r="J29" s="1603">
        <v>2020</v>
      </c>
      <c r="K29" s="1605">
        <v>32625948</v>
      </c>
      <c r="L29" s="1606">
        <v>45837.758694209886</v>
      </c>
      <c r="M29" s="1605">
        <f t="shared" si="2"/>
        <v>1404.9479480016912</v>
      </c>
      <c r="N29" s="75"/>
    </row>
    <row r="30" spans="4:18" ht="13.5" hidden="1" customHeight="1" x14ac:dyDescent="0.25">
      <c r="D30" s="87">
        <v>2021</v>
      </c>
      <c r="E30" s="88">
        <f t="shared" si="0"/>
        <v>1510.8988831699924</v>
      </c>
      <c r="F30" s="1"/>
      <c r="J30" s="1603">
        <v>2021</v>
      </c>
      <c r="K30" s="1605">
        <v>33035304</v>
      </c>
      <c r="L30" s="1606">
        <v>49913.003918781178</v>
      </c>
      <c r="M30" s="1605">
        <f t="shared" si="2"/>
        <v>1510.8988831699924</v>
      </c>
      <c r="N30" s="75"/>
    </row>
    <row r="31" spans="4:18" ht="13.5" hidden="1" customHeight="1" x14ac:dyDescent="0.3">
      <c r="D31" s="978">
        <v>2022</v>
      </c>
      <c r="E31" s="90">
        <f t="shared" si="0"/>
        <v>1566.957184726085</v>
      </c>
      <c r="F31" s="1"/>
      <c r="J31" s="1603">
        <v>2022</v>
      </c>
      <c r="K31" s="1605">
        <v>33396698</v>
      </c>
      <c r="L31" s="1606">
        <v>52331.19587722727</v>
      </c>
      <c r="M31" s="1605">
        <f t="shared" si="2"/>
        <v>1566.957184726085</v>
      </c>
      <c r="N31" s="75"/>
    </row>
    <row r="32" spans="4:18" ht="13" hidden="1" thickBot="1" x14ac:dyDescent="0.3">
      <c r="D32" s="87"/>
      <c r="E32" s="91"/>
      <c r="M32" s="1606"/>
      <c r="O32" s="6"/>
    </row>
    <row r="33" spans="2:18" s="94" customFormat="1" ht="19.5" hidden="1" customHeight="1" x14ac:dyDescent="0.25">
      <c r="D33" s="92" t="s">
        <v>161</v>
      </c>
      <c r="E33" s="93">
        <f>(E31/E30)-1</f>
        <v>3.7102616317034709E-2</v>
      </c>
      <c r="J33" s="1608"/>
      <c r="K33" s="1608"/>
      <c r="L33" s="1608"/>
      <c r="M33" s="1608"/>
    </row>
    <row r="34" spans="2:18" s="94" customFormat="1" ht="19.5" hidden="1" customHeight="1" x14ac:dyDescent="0.25">
      <c r="D34" s="95" t="s">
        <v>162</v>
      </c>
      <c r="E34" s="96">
        <f>((E31/E26)^(1/5))-1</f>
        <v>1.3750056983321768E-2</v>
      </c>
      <c r="J34" s="1608"/>
      <c r="K34" s="1608"/>
      <c r="L34" s="1609"/>
      <c r="M34" s="1609"/>
    </row>
    <row r="35" spans="2:18" s="94" customFormat="1" ht="19.5" hidden="1" customHeight="1" x14ac:dyDescent="0.25">
      <c r="D35" s="97" t="s">
        <v>163</v>
      </c>
      <c r="E35" s="98">
        <f>(E31/E21)-1</f>
        <v>0.30004251509206026</v>
      </c>
      <c r="J35" s="1608"/>
      <c r="K35" s="1608"/>
      <c r="L35" s="1608"/>
      <c r="M35" s="1608"/>
      <c r="Q35" s="99"/>
      <c r="R35" s="100"/>
    </row>
    <row r="36" spans="2:18" s="94" customFormat="1" ht="19.5" hidden="1" customHeight="1" x14ac:dyDescent="0.25">
      <c r="D36" s="101" t="s">
        <v>164</v>
      </c>
      <c r="E36" s="1210">
        <f>((E31/E21)^(1/10))-1</f>
        <v>2.6586988585407978E-2</v>
      </c>
      <c r="J36" s="1608"/>
      <c r="K36" s="1608"/>
      <c r="L36" s="1608"/>
      <c r="M36" s="1608"/>
      <c r="Q36" s="99"/>
    </row>
    <row r="37" spans="2:18" x14ac:dyDescent="0.25">
      <c r="B37" s="5"/>
      <c r="J37" s="1610"/>
      <c r="K37" s="1610"/>
    </row>
    <row r="38" spans="2:18" x14ac:dyDescent="0.25">
      <c r="B38" s="102"/>
      <c r="K38" s="1603" t="s">
        <v>36</v>
      </c>
      <c r="L38" s="1603" t="s">
        <v>37</v>
      </c>
      <c r="M38" s="1603" t="s">
        <v>38</v>
      </c>
    </row>
    <row r="39" spans="2:18" x14ac:dyDescent="0.25">
      <c r="K39" s="1603" t="s">
        <v>41</v>
      </c>
      <c r="L39" s="1603" t="s">
        <v>42</v>
      </c>
    </row>
    <row r="40" spans="2:18" x14ac:dyDescent="0.25">
      <c r="J40" s="1603">
        <v>1995</v>
      </c>
      <c r="K40" s="1603">
        <v>23345374</v>
      </c>
      <c r="L40" s="1603">
        <v>13623.057632000004</v>
      </c>
      <c r="M40" s="1605">
        <v>583.54420160499478</v>
      </c>
    </row>
    <row r="41" spans="2:18" x14ac:dyDescent="0.25">
      <c r="B41" s="6"/>
      <c r="C41" s="6"/>
      <c r="D41" s="6"/>
      <c r="E41" s="6"/>
      <c r="F41" s="6"/>
      <c r="G41" s="6"/>
      <c r="H41" s="6"/>
      <c r="I41" s="6"/>
      <c r="J41" s="1603">
        <v>2000</v>
      </c>
      <c r="K41" s="1610">
        <v>25208012</v>
      </c>
      <c r="L41" s="1603">
        <v>17140.395011000015</v>
      </c>
      <c r="M41" s="1605">
        <v>679.95822165587731</v>
      </c>
    </row>
    <row r="42" spans="2:18" x14ac:dyDescent="0.25">
      <c r="H42" s="1"/>
      <c r="I42" s="1"/>
      <c r="J42" s="1603">
        <v>2005</v>
      </c>
      <c r="K42" s="1603">
        <v>27219263.999999974</v>
      </c>
      <c r="L42" s="1603">
        <v>22400.244750429476</v>
      </c>
      <c r="M42" s="1605">
        <v>822.95556376651109</v>
      </c>
    </row>
    <row r="43" spans="2:18" x14ac:dyDescent="0.25">
      <c r="J43" s="1603">
        <v>2010</v>
      </c>
      <c r="K43" s="1603">
        <v>29461933</v>
      </c>
      <c r="L43" s="1603">
        <v>31798.367258000002</v>
      </c>
      <c r="M43" s="1605">
        <v>1079.3034950558065</v>
      </c>
    </row>
    <row r="44" spans="2:18" x14ac:dyDescent="0.25">
      <c r="J44" s="1603">
        <v>2011</v>
      </c>
      <c r="K44" s="1603">
        <v>29797694</v>
      </c>
      <c r="L44" s="1603">
        <v>34378.279759024779</v>
      </c>
      <c r="M44" s="1605">
        <v>1153.7228269752948</v>
      </c>
    </row>
    <row r="45" spans="2:18" x14ac:dyDescent="0.25">
      <c r="J45" s="1603">
        <v>2012</v>
      </c>
      <c r="K45" s="1603">
        <v>30135875</v>
      </c>
      <c r="L45" s="1603">
        <v>36323.139667407944</v>
      </c>
      <c r="M45" s="1605">
        <v>1205.312262126384</v>
      </c>
    </row>
    <row r="46" spans="2:18" x14ac:dyDescent="0.25">
      <c r="J46" s="1603">
        <v>2013</v>
      </c>
      <c r="K46" s="1603">
        <v>30475144</v>
      </c>
      <c r="L46" s="1603">
        <v>38278.2622035924</v>
      </c>
      <c r="M46" s="1605">
        <v>1256.0486081244571</v>
      </c>
    </row>
    <row r="47" spans="2:18" x14ac:dyDescent="0.25">
      <c r="J47" s="1603">
        <v>2014</v>
      </c>
      <c r="K47" s="1603">
        <v>30814175</v>
      </c>
      <c r="L47" s="1603">
        <v>40029.372901330993</v>
      </c>
      <c r="M47" s="1605">
        <v>1299.0571028213799</v>
      </c>
    </row>
    <row r="48" spans="2:18" x14ac:dyDescent="0.25">
      <c r="J48" s="1603">
        <v>2015</v>
      </c>
      <c r="K48" s="1603">
        <v>31151643</v>
      </c>
      <c r="L48" s="1603">
        <v>42333.773621130167</v>
      </c>
      <c r="M48" s="1605">
        <v>1358.9579728147939</v>
      </c>
    </row>
    <row r="49" spans="2:18" x14ac:dyDescent="0.25">
      <c r="J49" s="1603">
        <v>2016</v>
      </c>
      <c r="K49" s="1603">
        <v>31488625</v>
      </c>
      <c r="L49" s="1603">
        <v>45532.892131120541</v>
      </c>
      <c r="M49" s="1605">
        <v>1446.0108096533445</v>
      </c>
    </row>
    <row r="50" spans="2:18" x14ac:dyDescent="0.25">
      <c r="J50" s="1603">
        <v>2017</v>
      </c>
      <c r="K50" s="1603">
        <v>31826018</v>
      </c>
      <c r="L50" s="1603">
        <v>46578.443952766262</v>
      </c>
      <c r="M50" s="1605">
        <v>1463.5335137674547</v>
      </c>
    </row>
    <row r="51" spans="2:18" x14ac:dyDescent="0.25">
      <c r="J51" s="1603">
        <v>2018</v>
      </c>
      <c r="K51" s="1603">
        <v>32162184</v>
      </c>
      <c r="L51" s="1603">
        <v>48398.55041491711</v>
      </c>
      <c r="M51" s="1605">
        <v>1504.8278566815334</v>
      </c>
    </row>
    <row r="52" spans="2:18" x14ac:dyDescent="0.25">
      <c r="J52" s="1603">
        <v>2019</v>
      </c>
      <c r="K52" s="1603">
        <v>32131400</v>
      </c>
      <c r="L52" s="1603">
        <v>49940.650075603022</v>
      </c>
      <c r="M52" s="1605">
        <v>1554.2631219182176</v>
      </c>
    </row>
    <row r="53" spans="2:18" x14ac:dyDescent="0.25">
      <c r="J53" s="1603">
        <v>2020</v>
      </c>
      <c r="K53" s="1603">
        <v>32625948</v>
      </c>
      <c r="L53" s="1603">
        <v>45837.758694209886</v>
      </c>
      <c r="M53" s="1605">
        <v>1404.9479480016912</v>
      </c>
    </row>
    <row r="54" spans="2:18" x14ac:dyDescent="0.25">
      <c r="J54" s="1603">
        <v>2021</v>
      </c>
      <c r="K54" s="1603">
        <v>33035304</v>
      </c>
      <c r="L54" s="1603">
        <v>49913.003918781178</v>
      </c>
      <c r="M54" s="1605">
        <v>1510.8988831699924</v>
      </c>
    </row>
    <row r="55" spans="2:18" x14ac:dyDescent="0.25">
      <c r="J55" s="1603">
        <v>2022</v>
      </c>
      <c r="K55" s="1603">
        <v>33396698</v>
      </c>
      <c r="L55" s="1603">
        <v>52331.19587722727</v>
      </c>
      <c r="M55" s="1605">
        <v>1566.957184726085</v>
      </c>
    </row>
    <row r="60" spans="2:18" ht="15.5" x14ac:dyDescent="0.35">
      <c r="B60" s="70" t="s">
        <v>219</v>
      </c>
    </row>
    <row r="61" spans="2:18" hidden="1" x14ac:dyDescent="0.25">
      <c r="K61" s="1604" t="s">
        <v>36</v>
      </c>
      <c r="L61" s="1604" t="s">
        <v>47</v>
      </c>
      <c r="M61" s="1604" t="s">
        <v>38</v>
      </c>
      <c r="O61" s="71"/>
      <c r="P61" s="71" t="s">
        <v>36</v>
      </c>
      <c r="Q61" s="71" t="s">
        <v>37</v>
      </c>
      <c r="R61" s="71" t="s">
        <v>38</v>
      </c>
    </row>
    <row r="62" spans="2:18" ht="18.75" hidden="1" customHeight="1" x14ac:dyDescent="0.25">
      <c r="D62" s="1028" t="s">
        <v>39</v>
      </c>
      <c r="E62" s="1028" t="s">
        <v>40</v>
      </c>
      <c r="K62" s="1604" t="s">
        <v>41</v>
      </c>
      <c r="L62" s="1604" t="s">
        <v>42</v>
      </c>
      <c r="P62" s="71" t="s">
        <v>41</v>
      </c>
      <c r="Q62" s="71" t="s">
        <v>42</v>
      </c>
    </row>
    <row r="63" spans="2:18" hidden="1" x14ac:dyDescent="0.25">
      <c r="D63" s="72"/>
      <c r="E63" s="73"/>
      <c r="K63" s="1604"/>
      <c r="L63" s="1604"/>
      <c r="O63">
        <v>1995</v>
      </c>
      <c r="P63" s="6">
        <v>23345374</v>
      </c>
      <c r="Q63" s="6">
        <v>16880.114601000001</v>
      </c>
      <c r="R63" s="6">
        <v>723.06036309377623</v>
      </c>
    </row>
    <row r="64" spans="2:18" hidden="1" x14ac:dyDescent="0.25">
      <c r="D64" s="76">
        <v>1995</v>
      </c>
      <c r="E64" s="77">
        <f t="shared" ref="E64:E74" si="3">M64</f>
        <v>723.06036309377623</v>
      </c>
      <c r="F64" s="1"/>
      <c r="J64" s="1603">
        <v>1995</v>
      </c>
      <c r="K64" s="1605">
        <v>23345374</v>
      </c>
      <c r="L64" s="1606">
        <v>16880.114601000001</v>
      </c>
      <c r="M64" s="1606">
        <f>L64*1000000/K64</f>
        <v>723.06036309377623</v>
      </c>
      <c r="N64" s="13"/>
      <c r="O64">
        <v>2000</v>
      </c>
      <c r="P64" s="6">
        <v>25208012</v>
      </c>
      <c r="Q64" s="6">
        <v>19922.697338000002</v>
      </c>
      <c r="R64" s="6">
        <v>790.33195231738227</v>
      </c>
    </row>
    <row r="65" spans="4:18" hidden="1" x14ac:dyDescent="0.25">
      <c r="D65" s="78">
        <v>1996</v>
      </c>
      <c r="E65" s="79">
        <f t="shared" si="3"/>
        <v>728.90449412466228</v>
      </c>
      <c r="F65" s="1"/>
      <c r="J65" s="1603">
        <v>1996</v>
      </c>
      <c r="K65" s="1605">
        <v>23706552</v>
      </c>
      <c r="L65" s="1606">
        <v>17279.812292999999</v>
      </c>
      <c r="M65" s="1606">
        <f t="shared" ref="M65:M91" si="4">L65*1000000/K65</f>
        <v>728.90449412466228</v>
      </c>
      <c r="N65" s="13"/>
      <c r="O65">
        <v>2005</v>
      </c>
      <c r="P65" s="6">
        <v>27219263.999999974</v>
      </c>
      <c r="Q65" s="6">
        <v>25509.736815000004</v>
      </c>
      <c r="R65" s="6">
        <v>937.19421711770121</v>
      </c>
    </row>
    <row r="66" spans="4:18" hidden="1" x14ac:dyDescent="0.25">
      <c r="D66" s="76">
        <v>1997</v>
      </c>
      <c r="E66" s="77">
        <f t="shared" si="3"/>
        <v>745.78035213093597</v>
      </c>
      <c r="F66" s="1"/>
      <c r="J66" s="1603">
        <v>1997</v>
      </c>
      <c r="K66" s="1605">
        <v>24073318</v>
      </c>
      <c r="L66" s="1606">
        <v>17953.407575000001</v>
      </c>
      <c r="M66" s="1606">
        <f t="shared" si="4"/>
        <v>745.78035213093597</v>
      </c>
      <c r="N66" s="13"/>
      <c r="O66">
        <v>2010</v>
      </c>
      <c r="P66" s="6">
        <v>29461933</v>
      </c>
      <c r="Q66" s="6">
        <v>35908.007941199998</v>
      </c>
      <c r="R66" s="6">
        <v>1218.7933473747291</v>
      </c>
    </row>
    <row r="67" spans="4:18" hidden="1" x14ac:dyDescent="0.25">
      <c r="D67" s="78">
        <v>1998</v>
      </c>
      <c r="E67" s="79">
        <f t="shared" si="3"/>
        <v>760.15395416063427</v>
      </c>
      <c r="F67" s="1"/>
      <c r="J67" s="1603">
        <v>1998</v>
      </c>
      <c r="K67" s="1605">
        <v>24445757</v>
      </c>
      <c r="L67" s="1606">
        <v>18582.538846000003</v>
      </c>
      <c r="M67" s="1606">
        <f t="shared" si="4"/>
        <v>760.15395416063427</v>
      </c>
      <c r="N67" s="13"/>
      <c r="O67">
        <v>2011</v>
      </c>
      <c r="P67" s="6">
        <v>29797694</v>
      </c>
      <c r="Q67" s="6">
        <v>38806.461244008911</v>
      </c>
      <c r="R67" s="6">
        <v>1302.3310207833167</v>
      </c>
    </row>
    <row r="68" spans="4:18" hidden="1" x14ac:dyDescent="0.25">
      <c r="D68" s="76">
        <v>1999</v>
      </c>
      <c r="E68" s="77">
        <f t="shared" si="3"/>
        <v>767.38836851124347</v>
      </c>
      <c r="F68" s="1"/>
      <c r="J68" s="1603">
        <v>1999</v>
      </c>
      <c r="K68" s="1605">
        <v>24823959</v>
      </c>
      <c r="L68" s="1606">
        <v>19049.617396999998</v>
      </c>
      <c r="M68" s="1606">
        <f t="shared" si="4"/>
        <v>767.38836851124347</v>
      </c>
      <c r="N68" s="13"/>
      <c r="O68">
        <v>2012</v>
      </c>
      <c r="P68" s="6">
        <v>30135875</v>
      </c>
      <c r="Q68" s="6">
        <v>41035.983073207899</v>
      </c>
      <c r="R68" s="6">
        <v>1361.6987418884603</v>
      </c>
    </row>
    <row r="69" spans="4:18" hidden="1" x14ac:dyDescent="0.25">
      <c r="D69" s="78">
        <v>2000</v>
      </c>
      <c r="E69" s="79">
        <f t="shared" si="3"/>
        <v>790.33195231738227</v>
      </c>
      <c r="F69" s="1"/>
      <c r="J69" s="1603">
        <v>2000</v>
      </c>
      <c r="K69" s="1605">
        <v>25208012</v>
      </c>
      <c r="L69" s="1606">
        <v>19922.697338000002</v>
      </c>
      <c r="M69" s="1606">
        <f t="shared" si="4"/>
        <v>790.33195231738227</v>
      </c>
      <c r="N69" s="13"/>
      <c r="O69">
        <v>2013</v>
      </c>
      <c r="P69" s="6">
        <v>30475144</v>
      </c>
      <c r="Q69" s="6">
        <v>43330.17796048538</v>
      </c>
      <c r="R69" s="6">
        <v>1421.8202860824999</v>
      </c>
    </row>
    <row r="70" spans="4:18" hidden="1" x14ac:dyDescent="0.25">
      <c r="D70" s="76">
        <v>2001</v>
      </c>
      <c r="E70" s="77">
        <f t="shared" si="3"/>
        <v>812.00561961718336</v>
      </c>
      <c r="F70" s="1"/>
      <c r="J70" s="1603">
        <v>2001</v>
      </c>
      <c r="K70" s="1605">
        <v>25598007</v>
      </c>
      <c r="L70" s="1606">
        <v>20785.725534999998</v>
      </c>
      <c r="M70" s="1606">
        <f t="shared" si="4"/>
        <v>812.00561961718336</v>
      </c>
      <c r="N70" s="13"/>
      <c r="O70">
        <v>2014</v>
      </c>
      <c r="P70" s="6">
        <v>30814175</v>
      </c>
      <c r="Q70" s="6">
        <v>45549.819572254804</v>
      </c>
      <c r="R70" s="6">
        <v>1478.2099333262956</v>
      </c>
    </row>
    <row r="71" spans="4:18" hidden="1" x14ac:dyDescent="0.25">
      <c r="D71" s="78">
        <v>2002</v>
      </c>
      <c r="E71" s="79">
        <f t="shared" si="3"/>
        <v>845.66794800320008</v>
      </c>
      <c r="F71" s="1"/>
      <c r="J71" s="1603">
        <v>2002</v>
      </c>
      <c r="K71" s="1605">
        <v>25994036.103537917</v>
      </c>
      <c r="L71" s="1606">
        <v>21982.323172000008</v>
      </c>
      <c r="M71" s="1606">
        <f t="shared" si="4"/>
        <v>845.66794800320008</v>
      </c>
      <c r="N71" s="13"/>
      <c r="O71">
        <v>2015</v>
      </c>
      <c r="P71" s="6">
        <v>31151643</v>
      </c>
      <c r="Q71" s="6">
        <v>48270.411515715838</v>
      </c>
      <c r="R71" s="6">
        <v>1549.5301970337755</v>
      </c>
    </row>
    <row r="72" spans="4:18" hidden="1" x14ac:dyDescent="0.25">
      <c r="D72" s="83">
        <v>2003</v>
      </c>
      <c r="E72" s="84">
        <f t="shared" si="3"/>
        <v>868.43415680694216</v>
      </c>
      <c r="F72" s="1"/>
      <c r="J72" s="1603">
        <v>2003</v>
      </c>
      <c r="K72" s="1605">
        <v>26396191</v>
      </c>
      <c r="L72" s="1606">
        <v>22923.353873999997</v>
      </c>
      <c r="M72" s="1606">
        <f t="shared" si="4"/>
        <v>868.43415680694216</v>
      </c>
      <c r="N72" s="13"/>
      <c r="O72">
        <v>2016</v>
      </c>
      <c r="P72" s="6">
        <v>31488625</v>
      </c>
      <c r="Q72" s="6">
        <v>51699.973931207227</v>
      </c>
      <c r="R72" s="6">
        <v>1641.8619082671037</v>
      </c>
    </row>
    <row r="73" spans="4:18" hidden="1" x14ac:dyDescent="0.25">
      <c r="D73" s="78">
        <v>2004</v>
      </c>
      <c r="E73" s="79">
        <f t="shared" si="3"/>
        <v>905.33121335885744</v>
      </c>
      <c r="F73" s="1"/>
      <c r="J73" s="1603">
        <v>2004</v>
      </c>
      <c r="K73" s="1605">
        <v>26804568</v>
      </c>
      <c r="L73" s="1606">
        <v>24267.012071000005</v>
      </c>
      <c r="M73" s="1606">
        <f t="shared" si="4"/>
        <v>905.33121335885744</v>
      </c>
      <c r="N73" s="13"/>
      <c r="O73">
        <v>2017</v>
      </c>
      <c r="P73" s="6">
        <v>31826018</v>
      </c>
      <c r="Q73" s="6">
        <v>52700.053320272818</v>
      </c>
      <c r="R73" s="6">
        <v>1655.8795800427442</v>
      </c>
    </row>
    <row r="74" spans="4:18" hidden="1" x14ac:dyDescent="0.25">
      <c r="D74" s="83">
        <v>2005</v>
      </c>
      <c r="E74" s="84">
        <f t="shared" si="3"/>
        <v>937.19421711770121</v>
      </c>
      <c r="F74" s="1"/>
      <c r="H74" s="1"/>
      <c r="J74" s="1603">
        <v>2005</v>
      </c>
      <c r="K74" s="1605">
        <v>27219263.999999974</v>
      </c>
      <c r="L74" s="1606">
        <v>25509.736815000004</v>
      </c>
      <c r="M74" s="1606">
        <f t="shared" si="4"/>
        <v>937.19421711770121</v>
      </c>
      <c r="N74" s="13"/>
      <c r="O74">
        <v>2018</v>
      </c>
      <c r="P74" s="6">
        <v>32162184</v>
      </c>
      <c r="Q74" s="6">
        <v>54893.157159426497</v>
      </c>
      <c r="R74" s="6">
        <v>1706.7608704504178</v>
      </c>
    </row>
    <row r="75" spans="4:18" hidden="1" x14ac:dyDescent="0.25">
      <c r="D75" s="78">
        <v>2006</v>
      </c>
      <c r="E75" s="79">
        <v>992.62740971440508</v>
      </c>
      <c r="F75" s="1"/>
      <c r="J75" s="1603">
        <v>2006</v>
      </c>
      <c r="K75" s="1605">
        <v>27573114</v>
      </c>
      <c r="L75" s="1606">
        <v>27369.828727579996</v>
      </c>
      <c r="M75" s="1606">
        <f t="shared" si="4"/>
        <v>992.62740971440496</v>
      </c>
      <c r="N75" s="13"/>
      <c r="O75">
        <v>2019</v>
      </c>
      <c r="P75" s="6">
        <v>32131400</v>
      </c>
      <c r="Q75" s="6">
        <v>56968.504122236824</v>
      </c>
      <c r="R75" s="6">
        <v>1772.9854323881568</v>
      </c>
    </row>
    <row r="76" spans="4:18" hidden="1" x14ac:dyDescent="0.25">
      <c r="D76" s="76">
        <v>2007</v>
      </c>
      <c r="E76" s="77">
        <v>1072.0146625573193</v>
      </c>
      <c r="F76" s="1"/>
      <c r="J76" s="1607">
        <v>2007</v>
      </c>
      <c r="K76" s="1605">
        <v>27931564.919615995</v>
      </c>
      <c r="L76" s="1606">
        <v>29943.047142000003</v>
      </c>
      <c r="M76" s="1606">
        <f t="shared" si="4"/>
        <v>1072.0146625573195</v>
      </c>
      <c r="N76" s="13"/>
      <c r="O76">
        <v>2020</v>
      </c>
      <c r="P76" s="6">
        <v>32625948</v>
      </c>
      <c r="Q76" s="6">
        <v>52743.710685599595</v>
      </c>
      <c r="R76" s="6">
        <v>1616.6184867823486</v>
      </c>
    </row>
    <row r="77" spans="4:18" hidden="1" x14ac:dyDescent="0.25">
      <c r="D77" s="81">
        <v>2008</v>
      </c>
      <c r="E77" s="82">
        <f t="shared" ref="E77:E91" si="5">M77</f>
        <v>1126.915956811104</v>
      </c>
      <c r="F77" s="1"/>
      <c r="J77" s="1603">
        <v>2008</v>
      </c>
      <c r="K77" s="1605">
        <v>28807033.999999993</v>
      </c>
      <c r="L77" s="1606">
        <v>32463.106282999997</v>
      </c>
      <c r="M77" s="1606">
        <f t="shared" si="4"/>
        <v>1126.915956811104</v>
      </c>
      <c r="N77" s="13"/>
      <c r="O77">
        <v>2021</v>
      </c>
      <c r="P77" s="6">
        <v>33035304</v>
      </c>
      <c r="Q77" s="6">
        <v>57397.015803761678</v>
      </c>
      <c r="R77" s="6">
        <v>1737.4447592115901</v>
      </c>
    </row>
    <row r="78" spans="4:18" hidden="1" x14ac:dyDescent="0.25">
      <c r="D78" s="83">
        <v>2009</v>
      </c>
      <c r="E78" s="84">
        <f t="shared" si="5"/>
        <v>1130.8774241244503</v>
      </c>
      <c r="F78" s="1"/>
      <c r="J78" s="1603">
        <v>2009</v>
      </c>
      <c r="K78" s="1605">
        <v>29132013</v>
      </c>
      <c r="L78" s="1606">
        <v>32944.735820999995</v>
      </c>
      <c r="M78" s="1606">
        <f t="shared" si="4"/>
        <v>1130.8774241244503</v>
      </c>
      <c r="N78" s="13"/>
      <c r="O78">
        <v>2022</v>
      </c>
      <c r="P78" s="6">
        <v>33396698</v>
      </c>
      <c r="Q78" s="6">
        <v>59712.573961987262</v>
      </c>
      <c r="R78" s="6">
        <v>1787.9783792393864</v>
      </c>
    </row>
    <row r="79" spans="4:18" hidden="1" x14ac:dyDescent="0.25">
      <c r="D79" s="87">
        <v>2010</v>
      </c>
      <c r="E79" s="88">
        <f t="shared" si="5"/>
        <v>1218.7933473747291</v>
      </c>
      <c r="F79" s="1"/>
      <c r="J79" s="1603">
        <v>2010</v>
      </c>
      <c r="K79" s="1605">
        <v>29461933</v>
      </c>
      <c r="L79" s="1606">
        <v>35908.007941199998</v>
      </c>
      <c r="M79" s="1606">
        <f t="shared" si="4"/>
        <v>1218.7933473747291</v>
      </c>
      <c r="N79" s="13"/>
    </row>
    <row r="80" spans="4:18" hidden="1" x14ac:dyDescent="0.25">
      <c r="D80" s="83">
        <v>2011</v>
      </c>
      <c r="E80" s="84">
        <f t="shared" si="5"/>
        <v>1302.3310207833167</v>
      </c>
      <c r="F80" s="1"/>
      <c r="J80" s="1603">
        <v>2011</v>
      </c>
      <c r="K80" s="1605">
        <v>29797694</v>
      </c>
      <c r="L80" s="1606">
        <v>38806.461244008911</v>
      </c>
      <c r="M80" s="1606">
        <f t="shared" si="4"/>
        <v>1302.3310207833167</v>
      </c>
      <c r="N80" s="13"/>
    </row>
    <row r="81" spans="4:17" hidden="1" x14ac:dyDescent="0.25">
      <c r="D81" s="87">
        <v>2012</v>
      </c>
      <c r="E81" s="88">
        <f t="shared" si="5"/>
        <v>1361.6987418884603</v>
      </c>
      <c r="F81" s="1"/>
      <c r="J81" s="1603">
        <v>2012</v>
      </c>
      <c r="K81" s="1605">
        <v>30135875</v>
      </c>
      <c r="L81" s="1606">
        <v>41035.983073207899</v>
      </c>
      <c r="M81" s="1606">
        <f t="shared" si="4"/>
        <v>1361.6987418884603</v>
      </c>
      <c r="N81" s="13"/>
    </row>
    <row r="82" spans="4:17" hidden="1" x14ac:dyDescent="0.25">
      <c r="D82" s="83">
        <v>2013</v>
      </c>
      <c r="E82" s="84">
        <f t="shared" si="5"/>
        <v>1421.8202860824999</v>
      </c>
      <c r="F82" s="1"/>
      <c r="J82" s="1603">
        <v>2013</v>
      </c>
      <c r="K82" s="1605">
        <v>30475144</v>
      </c>
      <c r="L82" s="1606">
        <v>43330.17796048538</v>
      </c>
      <c r="M82" s="1606">
        <f t="shared" si="4"/>
        <v>1421.8202860824999</v>
      </c>
      <c r="N82" s="13"/>
    </row>
    <row r="83" spans="4:17" hidden="1" x14ac:dyDescent="0.25">
      <c r="D83" s="87">
        <v>2014</v>
      </c>
      <c r="E83" s="88">
        <f t="shared" si="5"/>
        <v>1478.2099333262956</v>
      </c>
      <c r="F83" s="1"/>
      <c r="J83" s="1607">
        <v>2014</v>
      </c>
      <c r="K83" s="1605">
        <v>30814175</v>
      </c>
      <c r="L83" s="1606">
        <v>45549.819572254804</v>
      </c>
      <c r="M83" s="1606">
        <f t="shared" si="4"/>
        <v>1478.2099333262956</v>
      </c>
      <c r="N83" s="13"/>
    </row>
    <row r="84" spans="4:17" hidden="1" x14ac:dyDescent="0.25">
      <c r="D84" s="83">
        <v>2015</v>
      </c>
      <c r="E84" s="84">
        <f t="shared" si="5"/>
        <v>1549.5301970337755</v>
      </c>
      <c r="F84" s="1"/>
      <c r="J84" s="1607">
        <v>2015</v>
      </c>
      <c r="K84" s="1605">
        <v>31151643</v>
      </c>
      <c r="L84" s="1606">
        <v>48270.411515715838</v>
      </c>
      <c r="M84" s="1606">
        <f t="shared" si="4"/>
        <v>1549.5301970337755</v>
      </c>
      <c r="N84" s="13"/>
    </row>
    <row r="85" spans="4:17" hidden="1" x14ac:dyDescent="0.25">
      <c r="D85" s="87">
        <v>2016</v>
      </c>
      <c r="E85" s="88">
        <f t="shared" si="5"/>
        <v>1641.8619082671037</v>
      </c>
      <c r="F85" s="1"/>
      <c r="J85" s="1607">
        <v>2016</v>
      </c>
      <c r="K85" s="1605">
        <v>31488625</v>
      </c>
      <c r="L85" s="1606">
        <v>51699.973931207227</v>
      </c>
      <c r="M85" s="1606">
        <f t="shared" si="4"/>
        <v>1641.8619082671037</v>
      </c>
      <c r="N85" s="13"/>
    </row>
    <row r="86" spans="4:17" hidden="1" x14ac:dyDescent="0.25">
      <c r="D86" s="83">
        <v>2017</v>
      </c>
      <c r="E86" s="84">
        <f t="shared" si="5"/>
        <v>1655.8795800427442</v>
      </c>
      <c r="F86" s="1"/>
      <c r="J86" s="1607">
        <v>2017</v>
      </c>
      <c r="K86" s="1605">
        <v>31826018</v>
      </c>
      <c r="L86" s="1606">
        <v>52700.053320272818</v>
      </c>
      <c r="M86" s="1606">
        <f t="shared" si="4"/>
        <v>1655.8795800427442</v>
      </c>
      <c r="N86" s="13"/>
    </row>
    <row r="87" spans="4:17" hidden="1" x14ac:dyDescent="0.25">
      <c r="D87" s="87">
        <v>2018</v>
      </c>
      <c r="E87" s="88">
        <f t="shared" si="5"/>
        <v>1706.7608704504178</v>
      </c>
      <c r="F87" s="1"/>
      <c r="J87" s="1607">
        <v>2018</v>
      </c>
      <c r="K87" s="1605">
        <v>32162184</v>
      </c>
      <c r="L87" s="1606">
        <v>54893.157159426497</v>
      </c>
      <c r="M87" s="1606">
        <f t="shared" si="4"/>
        <v>1706.7608704504178</v>
      </c>
      <c r="N87" s="13"/>
    </row>
    <row r="88" spans="4:17" hidden="1" x14ac:dyDescent="0.25">
      <c r="D88" s="83">
        <v>2019</v>
      </c>
      <c r="E88" s="84">
        <f t="shared" si="5"/>
        <v>1772.9854323881568</v>
      </c>
      <c r="F88" s="1"/>
      <c r="J88" s="1607">
        <v>2019</v>
      </c>
      <c r="K88" s="1605">
        <v>32131400</v>
      </c>
      <c r="L88" s="1606">
        <v>56968.504122236824</v>
      </c>
      <c r="M88" s="1606">
        <f t="shared" si="4"/>
        <v>1772.9854323881568</v>
      </c>
      <c r="N88" s="13"/>
    </row>
    <row r="89" spans="4:17" hidden="1" x14ac:dyDescent="0.25">
      <c r="D89" s="87">
        <v>2020</v>
      </c>
      <c r="E89" s="88">
        <f t="shared" si="5"/>
        <v>1616.6184867823486</v>
      </c>
      <c r="F89" s="1"/>
      <c r="J89" s="1607">
        <v>2020</v>
      </c>
      <c r="K89" s="1605">
        <v>32625948</v>
      </c>
      <c r="L89" s="1606">
        <v>52743.710685599595</v>
      </c>
      <c r="M89" s="1606">
        <f t="shared" si="4"/>
        <v>1616.6184867823486</v>
      </c>
      <c r="N89" s="13"/>
    </row>
    <row r="90" spans="4:17" hidden="1" x14ac:dyDescent="0.25">
      <c r="D90" s="83">
        <v>2021</v>
      </c>
      <c r="E90" s="84">
        <f t="shared" si="5"/>
        <v>1737.4447592115901</v>
      </c>
      <c r="F90" s="1"/>
      <c r="J90" s="1607">
        <v>2021</v>
      </c>
      <c r="K90" s="1605">
        <v>33035304</v>
      </c>
      <c r="L90" s="1606">
        <v>57397.015803761678</v>
      </c>
      <c r="M90" s="1606">
        <f t="shared" si="4"/>
        <v>1737.4447592115901</v>
      </c>
      <c r="N90" s="13"/>
    </row>
    <row r="91" spans="4:17" ht="13" hidden="1" x14ac:dyDescent="0.3">
      <c r="D91" s="761">
        <v>2022</v>
      </c>
      <c r="E91" s="88">
        <f t="shared" si="5"/>
        <v>1787.9783792393864</v>
      </c>
      <c r="F91" s="1"/>
      <c r="J91" s="1607">
        <v>2022</v>
      </c>
      <c r="K91" s="1605">
        <v>33396698</v>
      </c>
      <c r="L91" s="1606">
        <v>59712.573961987262</v>
      </c>
      <c r="M91" s="1606">
        <f t="shared" si="4"/>
        <v>1787.9783792393864</v>
      </c>
      <c r="N91" s="13"/>
      <c r="O91" s="13"/>
      <c r="Q91" s="24"/>
    </row>
    <row r="92" spans="4:17" ht="13" hidden="1" thickBot="1" x14ac:dyDescent="0.3">
      <c r="D92" s="87"/>
      <c r="E92" s="91"/>
    </row>
    <row r="93" spans="4:17" s="94" customFormat="1" ht="19.5" hidden="1" customHeight="1" x14ac:dyDescent="0.25">
      <c r="D93" s="103" t="s">
        <v>161</v>
      </c>
      <c r="E93" s="104">
        <f>(E91/E90)-1</f>
        <v>2.9085022565394913E-2</v>
      </c>
      <c r="J93" s="1608"/>
      <c r="K93" s="1608"/>
      <c r="L93" s="1609"/>
      <c r="M93" s="1608"/>
    </row>
    <row r="94" spans="4:17" s="94" customFormat="1" ht="19.5" hidden="1" customHeight="1" x14ac:dyDescent="0.25">
      <c r="D94" s="105" t="s">
        <v>162</v>
      </c>
      <c r="E94" s="106">
        <f>((E91/E86)^(1/5))-1</f>
        <v>1.5469076136881421E-2</v>
      </c>
      <c r="J94" s="1608"/>
      <c r="K94" s="1608"/>
      <c r="L94" s="1608"/>
      <c r="M94" s="1608"/>
    </row>
    <row r="95" spans="4:17" s="94" customFormat="1" ht="19.5" hidden="1" customHeight="1" x14ac:dyDescent="0.25">
      <c r="D95" s="107" t="s">
        <v>163</v>
      </c>
      <c r="E95" s="108">
        <f>(E91/E81)-1</f>
        <v>0.31304988705485903</v>
      </c>
      <c r="J95" s="1608"/>
      <c r="K95" s="1608"/>
      <c r="L95" s="1608"/>
      <c r="M95" s="1608"/>
    </row>
    <row r="96" spans="4:17" s="94" customFormat="1" ht="19.5" hidden="1" customHeight="1" x14ac:dyDescent="0.25">
      <c r="D96" s="109" t="s">
        <v>164</v>
      </c>
      <c r="E96" s="110">
        <f>((E91/E81)^(1/10))-1</f>
        <v>2.7609528647416948E-2</v>
      </c>
      <c r="J96" s="1608"/>
      <c r="K96" s="1608"/>
      <c r="L96" s="1608"/>
      <c r="M96" s="1608"/>
    </row>
    <row r="97" spans="2:13" hidden="1" x14ac:dyDescent="0.25">
      <c r="B97" s="5"/>
    </row>
    <row r="98" spans="2:13" x14ac:dyDescent="0.25">
      <c r="B98" s="102"/>
    </row>
    <row r="99" spans="2:13" x14ac:dyDescent="0.25">
      <c r="K99" s="1603" t="s">
        <v>36</v>
      </c>
      <c r="L99" s="1603" t="s">
        <v>37</v>
      </c>
      <c r="M99" s="1603" t="s">
        <v>38</v>
      </c>
    </row>
    <row r="100" spans="2:13" x14ac:dyDescent="0.25">
      <c r="K100" s="1603" t="s">
        <v>41</v>
      </c>
      <c r="L100" s="1603" t="s">
        <v>42</v>
      </c>
    </row>
    <row r="101" spans="2:13" x14ac:dyDescent="0.25">
      <c r="J101" s="1603">
        <v>1995</v>
      </c>
      <c r="K101" s="1603">
        <v>23345374</v>
      </c>
      <c r="L101" s="1603">
        <v>16880.114601000001</v>
      </c>
      <c r="M101" s="1605">
        <v>723.06036309377623</v>
      </c>
    </row>
    <row r="102" spans="2:13" x14ac:dyDescent="0.25">
      <c r="J102" s="1603">
        <v>2000</v>
      </c>
      <c r="K102" s="1603">
        <v>25208012</v>
      </c>
      <c r="L102" s="1603">
        <v>19922.697338000002</v>
      </c>
      <c r="M102" s="1605">
        <v>790.33195231738227</v>
      </c>
    </row>
    <row r="103" spans="2:13" x14ac:dyDescent="0.25">
      <c r="J103" s="1603">
        <v>2005</v>
      </c>
      <c r="K103" s="1603">
        <v>27219263.999999974</v>
      </c>
      <c r="L103" s="1603">
        <v>25509.736815000004</v>
      </c>
      <c r="M103" s="1605">
        <v>937.19421711770121</v>
      </c>
    </row>
    <row r="104" spans="2:13" x14ac:dyDescent="0.25">
      <c r="J104" s="1603">
        <v>2010</v>
      </c>
      <c r="K104" s="1603">
        <v>29461933</v>
      </c>
      <c r="L104" s="1603">
        <v>35908.007941199998</v>
      </c>
      <c r="M104" s="1605">
        <v>1218.7933473747291</v>
      </c>
    </row>
    <row r="105" spans="2:13" x14ac:dyDescent="0.25">
      <c r="J105" s="1603">
        <v>2011</v>
      </c>
      <c r="K105" s="1603">
        <v>29797694</v>
      </c>
      <c r="L105" s="1603">
        <v>38806.461244008911</v>
      </c>
      <c r="M105" s="1605">
        <v>1302.3310207833167</v>
      </c>
    </row>
    <row r="106" spans="2:13" x14ac:dyDescent="0.25">
      <c r="J106" s="1603">
        <v>2012</v>
      </c>
      <c r="K106" s="1603">
        <v>30135875</v>
      </c>
      <c r="L106" s="1603">
        <v>41035.983073207899</v>
      </c>
      <c r="M106" s="1605">
        <v>1361.6987418884603</v>
      </c>
    </row>
    <row r="107" spans="2:13" x14ac:dyDescent="0.25">
      <c r="J107" s="1603">
        <v>2013</v>
      </c>
      <c r="K107" s="1603">
        <v>30475144</v>
      </c>
      <c r="L107" s="1603">
        <v>43330.17796048538</v>
      </c>
      <c r="M107" s="1605">
        <v>1421.8202860824999</v>
      </c>
    </row>
    <row r="108" spans="2:13" x14ac:dyDescent="0.25">
      <c r="J108" s="1603">
        <v>2014</v>
      </c>
      <c r="K108" s="1603">
        <v>30814175</v>
      </c>
      <c r="L108" s="1603">
        <v>45549.819572254804</v>
      </c>
      <c r="M108" s="1605">
        <v>1478.2099333262956</v>
      </c>
    </row>
    <row r="109" spans="2:13" x14ac:dyDescent="0.25">
      <c r="J109" s="1603">
        <v>2015</v>
      </c>
      <c r="K109" s="1603">
        <v>31151643</v>
      </c>
      <c r="L109" s="1603">
        <v>48270.411515715838</v>
      </c>
      <c r="M109" s="1605">
        <v>1549.5301970337755</v>
      </c>
    </row>
    <row r="110" spans="2:13" x14ac:dyDescent="0.25">
      <c r="J110" s="1603">
        <v>2016</v>
      </c>
      <c r="K110" s="1603">
        <v>31488625</v>
      </c>
      <c r="L110" s="1603">
        <v>51699.973931207227</v>
      </c>
      <c r="M110" s="1605">
        <v>1641.8619082671037</v>
      </c>
    </row>
    <row r="111" spans="2:13" x14ac:dyDescent="0.25">
      <c r="J111" s="1603">
        <v>2017</v>
      </c>
      <c r="K111" s="1603">
        <v>31826018</v>
      </c>
      <c r="L111" s="1603">
        <v>52700.053320272818</v>
      </c>
      <c r="M111" s="1605">
        <v>1655.8795800427442</v>
      </c>
    </row>
    <row r="112" spans="2:13" x14ac:dyDescent="0.25">
      <c r="J112" s="1603">
        <v>2018</v>
      </c>
      <c r="K112" s="1603">
        <v>32162184</v>
      </c>
      <c r="L112" s="1603">
        <v>54893.157159426497</v>
      </c>
      <c r="M112" s="1605">
        <v>1706.7608704504178</v>
      </c>
    </row>
    <row r="113" spans="10:13" x14ac:dyDescent="0.25">
      <c r="J113" s="1603">
        <v>2019</v>
      </c>
      <c r="K113" s="1603">
        <v>32131400</v>
      </c>
      <c r="L113" s="1603">
        <v>56968.504122236824</v>
      </c>
      <c r="M113" s="1605">
        <v>1772.9854323881568</v>
      </c>
    </row>
    <row r="114" spans="10:13" x14ac:dyDescent="0.25">
      <c r="J114" s="1603">
        <v>2020</v>
      </c>
      <c r="K114" s="1603">
        <v>32625948</v>
      </c>
      <c r="L114" s="1603">
        <v>52743.710685599595</v>
      </c>
      <c r="M114" s="1605">
        <v>1616.6184867823486</v>
      </c>
    </row>
    <row r="115" spans="10:13" x14ac:dyDescent="0.25">
      <c r="J115" s="1603">
        <v>2021</v>
      </c>
      <c r="K115" s="1603">
        <v>33035304</v>
      </c>
      <c r="L115" s="1603">
        <v>57397.015803761678</v>
      </c>
      <c r="M115" s="1605">
        <v>1737.4447592115901</v>
      </c>
    </row>
    <row r="116" spans="10:13" x14ac:dyDescent="0.25">
      <c r="J116" s="1603">
        <v>2022</v>
      </c>
      <c r="K116" s="1603">
        <v>33396698</v>
      </c>
      <c r="L116" s="1603">
        <v>59712.573961987262</v>
      </c>
      <c r="M116" s="1605">
        <v>1787.9783792393864</v>
      </c>
    </row>
  </sheetData>
  <pageMargins left="0.82677165354330717" right="1.1023622047244095" top="0.35433070866141736" bottom="0.39370078740157483" header="0" footer="0"/>
  <pageSetup paperSize="9" scale="61" fitToHeight="0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89"/>
  <sheetViews>
    <sheetView view="pageBreakPreview" zoomScale="80" zoomScaleNormal="100" zoomScaleSheetLayoutView="80" workbookViewId="0">
      <selection activeCell="B5" sqref="B5"/>
    </sheetView>
  </sheetViews>
  <sheetFormatPr baseColWidth="10" defaultColWidth="11.453125" defaultRowHeight="12.5" x14ac:dyDescent="0.25"/>
  <cols>
    <col min="1" max="1" width="5" style="333" customWidth="1"/>
    <col min="2" max="2" width="22.1796875" style="315" customWidth="1"/>
    <col min="3" max="3" width="15" style="315" customWidth="1"/>
    <col min="4" max="4" width="13.26953125" style="315" customWidth="1"/>
    <col min="5" max="5" width="12.7265625" style="315" customWidth="1"/>
    <col min="6" max="6" width="14" style="315" customWidth="1"/>
    <col min="7" max="7" width="11" style="315" customWidth="1"/>
    <col min="8" max="8" width="12.453125" style="315" customWidth="1"/>
    <col min="9" max="9" width="11.7265625" style="315" customWidth="1"/>
    <col min="10" max="10" width="11" style="315" customWidth="1"/>
    <col min="11" max="11" width="12.26953125" style="315" customWidth="1"/>
    <col min="12" max="16384" width="11.453125" style="315"/>
  </cols>
  <sheetData>
    <row r="1" spans="1:20" ht="18" x14ac:dyDescent="0.4">
      <c r="A1" s="330" t="s">
        <v>220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20" x14ac:dyDescent="0.25"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20" ht="14" x14ac:dyDescent="0.3">
      <c r="B3" s="333"/>
      <c r="C3" s="331"/>
      <c r="D3" s="331"/>
      <c r="E3" s="331"/>
      <c r="F3" s="331"/>
      <c r="G3" s="331"/>
      <c r="H3" s="332"/>
      <c r="I3" s="332"/>
      <c r="J3" s="332"/>
      <c r="K3" s="332"/>
    </row>
    <row r="4" spans="1:20" ht="15.5" x14ac:dyDescent="0.35">
      <c r="B4" s="391" t="s">
        <v>231</v>
      </c>
      <c r="C4" s="333"/>
      <c r="D4" s="333"/>
      <c r="E4" s="333"/>
      <c r="F4" s="333"/>
      <c r="G4" s="333"/>
      <c r="H4" s="333"/>
      <c r="I4" s="333"/>
      <c r="J4" s="333"/>
      <c r="K4" s="333"/>
    </row>
    <row r="5" spans="1:20" x14ac:dyDescent="0.25">
      <c r="B5" s="333"/>
      <c r="C5" s="333"/>
      <c r="D5" s="1659">
        <f>+D35/$C$35</f>
        <v>0.36956319146084277</v>
      </c>
      <c r="E5" s="1659">
        <f>+E35/$C$35</f>
        <v>0.63043680853915718</v>
      </c>
      <c r="F5" s="333"/>
      <c r="G5" s="333"/>
      <c r="H5" s="333"/>
      <c r="I5" s="333"/>
      <c r="J5" s="333"/>
      <c r="K5" s="333"/>
    </row>
    <row r="6" spans="1:20" ht="13" x14ac:dyDescent="0.25">
      <c r="B6" s="1566" t="s">
        <v>39</v>
      </c>
      <c r="C6" s="1567" t="s">
        <v>138</v>
      </c>
      <c r="D6" s="1568"/>
      <c r="E6" s="1569"/>
      <c r="F6" s="1567" t="s">
        <v>56</v>
      </c>
      <c r="G6" s="1568"/>
      <c r="H6" s="1569"/>
      <c r="I6" s="1568" t="s">
        <v>54</v>
      </c>
      <c r="J6" s="1568"/>
      <c r="K6" s="1569"/>
    </row>
    <row r="7" spans="1:20" ht="13" x14ac:dyDescent="0.25">
      <c r="B7" s="1553"/>
      <c r="C7" s="1109" t="s">
        <v>53</v>
      </c>
      <c r="D7" s="1110" t="s">
        <v>129</v>
      </c>
      <c r="E7" s="1111" t="s">
        <v>130</v>
      </c>
      <c r="F7" s="1112" t="s">
        <v>131</v>
      </c>
      <c r="G7" s="1110" t="s">
        <v>129</v>
      </c>
      <c r="H7" s="1111" t="s">
        <v>130</v>
      </c>
      <c r="I7" s="1113" t="s">
        <v>53</v>
      </c>
      <c r="J7" s="1110" t="s">
        <v>129</v>
      </c>
      <c r="K7" s="1111" t="s">
        <v>130</v>
      </c>
      <c r="N7" s="1631"/>
      <c r="O7" s="1631" t="s">
        <v>139</v>
      </c>
      <c r="P7" s="1631" t="s">
        <v>140</v>
      </c>
      <c r="Q7" s="1631"/>
      <c r="R7" s="1603"/>
      <c r="S7" s="1631" t="s">
        <v>139</v>
      </c>
      <c r="T7" s="1631" t="s">
        <v>140</v>
      </c>
    </row>
    <row r="8" spans="1:20" ht="13" x14ac:dyDescent="0.3">
      <c r="B8" s="440">
        <v>1995</v>
      </c>
      <c r="C8" s="549">
        <f t="shared" ref="C8:C23" si="0">SUM(D8:E8)</f>
        <v>9849.2561280000045</v>
      </c>
      <c r="D8" s="550">
        <f t="shared" ref="D8:E23" si="1">SUM(G8,J8)</f>
        <v>6430.3848620000044</v>
      </c>
      <c r="E8" s="551">
        <f t="shared" si="1"/>
        <v>3418.8712659999997</v>
      </c>
      <c r="F8" s="552">
        <f t="shared" ref="F8:F23" si="2">SUM(G8:H8)</f>
        <v>8673.7080870000045</v>
      </c>
      <c r="G8" s="550">
        <f>+'8.2 y 8.3'!H6</f>
        <v>6430.3848620000044</v>
      </c>
      <c r="H8" s="551">
        <f>+'8.2 y 8.3'!C6</f>
        <v>2243.3232249999996</v>
      </c>
      <c r="I8" s="553">
        <f t="shared" ref="I8:I23" si="3">SUM(J8:K8)</f>
        <v>1175.548041</v>
      </c>
      <c r="J8" s="550"/>
      <c r="K8" s="551">
        <f>+'8.2 y 8.3'!B65</f>
        <v>1175.548041</v>
      </c>
      <c r="M8" s="375"/>
      <c r="N8" s="1631">
        <v>1995</v>
      </c>
      <c r="O8" s="1653">
        <f>D8</f>
        <v>6430.3848620000044</v>
      </c>
      <c r="P8" s="1653">
        <f>E8</f>
        <v>3418.8712659999997</v>
      </c>
      <c r="Q8" s="1631"/>
      <c r="R8" s="1631">
        <f>+N8</f>
        <v>1995</v>
      </c>
      <c r="S8" s="1627">
        <f>+O8</f>
        <v>6430.3848620000044</v>
      </c>
      <c r="T8" s="1627">
        <f>+P8</f>
        <v>3418.8712659999997</v>
      </c>
    </row>
    <row r="9" spans="1:20" ht="13" x14ac:dyDescent="0.3">
      <c r="B9" s="446">
        <v>1996</v>
      </c>
      <c r="C9" s="472">
        <f t="shared" si="0"/>
        <v>10330.839597999991</v>
      </c>
      <c r="D9" s="474">
        <f t="shared" si="1"/>
        <v>6781.8158419999918</v>
      </c>
      <c r="E9" s="554">
        <f t="shared" si="1"/>
        <v>3549.0237560000005</v>
      </c>
      <c r="F9" s="555">
        <f t="shared" si="2"/>
        <v>8770.6107359999914</v>
      </c>
      <c r="G9" s="474">
        <f>+'8.2 y 8.3'!H7</f>
        <v>6781.8158419999918</v>
      </c>
      <c r="H9" s="554">
        <f>+'8.2 y 8.3'!C7</f>
        <v>1988.7948940000003</v>
      </c>
      <c r="I9" s="475">
        <f t="shared" si="3"/>
        <v>1560.2288619999999</v>
      </c>
      <c r="J9" s="474"/>
      <c r="K9" s="554">
        <f>+'8.2 y 8.3'!B66</f>
        <v>1560.2288619999999</v>
      </c>
      <c r="M9" s="375"/>
      <c r="N9" s="1631">
        <v>1996</v>
      </c>
      <c r="O9" s="1653">
        <f t="shared" ref="O9:P35" si="4">D9</f>
        <v>6781.8158419999918</v>
      </c>
      <c r="P9" s="1653">
        <f t="shared" si="4"/>
        <v>3549.0237560000005</v>
      </c>
      <c r="Q9" s="1631"/>
      <c r="R9" s="1631">
        <f>+N13</f>
        <v>2000</v>
      </c>
      <c r="S9" s="1612">
        <f>+O13</f>
        <v>8406.7782800000132</v>
      </c>
      <c r="T9" s="1612">
        <f>+P13</f>
        <v>7138.8171120000006</v>
      </c>
    </row>
    <row r="10" spans="1:20" ht="13" x14ac:dyDescent="0.3">
      <c r="B10" s="440">
        <v>1997</v>
      </c>
      <c r="C10" s="549">
        <f t="shared" si="0"/>
        <v>12451.230159999992</v>
      </c>
      <c r="D10" s="550">
        <f t="shared" si="1"/>
        <v>7291.6494419999917</v>
      </c>
      <c r="E10" s="551">
        <f t="shared" si="1"/>
        <v>5159.5807179999993</v>
      </c>
      <c r="F10" s="552">
        <f t="shared" si="2"/>
        <v>9377.8946799999903</v>
      </c>
      <c r="G10" s="550">
        <f>+'8.2 y 8.3'!H8</f>
        <v>7291.6494419999917</v>
      </c>
      <c r="H10" s="551">
        <f>+'8.2 y 8.3'!C8</f>
        <v>2086.2452379999995</v>
      </c>
      <c r="I10" s="553">
        <f t="shared" si="3"/>
        <v>3073.3354799999997</v>
      </c>
      <c r="J10" s="550"/>
      <c r="K10" s="551">
        <f>+'8.2 y 8.3'!B67</f>
        <v>3073.3354799999997</v>
      </c>
      <c r="M10" s="375"/>
      <c r="N10" s="1631">
        <v>1997</v>
      </c>
      <c r="O10" s="1653">
        <f t="shared" si="4"/>
        <v>7291.6494419999917</v>
      </c>
      <c r="P10" s="1653">
        <f t="shared" si="4"/>
        <v>5159.5807179999993</v>
      </c>
      <c r="Q10" s="1631"/>
      <c r="R10" s="1631">
        <f>+N18</f>
        <v>2005</v>
      </c>
      <c r="S10" s="1612">
        <f>+O18</f>
        <v>11150.106846222223</v>
      </c>
      <c r="T10" s="1612">
        <f>+P18</f>
        <v>9551.2760340000004</v>
      </c>
    </row>
    <row r="11" spans="1:20" ht="13" x14ac:dyDescent="0.3">
      <c r="A11" s="315"/>
      <c r="B11" s="446">
        <v>1998</v>
      </c>
      <c r="C11" s="472">
        <f t="shared" si="0"/>
        <v>14008.576822999998</v>
      </c>
      <c r="D11" s="474">
        <f t="shared" si="1"/>
        <v>7755.838101999997</v>
      </c>
      <c r="E11" s="554">
        <f t="shared" si="1"/>
        <v>6252.7387210000006</v>
      </c>
      <c r="F11" s="555">
        <f t="shared" si="2"/>
        <v>9878.6615729999976</v>
      </c>
      <c r="G11" s="474">
        <f>+'8.2 y 8.3'!H9</f>
        <v>7755.838101999997</v>
      </c>
      <c r="H11" s="554">
        <f>+'8.2 y 8.3'!C9</f>
        <v>2122.8234709999997</v>
      </c>
      <c r="I11" s="475">
        <f t="shared" si="3"/>
        <v>4129.9152500000009</v>
      </c>
      <c r="J11" s="474"/>
      <c r="K11" s="554">
        <f>+'8.2 y 8.3'!B68</f>
        <v>4129.9152500000009</v>
      </c>
      <c r="M11" s="375"/>
      <c r="N11" s="1631">
        <v>1998</v>
      </c>
      <c r="O11" s="1653">
        <f t="shared" si="4"/>
        <v>7755.838101999997</v>
      </c>
      <c r="P11" s="1653">
        <f t="shared" si="4"/>
        <v>6252.7387210000006</v>
      </c>
      <c r="Q11" s="1631"/>
      <c r="R11" s="1631">
        <f t="shared" ref="R11:R23" si="5">+N23</f>
        <v>2010</v>
      </c>
      <c r="S11" s="1612">
        <f t="shared" ref="S11:S23" si="6">+O23</f>
        <v>16430.850569000002</v>
      </c>
      <c r="T11" s="1612">
        <f t="shared" ref="T11:T23" si="7">+P23</f>
        <v>13005.324554999999</v>
      </c>
    </row>
    <row r="12" spans="1:20" ht="13" x14ac:dyDescent="0.3">
      <c r="B12" s="440">
        <v>1999</v>
      </c>
      <c r="C12" s="549">
        <f t="shared" si="0"/>
        <v>14591.891559000011</v>
      </c>
      <c r="D12" s="550">
        <f t="shared" si="1"/>
        <v>8071.8733350000111</v>
      </c>
      <c r="E12" s="551">
        <f t="shared" si="1"/>
        <v>6520.0182239999995</v>
      </c>
      <c r="F12" s="552">
        <f t="shared" si="2"/>
        <v>10198.891027000011</v>
      </c>
      <c r="G12" s="550">
        <f>+'8.2 y 8.3'!H10</f>
        <v>8071.8733350000111</v>
      </c>
      <c r="H12" s="551">
        <f>+'8.2 y 8.3'!C10</f>
        <v>2127.0176919999999</v>
      </c>
      <c r="I12" s="553">
        <f t="shared" si="3"/>
        <v>4393.000532</v>
      </c>
      <c r="J12" s="550"/>
      <c r="K12" s="551">
        <f>+'8.2 y 8.3'!B69</f>
        <v>4393.000532</v>
      </c>
      <c r="M12" s="375"/>
      <c r="N12" s="1631">
        <v>1999</v>
      </c>
      <c r="O12" s="1653">
        <f t="shared" si="4"/>
        <v>8071.8733350000111</v>
      </c>
      <c r="P12" s="1653">
        <f t="shared" si="4"/>
        <v>6520.0182239999995</v>
      </c>
      <c r="Q12" s="1631"/>
      <c r="R12" s="1631">
        <f t="shared" si="5"/>
        <v>2011</v>
      </c>
      <c r="S12" s="1612">
        <f t="shared" si="6"/>
        <v>17891.5565232511</v>
      </c>
      <c r="T12" s="1612">
        <f t="shared" si="7"/>
        <v>13928.794281999999</v>
      </c>
    </row>
    <row r="13" spans="1:20" ht="13" x14ac:dyDescent="0.3">
      <c r="B13" s="446">
        <v>2000</v>
      </c>
      <c r="C13" s="472">
        <f t="shared" si="0"/>
        <v>15545.595392000014</v>
      </c>
      <c r="D13" s="474">
        <f t="shared" si="1"/>
        <v>8406.7782800000132</v>
      </c>
      <c r="E13" s="554">
        <f t="shared" si="1"/>
        <v>7138.8171120000006</v>
      </c>
      <c r="F13" s="555">
        <f t="shared" si="2"/>
        <v>10763.269271000014</v>
      </c>
      <c r="G13" s="474">
        <f>+'8.2 y 8.3'!H11</f>
        <v>8406.7782800000132</v>
      </c>
      <c r="H13" s="554">
        <f>+'8.2 y 8.3'!C11</f>
        <v>2356.4909910000001</v>
      </c>
      <c r="I13" s="475">
        <f t="shared" si="3"/>
        <v>4782.3261210000001</v>
      </c>
      <c r="J13" s="556"/>
      <c r="K13" s="554">
        <f>+'8.2 y 8.3'!B70</f>
        <v>4782.3261210000001</v>
      </c>
      <c r="M13" s="375"/>
      <c r="N13" s="1631">
        <v>2000</v>
      </c>
      <c r="O13" s="1653">
        <f t="shared" si="4"/>
        <v>8406.7782800000132</v>
      </c>
      <c r="P13" s="1653">
        <f t="shared" si="4"/>
        <v>7138.8171120000006</v>
      </c>
      <c r="Q13" s="1631"/>
      <c r="R13" s="1631">
        <f t="shared" si="5"/>
        <v>2012</v>
      </c>
      <c r="S13" s="1612">
        <f t="shared" si="6"/>
        <v>18962.169935999998</v>
      </c>
      <c r="T13" s="1612">
        <f t="shared" si="7"/>
        <v>14686.015995</v>
      </c>
    </row>
    <row r="14" spans="1:20" ht="13" x14ac:dyDescent="0.3">
      <c r="B14" s="440">
        <v>2001</v>
      </c>
      <c r="C14" s="549">
        <f t="shared" si="0"/>
        <v>16628.754544999989</v>
      </c>
      <c r="D14" s="550">
        <f t="shared" si="1"/>
        <v>8654.8532329999871</v>
      </c>
      <c r="E14" s="551">
        <f t="shared" si="1"/>
        <v>7973.901312</v>
      </c>
      <c r="F14" s="552">
        <f t="shared" si="2"/>
        <v>10522.374724999987</v>
      </c>
      <c r="G14" s="550">
        <f>+'8.2 y 8.3'!H12</f>
        <v>8654.8532329999871</v>
      </c>
      <c r="H14" s="551">
        <f>+'8.2 y 8.3'!C12</f>
        <v>1867.5214919999999</v>
      </c>
      <c r="I14" s="553">
        <f t="shared" si="3"/>
        <v>6106.3798200000001</v>
      </c>
      <c r="J14" s="557"/>
      <c r="K14" s="551">
        <f>+'8.2 y 8.3'!B71</f>
        <v>6106.3798200000001</v>
      </c>
      <c r="M14" s="375"/>
      <c r="N14" s="1631">
        <v>2001</v>
      </c>
      <c r="O14" s="1653">
        <f t="shared" si="4"/>
        <v>8654.8532329999871</v>
      </c>
      <c r="P14" s="1653">
        <f t="shared" si="4"/>
        <v>7973.901312</v>
      </c>
      <c r="Q14" s="1631"/>
      <c r="R14" s="1631">
        <f t="shared" si="5"/>
        <v>2013</v>
      </c>
      <c r="S14" s="1612">
        <f t="shared" si="6"/>
        <v>19883.276369286003</v>
      </c>
      <c r="T14" s="1612">
        <f t="shared" si="7"/>
        <v>15729.474292999999</v>
      </c>
    </row>
    <row r="15" spans="1:20" ht="13" x14ac:dyDescent="0.3">
      <c r="B15" s="446">
        <v>2002</v>
      </c>
      <c r="C15" s="472">
        <f t="shared" si="0"/>
        <v>17605.325913847999</v>
      </c>
      <c r="D15" s="474">
        <f t="shared" si="1"/>
        <v>9221.8888070000012</v>
      </c>
      <c r="E15" s="554">
        <f t="shared" si="1"/>
        <v>8383.4371068479995</v>
      </c>
      <c r="F15" s="555">
        <f t="shared" si="2"/>
        <v>11113.547163000001</v>
      </c>
      <c r="G15" s="474">
        <f>+'8.2 y 8.3'!H13</f>
        <v>9221.8888070000012</v>
      </c>
      <c r="H15" s="554">
        <f>+'8.2 y 8.3'!C13</f>
        <v>1891.6583559999997</v>
      </c>
      <c r="I15" s="475">
        <f t="shared" si="3"/>
        <v>6491.7787508479996</v>
      </c>
      <c r="J15" s="556"/>
      <c r="K15" s="554">
        <f>+'8.2 y 8.3'!B72</f>
        <v>6491.7787508479996</v>
      </c>
      <c r="M15" s="375"/>
      <c r="N15" s="1654">
        <v>2002</v>
      </c>
      <c r="O15" s="1653">
        <f t="shared" si="4"/>
        <v>9221.8888070000012</v>
      </c>
      <c r="P15" s="1653">
        <f t="shared" si="4"/>
        <v>8383.4371068479995</v>
      </c>
      <c r="Q15" s="1631"/>
      <c r="R15" s="1631">
        <f t="shared" si="5"/>
        <v>2014</v>
      </c>
      <c r="S15" s="1612">
        <f t="shared" si="6"/>
        <v>20761.995461292776</v>
      </c>
      <c r="T15" s="1612">
        <f t="shared" si="7"/>
        <v>16563.805596905622</v>
      </c>
    </row>
    <row r="16" spans="1:20" ht="13" x14ac:dyDescent="0.3">
      <c r="B16" s="440">
        <v>2003</v>
      </c>
      <c r="C16" s="549">
        <f>SUM(D16:E16)</f>
        <v>18375.33541</v>
      </c>
      <c r="D16" s="550">
        <f t="shared" si="1"/>
        <v>9610.7902890000005</v>
      </c>
      <c r="E16" s="551">
        <f t="shared" si="1"/>
        <v>8764.545121000001</v>
      </c>
      <c r="F16" s="552">
        <f t="shared" si="2"/>
        <v>11303.613573000001</v>
      </c>
      <c r="G16" s="550">
        <f>+'8.2 y 8.3'!H14</f>
        <v>9610.7902890000005</v>
      </c>
      <c r="H16" s="551">
        <f>+'8.2 y 8.3'!C14</f>
        <v>1692.8232840000001</v>
      </c>
      <c r="I16" s="553">
        <f>SUM(J16:K16)</f>
        <v>7071.721837000001</v>
      </c>
      <c r="J16" s="557"/>
      <c r="K16" s="551">
        <f>+'8.2 y 8.3'!B73</f>
        <v>7071.721837000001</v>
      </c>
      <c r="M16" s="375"/>
      <c r="N16" s="1631">
        <v>2003</v>
      </c>
      <c r="O16" s="1653">
        <f t="shared" si="4"/>
        <v>9610.7902890000005</v>
      </c>
      <c r="P16" s="1653">
        <f t="shared" si="4"/>
        <v>8764.545121000001</v>
      </c>
      <c r="Q16" s="1631"/>
      <c r="R16" s="1631">
        <f t="shared" si="5"/>
        <v>2015</v>
      </c>
      <c r="S16" s="1612">
        <f t="shared" si="6"/>
        <v>21493.062700000002</v>
      </c>
      <c r="T16" s="1612">
        <f t="shared" si="7"/>
        <v>18281.687282799998</v>
      </c>
    </row>
    <row r="17" spans="1:20" ht="13" x14ac:dyDescent="0.3">
      <c r="B17" s="446">
        <v>2004</v>
      </c>
      <c r="C17" s="472">
        <f t="shared" si="0"/>
        <v>19640.651109999999</v>
      </c>
      <c r="D17" s="474">
        <f t="shared" si="1"/>
        <v>10352.511363000001</v>
      </c>
      <c r="E17" s="554">
        <f t="shared" si="1"/>
        <v>9288.1397469999993</v>
      </c>
      <c r="F17" s="555">
        <f t="shared" si="2"/>
        <v>12001.305316000002</v>
      </c>
      <c r="G17" s="474">
        <f>+'8.2 y 8.3'!H15</f>
        <v>10352.511363000001</v>
      </c>
      <c r="H17" s="554">
        <f>+'8.2 y 8.3'!C15</f>
        <v>1648.7939530000001</v>
      </c>
      <c r="I17" s="475">
        <f t="shared" si="3"/>
        <v>7639.3457939999998</v>
      </c>
      <c r="J17" s="556"/>
      <c r="K17" s="554">
        <f>+'8.2 y 8.3'!B74</f>
        <v>7639.3457939999998</v>
      </c>
      <c r="M17" s="375"/>
      <c r="N17" s="1654">
        <v>2004</v>
      </c>
      <c r="O17" s="1653">
        <f t="shared" si="4"/>
        <v>10352.511363000001</v>
      </c>
      <c r="P17" s="1653">
        <f t="shared" si="4"/>
        <v>9288.1397469999993</v>
      </c>
      <c r="Q17" s="1631"/>
      <c r="R17" s="1631">
        <f t="shared" si="5"/>
        <v>2016</v>
      </c>
      <c r="S17" s="1612">
        <f t="shared" si="6"/>
        <v>20865.202580999983</v>
      </c>
      <c r="T17" s="1612">
        <f t="shared" si="7"/>
        <v>22501.796529700005</v>
      </c>
    </row>
    <row r="18" spans="1:20" ht="13" x14ac:dyDescent="0.3">
      <c r="B18" s="440">
        <v>2005</v>
      </c>
      <c r="C18" s="549">
        <f t="shared" si="0"/>
        <v>20701.382880222223</v>
      </c>
      <c r="D18" s="550">
        <f t="shared" si="1"/>
        <v>11150.106846222223</v>
      </c>
      <c r="E18" s="551">
        <f t="shared" si="1"/>
        <v>9551.2760340000004</v>
      </c>
      <c r="F18" s="552">
        <f t="shared" si="2"/>
        <v>12914.287800222222</v>
      </c>
      <c r="G18" s="550">
        <f>+'8.2 y 8.3'!H16</f>
        <v>11150.106846222223</v>
      </c>
      <c r="H18" s="551">
        <f>+'8.2 y 8.3'!C16</f>
        <v>1764.1809539999999</v>
      </c>
      <c r="I18" s="553">
        <f t="shared" si="3"/>
        <v>7787.095080000001</v>
      </c>
      <c r="J18" s="557"/>
      <c r="K18" s="551">
        <f>+'8.2 y 8.3'!B75</f>
        <v>7787.095080000001</v>
      </c>
      <c r="M18" s="375"/>
      <c r="N18" s="1631">
        <v>2005</v>
      </c>
      <c r="O18" s="1653">
        <f t="shared" si="4"/>
        <v>11150.106846222223</v>
      </c>
      <c r="P18" s="1653">
        <f t="shared" si="4"/>
        <v>9551.2760340000004</v>
      </c>
      <c r="Q18" s="1631"/>
      <c r="R18" s="1631">
        <f t="shared" si="5"/>
        <v>2017</v>
      </c>
      <c r="S18" s="1612">
        <f t="shared" si="6"/>
        <v>19466.014226120118</v>
      </c>
      <c r="T18" s="1612">
        <f t="shared" si="7"/>
        <v>24757.238591149999</v>
      </c>
    </row>
    <row r="19" spans="1:20" ht="13" x14ac:dyDescent="0.3">
      <c r="B19" s="446">
        <v>2006</v>
      </c>
      <c r="C19" s="472">
        <f t="shared" si="0"/>
        <v>22290.061152999995</v>
      </c>
      <c r="D19" s="474">
        <f>SUM(G19,J19)</f>
        <v>12169.514937999998</v>
      </c>
      <c r="E19" s="554">
        <f>SUM(H19,K19)</f>
        <v>10120.546214999998</v>
      </c>
      <c r="F19" s="555">
        <f t="shared" si="2"/>
        <v>14043.638326999999</v>
      </c>
      <c r="G19" s="474">
        <f>+'8.2 y 8.3'!H17</f>
        <v>12169.514937999998</v>
      </c>
      <c r="H19" s="554">
        <f>+'8.2 y 8.3'!C17</f>
        <v>1874.1233889999999</v>
      </c>
      <c r="I19" s="475">
        <f t="shared" si="3"/>
        <v>8246.4228259999982</v>
      </c>
      <c r="J19" s="556"/>
      <c r="K19" s="554">
        <f>+'8.2 y 8.3'!B76</f>
        <v>8246.4228259999982</v>
      </c>
      <c r="M19" s="375"/>
      <c r="N19" s="1654">
        <v>2006</v>
      </c>
      <c r="O19" s="1653">
        <f t="shared" si="4"/>
        <v>12169.514937999998</v>
      </c>
      <c r="P19" s="1653">
        <f t="shared" si="4"/>
        <v>10120.546214999998</v>
      </c>
      <c r="Q19" s="1631"/>
      <c r="R19" s="1631">
        <f t="shared" si="5"/>
        <v>2018</v>
      </c>
      <c r="S19" s="1612">
        <f t="shared" si="6"/>
        <v>19149.967832780072</v>
      </c>
      <c r="T19" s="1612">
        <f t="shared" si="7"/>
        <v>26717.820009410003</v>
      </c>
    </row>
    <row r="20" spans="1:20" ht="13" x14ac:dyDescent="0.3">
      <c r="B20" s="440">
        <v>2007</v>
      </c>
      <c r="C20" s="549">
        <f t="shared" si="0"/>
        <v>24721.748553000001</v>
      </c>
      <c r="D20" s="550">
        <f t="shared" si="1"/>
        <v>13346.184469</v>
      </c>
      <c r="E20" s="551">
        <f t="shared" si="1"/>
        <v>11375.564084000001</v>
      </c>
      <c r="F20" s="552">
        <f t="shared" si="2"/>
        <v>15032.180855000001</v>
      </c>
      <c r="G20" s="550">
        <f>+'8.2 y 8.3'!H18</f>
        <v>13346.184469</v>
      </c>
      <c r="H20" s="551">
        <f>+'8.2 y 8.3'!C18</f>
        <v>1685.996386</v>
      </c>
      <c r="I20" s="553">
        <f t="shared" si="3"/>
        <v>9689.5676980000007</v>
      </c>
      <c r="J20" s="557"/>
      <c r="K20" s="551">
        <f>+'8.2 y 8.3'!B77</f>
        <v>9689.5676980000007</v>
      </c>
      <c r="M20" s="375"/>
      <c r="N20" s="1654">
        <v>2007</v>
      </c>
      <c r="O20" s="1653">
        <f t="shared" si="4"/>
        <v>13346.184469</v>
      </c>
      <c r="P20" s="1653">
        <f t="shared" si="4"/>
        <v>11375.564084000001</v>
      </c>
      <c r="Q20" s="1631"/>
      <c r="R20" s="1631">
        <f t="shared" si="5"/>
        <v>2019</v>
      </c>
      <c r="S20" s="1612">
        <f t="shared" si="6"/>
        <v>19137.95069308002</v>
      </c>
      <c r="T20" s="1612">
        <f t="shared" si="7"/>
        <v>28282.7872259</v>
      </c>
    </row>
    <row r="21" spans="1:20" ht="13" x14ac:dyDescent="0.3">
      <c r="B21" s="446">
        <v>2008</v>
      </c>
      <c r="C21" s="472">
        <f t="shared" si="0"/>
        <v>26964.414596000002</v>
      </c>
      <c r="D21" s="474">
        <f t="shared" si="1"/>
        <v>14569.444074000001</v>
      </c>
      <c r="E21" s="554">
        <f t="shared" si="1"/>
        <v>12394.970522</v>
      </c>
      <c r="F21" s="555">
        <f t="shared" si="2"/>
        <v>16297.176545</v>
      </c>
      <c r="G21" s="474">
        <f>+'8.2 y 8.3'!H19</f>
        <v>14569.444074000001</v>
      </c>
      <c r="H21" s="554">
        <f>+'8.2 y 8.3'!C19</f>
        <v>1727.732471</v>
      </c>
      <c r="I21" s="475">
        <f t="shared" si="3"/>
        <v>10667.238051</v>
      </c>
      <c r="J21" s="556"/>
      <c r="K21" s="554">
        <f>+'8.2 y 8.3'!B78</f>
        <v>10667.238051</v>
      </c>
      <c r="M21" s="375"/>
      <c r="N21" s="1654">
        <v>2008</v>
      </c>
      <c r="O21" s="1653">
        <f t="shared" si="4"/>
        <v>14569.444074000001</v>
      </c>
      <c r="P21" s="1653">
        <f t="shared" si="4"/>
        <v>12394.970522</v>
      </c>
      <c r="Q21" s="1631"/>
      <c r="R21" s="1631">
        <f t="shared" si="5"/>
        <v>2020</v>
      </c>
      <c r="S21" s="1612">
        <f t="shared" si="6"/>
        <v>17893.830867650024</v>
      </c>
      <c r="T21" s="1612">
        <f t="shared" si="7"/>
        <v>25857.238500499996</v>
      </c>
    </row>
    <row r="22" spans="1:20" ht="13" x14ac:dyDescent="0.3">
      <c r="B22" s="440">
        <v>2009</v>
      </c>
      <c r="C22" s="549">
        <f t="shared" si="0"/>
        <v>27087.005776999995</v>
      </c>
      <c r="D22" s="550">
        <f t="shared" si="1"/>
        <v>15204.704771999996</v>
      </c>
      <c r="E22" s="551">
        <f t="shared" si="1"/>
        <v>11882.301004999999</v>
      </c>
      <c r="F22" s="552">
        <f t="shared" si="2"/>
        <v>17000.664144999995</v>
      </c>
      <c r="G22" s="550">
        <f>+'8.2 y 8.3'!H20</f>
        <v>15204.704771999996</v>
      </c>
      <c r="H22" s="551">
        <f>+'8.2 y 8.3'!C20</f>
        <v>1795.9593729999997</v>
      </c>
      <c r="I22" s="553">
        <f t="shared" si="3"/>
        <v>10086.341632</v>
      </c>
      <c r="J22" s="557"/>
      <c r="K22" s="551">
        <f>+'8.2 y 8.3'!B79</f>
        <v>10086.341632</v>
      </c>
      <c r="M22" s="375"/>
      <c r="N22" s="1654">
        <v>2009</v>
      </c>
      <c r="O22" s="1653">
        <f t="shared" si="4"/>
        <v>15204.704771999996</v>
      </c>
      <c r="P22" s="1653">
        <f t="shared" si="4"/>
        <v>11882.301004999999</v>
      </c>
      <c r="Q22" s="1631"/>
      <c r="R22" s="1631">
        <f t="shared" si="5"/>
        <v>2021</v>
      </c>
      <c r="S22" s="1612">
        <f t="shared" si="6"/>
        <v>18372.038264519975</v>
      </c>
      <c r="T22" s="1612">
        <f t="shared" si="7"/>
        <v>29681.705728500001</v>
      </c>
    </row>
    <row r="23" spans="1:20" ht="13" x14ac:dyDescent="0.3">
      <c r="B23" s="446">
        <v>2010</v>
      </c>
      <c r="C23" s="472">
        <f t="shared" si="0"/>
        <v>29436.175124000001</v>
      </c>
      <c r="D23" s="474">
        <f t="shared" si="1"/>
        <v>16430.850569000002</v>
      </c>
      <c r="E23" s="554">
        <f t="shared" si="1"/>
        <v>13005.324554999999</v>
      </c>
      <c r="F23" s="555">
        <f t="shared" si="2"/>
        <v>18195.325098000001</v>
      </c>
      <c r="G23" s="474">
        <f>+'8.2 y 8.3'!H21</f>
        <v>16430.850569000002</v>
      </c>
      <c r="H23" s="554">
        <f>+'8.2 y 8.3'!C21</f>
        <v>1764.4745290000001</v>
      </c>
      <c r="I23" s="475">
        <f t="shared" si="3"/>
        <v>11240.850026</v>
      </c>
      <c r="J23" s="556"/>
      <c r="K23" s="554">
        <f>+'8.2 y 8.3'!B80</f>
        <v>11240.850026</v>
      </c>
      <c r="M23" s="375"/>
      <c r="N23" s="1654">
        <v>2010</v>
      </c>
      <c r="O23" s="1653">
        <f t="shared" si="4"/>
        <v>16430.850569000002</v>
      </c>
      <c r="P23" s="1653">
        <f t="shared" si="4"/>
        <v>13005.324554999999</v>
      </c>
      <c r="Q23" s="1631"/>
      <c r="R23" s="1631">
        <f t="shared" si="5"/>
        <v>2022</v>
      </c>
      <c r="S23" s="1612">
        <f t="shared" si="6"/>
        <v>18638.21</v>
      </c>
      <c r="T23" s="1612">
        <f t="shared" si="7"/>
        <v>31794.869999999995</v>
      </c>
    </row>
    <row r="24" spans="1:20" ht="13" x14ac:dyDescent="0.3">
      <c r="B24" s="440">
        <v>2011</v>
      </c>
      <c r="C24" s="549">
        <f t="shared" ref="C24:C33" si="8">SUM(D24:E24)</f>
        <v>31820.350805251099</v>
      </c>
      <c r="D24" s="550">
        <f t="shared" ref="D24:E26" si="9">SUM(G24,J24)</f>
        <v>17891.5565232511</v>
      </c>
      <c r="E24" s="551">
        <f t="shared" si="9"/>
        <v>13928.794281999999</v>
      </c>
      <c r="F24" s="552">
        <f>SUM(G24:H24)</f>
        <v>19753.040698251101</v>
      </c>
      <c r="G24" s="550">
        <f>+'8.2 y 8.3'!H22</f>
        <v>17891.5565232511</v>
      </c>
      <c r="H24" s="551">
        <f>+'8.2 y 8.3'!C22</f>
        <v>1861.4841750000001</v>
      </c>
      <c r="I24" s="553">
        <f>SUM(J24:K24)</f>
        <v>12067.310106999999</v>
      </c>
      <c r="J24" s="557"/>
      <c r="K24" s="551">
        <f>+'8.2 y 8.3'!B81</f>
        <v>12067.310106999999</v>
      </c>
      <c r="M24" s="375"/>
      <c r="N24" s="1654">
        <v>2011</v>
      </c>
      <c r="O24" s="1653">
        <f t="shared" si="4"/>
        <v>17891.5565232511</v>
      </c>
      <c r="P24" s="1653">
        <f t="shared" si="4"/>
        <v>13928.794281999999</v>
      </c>
      <c r="Q24" s="1631"/>
      <c r="R24" s="1655"/>
      <c r="S24" s="1656"/>
      <c r="T24" s="1631"/>
    </row>
    <row r="25" spans="1:20" ht="13" x14ac:dyDescent="0.3">
      <c r="B25" s="446">
        <v>2012</v>
      </c>
      <c r="C25" s="472">
        <f t="shared" si="8"/>
        <v>33648.185931</v>
      </c>
      <c r="D25" s="474">
        <f t="shared" si="9"/>
        <v>18962.169935999998</v>
      </c>
      <c r="E25" s="554">
        <f t="shared" si="9"/>
        <v>14686.015995</v>
      </c>
      <c r="F25" s="555">
        <f>SUM(G25:H25)</f>
        <v>20947.295381</v>
      </c>
      <c r="G25" s="474">
        <f>+'8.2 y 8.3'!H23</f>
        <v>18962.169935999998</v>
      </c>
      <c r="H25" s="554">
        <f>+'8.2 y 8.3'!C23</f>
        <v>1985.1254450000001</v>
      </c>
      <c r="I25" s="475">
        <f>SUM(J25:K25)</f>
        <v>12700.89055</v>
      </c>
      <c r="J25" s="556"/>
      <c r="K25" s="554">
        <f>+'8.2 y 8.3'!B82</f>
        <v>12700.89055</v>
      </c>
      <c r="M25" s="375"/>
      <c r="N25" s="1654">
        <v>2012</v>
      </c>
      <c r="O25" s="1653">
        <f t="shared" si="4"/>
        <v>18962.169935999998</v>
      </c>
      <c r="P25" s="1653">
        <f t="shared" si="4"/>
        <v>14686.015995</v>
      </c>
      <c r="Q25" s="1631"/>
      <c r="R25" s="1655"/>
      <c r="S25" s="1656"/>
      <c r="T25" s="1631"/>
    </row>
    <row r="26" spans="1:20" ht="13" x14ac:dyDescent="0.3">
      <c r="B26" s="440">
        <v>2013</v>
      </c>
      <c r="C26" s="549">
        <f t="shared" si="8"/>
        <v>35612.750662286002</v>
      </c>
      <c r="D26" s="550">
        <f t="shared" si="9"/>
        <v>19883.276369286003</v>
      </c>
      <c r="E26" s="551">
        <f t="shared" si="9"/>
        <v>15729.474292999999</v>
      </c>
      <c r="F26" s="552">
        <f>SUM(G26:H26)</f>
        <v>21938.578439286004</v>
      </c>
      <c r="G26" s="550">
        <f>+'8.2 y 8.3'!H24</f>
        <v>19883.276369286003</v>
      </c>
      <c r="H26" s="551">
        <f>+'8.2 y 8.3'!C24</f>
        <v>2055.3020700000002</v>
      </c>
      <c r="I26" s="553">
        <f>SUM(J26:K26)</f>
        <v>13674.172223</v>
      </c>
      <c r="J26" s="557"/>
      <c r="K26" s="551">
        <f>+'8.2 y 8.3'!B83</f>
        <v>13674.172223</v>
      </c>
      <c r="M26" s="375"/>
      <c r="N26" s="1654">
        <v>2013</v>
      </c>
      <c r="O26" s="1653">
        <f t="shared" si="4"/>
        <v>19883.276369286003</v>
      </c>
      <c r="P26" s="1653">
        <f t="shared" si="4"/>
        <v>15729.474292999999</v>
      </c>
      <c r="Q26" s="1631"/>
      <c r="R26" s="1655"/>
      <c r="S26" s="1656"/>
      <c r="T26" s="1631"/>
    </row>
    <row r="27" spans="1:20" ht="13" x14ac:dyDescent="0.3">
      <c r="A27" s="315"/>
      <c r="B27" s="446">
        <v>2014</v>
      </c>
      <c r="C27" s="472">
        <f t="shared" si="8"/>
        <v>37325.801058198398</v>
      </c>
      <c r="D27" s="474">
        <f>SUM(G27,J27)</f>
        <v>20761.995461292776</v>
      </c>
      <c r="E27" s="554">
        <f>SUM(H27,K27)</f>
        <v>16563.805596905622</v>
      </c>
      <c r="F27" s="555">
        <f>SUM(G27:H27)</f>
        <v>22779.996057398399</v>
      </c>
      <c r="G27" s="474">
        <f>+'8.2 y 8.3'!H25</f>
        <v>20761.995461292776</v>
      </c>
      <c r="H27" s="554">
        <f>+'8.2 y 8.3'!C25</f>
        <v>2018.0005961056218</v>
      </c>
      <c r="I27" s="475">
        <f>SUM(J27:K27)</f>
        <v>14545.805000799999</v>
      </c>
      <c r="J27" s="556"/>
      <c r="K27" s="554">
        <f>+'8.2 y 8.3'!B84</f>
        <v>14545.805000799999</v>
      </c>
      <c r="M27" s="375"/>
      <c r="N27" s="1654">
        <v>2014</v>
      </c>
      <c r="O27" s="1653">
        <f t="shared" si="4"/>
        <v>20761.995461292776</v>
      </c>
      <c r="P27" s="1653">
        <f t="shared" si="4"/>
        <v>16563.805596905622</v>
      </c>
      <c r="Q27" s="1631"/>
      <c r="R27" s="1655"/>
      <c r="S27" s="1656"/>
      <c r="T27" s="1631"/>
    </row>
    <row r="28" spans="1:20" ht="13" x14ac:dyDescent="0.3">
      <c r="B28" s="440">
        <v>2015</v>
      </c>
      <c r="C28" s="549">
        <f t="shared" si="8"/>
        <v>39774.7499828</v>
      </c>
      <c r="D28" s="550">
        <f t="shared" ref="D28:E35" si="10">SUM(G28,J28)</f>
        <v>21493.062700000002</v>
      </c>
      <c r="E28" s="551">
        <f t="shared" si="10"/>
        <v>18281.687282799998</v>
      </c>
      <c r="F28" s="552">
        <f t="shared" ref="F28:F35" si="11">SUM(G28:H28)</f>
        <v>23494.038700000001</v>
      </c>
      <c r="G28" s="550">
        <f>+'8.2 y 8.3'!H26</f>
        <v>21493.062700000002</v>
      </c>
      <c r="H28" s="551">
        <f>+'8.2 y 8.3'!C26</f>
        <v>2000.9759999999999</v>
      </c>
      <c r="I28" s="553">
        <f t="shared" ref="I28:I35" si="12">SUM(J28:K28)</f>
        <v>16280.711282799997</v>
      </c>
      <c r="J28" s="557"/>
      <c r="K28" s="551">
        <f>+'8.2 y 8.3'!B85</f>
        <v>16280.711282799997</v>
      </c>
      <c r="L28" s="371"/>
      <c r="M28" s="375"/>
      <c r="N28" s="1654">
        <v>2015</v>
      </c>
      <c r="O28" s="1653">
        <f t="shared" si="4"/>
        <v>21493.062700000002</v>
      </c>
      <c r="P28" s="1653">
        <f t="shared" si="4"/>
        <v>18281.687282799998</v>
      </c>
      <c r="Q28" s="1631"/>
      <c r="R28" s="1655"/>
      <c r="S28" s="1656"/>
      <c r="T28" s="1631"/>
    </row>
    <row r="29" spans="1:20" ht="13" x14ac:dyDescent="0.3">
      <c r="B29" s="446">
        <v>2016</v>
      </c>
      <c r="C29" s="472">
        <f t="shared" si="8"/>
        <v>43366.999110699988</v>
      </c>
      <c r="D29" s="474">
        <f t="shared" si="10"/>
        <v>20865.202580999983</v>
      </c>
      <c r="E29" s="554">
        <f t="shared" si="10"/>
        <v>22501.796529700005</v>
      </c>
      <c r="F29" s="555">
        <f t="shared" si="11"/>
        <v>22886.332353999984</v>
      </c>
      <c r="G29" s="474">
        <f>+'8.2 y 8.3'!H27</f>
        <v>20865.202580999983</v>
      </c>
      <c r="H29" s="554">
        <f>+'8.2 y 8.3'!C27</f>
        <v>2021.1297729999999</v>
      </c>
      <c r="I29" s="475">
        <f t="shared" si="12"/>
        <v>20480.666756700004</v>
      </c>
      <c r="J29" s="556"/>
      <c r="K29" s="554">
        <f>+'8.2 y 8.3'!B86</f>
        <v>20480.666756700004</v>
      </c>
      <c r="L29" s="371"/>
      <c r="M29" s="375"/>
      <c r="N29" s="1654">
        <v>2016</v>
      </c>
      <c r="O29" s="1653">
        <f t="shared" si="4"/>
        <v>20865.202580999983</v>
      </c>
      <c r="P29" s="1653">
        <f t="shared" si="4"/>
        <v>22501.796529700005</v>
      </c>
      <c r="Q29" s="1631"/>
      <c r="R29" s="1655"/>
      <c r="S29" s="1656"/>
      <c r="T29" s="1631"/>
    </row>
    <row r="30" spans="1:20" ht="13" x14ac:dyDescent="0.3">
      <c r="B30" s="440">
        <v>2017</v>
      </c>
      <c r="C30" s="549">
        <f t="shared" si="8"/>
        <v>44223.252817270113</v>
      </c>
      <c r="D30" s="550">
        <f t="shared" si="10"/>
        <v>19466.014226120118</v>
      </c>
      <c r="E30" s="551">
        <f t="shared" si="10"/>
        <v>24757.238591149999</v>
      </c>
      <c r="F30" s="552">
        <f t="shared" si="11"/>
        <v>22399.543247370118</v>
      </c>
      <c r="G30" s="550">
        <f>+'8.2 y 8.3'!H28</f>
        <v>19466.014226120118</v>
      </c>
      <c r="H30" s="551">
        <f>+'8.2 y 8.3'!C28</f>
        <v>2933.5290212499995</v>
      </c>
      <c r="I30" s="553">
        <f t="shared" si="12"/>
        <v>21823.709569899998</v>
      </c>
      <c r="J30" s="557"/>
      <c r="K30" s="551">
        <f>+'8.2 y 8.3'!B87</f>
        <v>21823.709569899998</v>
      </c>
      <c r="L30" s="371"/>
      <c r="M30" s="375"/>
      <c r="N30" s="1654">
        <v>2017</v>
      </c>
      <c r="O30" s="1653">
        <f t="shared" si="4"/>
        <v>19466.014226120118</v>
      </c>
      <c r="P30" s="1653">
        <f t="shared" si="4"/>
        <v>24757.238591149999</v>
      </c>
      <c r="Q30" s="1631"/>
      <c r="R30" s="1655"/>
      <c r="S30" s="1656"/>
      <c r="T30" s="1631"/>
    </row>
    <row r="31" spans="1:20" ht="13" x14ac:dyDescent="0.3">
      <c r="B31" s="446">
        <v>2018</v>
      </c>
      <c r="C31" s="472">
        <f t="shared" si="8"/>
        <v>45867.787842190075</v>
      </c>
      <c r="D31" s="474">
        <f t="shared" si="10"/>
        <v>19149.967832780072</v>
      </c>
      <c r="E31" s="554">
        <f t="shared" si="10"/>
        <v>26717.820009410003</v>
      </c>
      <c r="F31" s="555">
        <f t="shared" si="11"/>
        <v>22073.874790390073</v>
      </c>
      <c r="G31" s="474">
        <f>+'8.2 y 8.3'!H29</f>
        <v>19149.967832780072</v>
      </c>
      <c r="H31" s="554">
        <f>+'8.2 y 8.3'!C29</f>
        <v>2923.906957610001</v>
      </c>
      <c r="I31" s="475">
        <f t="shared" si="12"/>
        <v>23793.913051800002</v>
      </c>
      <c r="J31" s="556"/>
      <c r="K31" s="554">
        <f>+'8.2 y 8.3'!B88</f>
        <v>23793.913051800002</v>
      </c>
      <c r="L31" s="371"/>
      <c r="M31" s="375"/>
      <c r="N31" s="1654">
        <v>2018</v>
      </c>
      <c r="O31" s="1653">
        <f t="shared" si="4"/>
        <v>19149.967832780072</v>
      </c>
      <c r="P31" s="1653">
        <f t="shared" si="4"/>
        <v>26717.820009410003</v>
      </c>
      <c r="Q31" s="1631"/>
      <c r="R31" s="1655"/>
      <c r="S31" s="1656"/>
      <c r="T31" s="1631"/>
    </row>
    <row r="32" spans="1:20" ht="13" x14ac:dyDescent="0.3">
      <c r="B32" s="440">
        <v>2019</v>
      </c>
      <c r="C32" s="549">
        <f t="shared" si="8"/>
        <v>47420.737918980019</v>
      </c>
      <c r="D32" s="550">
        <f t="shared" si="10"/>
        <v>19137.95069308002</v>
      </c>
      <c r="E32" s="551">
        <f t="shared" si="10"/>
        <v>28282.7872259</v>
      </c>
      <c r="F32" s="552">
        <f t="shared" si="11"/>
        <v>22355.02466478002</v>
      </c>
      <c r="G32" s="550">
        <f>+'8.2 y 8.3'!H30</f>
        <v>19137.95069308002</v>
      </c>
      <c r="H32" s="551">
        <f>+'8.2 y 8.3'!C30</f>
        <v>3217.0739716999992</v>
      </c>
      <c r="I32" s="553">
        <f t="shared" si="12"/>
        <v>25065.7132542</v>
      </c>
      <c r="J32" s="557"/>
      <c r="K32" s="551">
        <f>+'8.2 y 8.3'!B89</f>
        <v>25065.7132542</v>
      </c>
      <c r="L32" s="371"/>
      <c r="M32" s="375"/>
      <c r="N32" s="1654">
        <v>2019</v>
      </c>
      <c r="O32" s="1653">
        <f t="shared" si="4"/>
        <v>19137.95069308002</v>
      </c>
      <c r="P32" s="1653">
        <f t="shared" si="4"/>
        <v>28282.7872259</v>
      </c>
      <c r="Q32" s="1631"/>
      <c r="R32" s="1655"/>
      <c r="S32" s="1656"/>
      <c r="T32" s="1631"/>
    </row>
    <row r="33" spans="1:20" ht="13" x14ac:dyDescent="0.3">
      <c r="B33" s="446">
        <v>2020</v>
      </c>
      <c r="C33" s="472">
        <f t="shared" si="8"/>
        <v>43751.06936815002</v>
      </c>
      <c r="D33" s="474">
        <f t="shared" si="10"/>
        <v>17893.830867650024</v>
      </c>
      <c r="E33" s="554">
        <f t="shared" si="10"/>
        <v>25857.238500499996</v>
      </c>
      <c r="F33" s="555">
        <f t="shared" si="11"/>
        <v>20893.361044550024</v>
      </c>
      <c r="G33" s="474">
        <f>+'8.2 y 8.3'!H31</f>
        <v>17893.830867650024</v>
      </c>
      <c r="H33" s="554">
        <f>+'8.2 y 8.3'!C31</f>
        <v>2999.5301768999989</v>
      </c>
      <c r="I33" s="475">
        <f t="shared" si="12"/>
        <v>22857.708323599996</v>
      </c>
      <c r="J33" s="556"/>
      <c r="K33" s="554">
        <f>+'8.2 y 8.3'!B90</f>
        <v>22857.708323599996</v>
      </c>
      <c r="L33" s="371"/>
      <c r="M33" s="375"/>
      <c r="N33" s="1654">
        <v>2020</v>
      </c>
      <c r="O33" s="1653">
        <f t="shared" si="4"/>
        <v>17893.830867650024</v>
      </c>
      <c r="P33" s="1653">
        <f t="shared" si="4"/>
        <v>25857.238500499996</v>
      </c>
      <c r="Q33" s="1631"/>
      <c r="R33" s="1655"/>
      <c r="S33" s="1656"/>
      <c r="T33" s="1631"/>
    </row>
    <row r="34" spans="1:20" ht="13" x14ac:dyDescent="0.3">
      <c r="B34" s="440">
        <v>2021</v>
      </c>
      <c r="C34" s="549">
        <f t="shared" ref="C34" si="13">SUM(D34:E34)</f>
        <v>48053.743993019976</v>
      </c>
      <c r="D34" s="550">
        <f t="shared" ref="D34" si="14">SUM(G34,J34)</f>
        <v>18372.038264519975</v>
      </c>
      <c r="E34" s="551">
        <f t="shared" ref="E34" si="15">SUM(H34,K34)</f>
        <v>29681.705728500001</v>
      </c>
      <c r="F34" s="552">
        <f t="shared" ref="F34" si="16">SUM(G34:H34)</f>
        <v>21959.303937619974</v>
      </c>
      <c r="G34" s="550">
        <f>+'8.2 y 8.3'!H32</f>
        <v>18372.038264519975</v>
      </c>
      <c r="H34" s="551">
        <f>+'8.2 y 8.3'!C32</f>
        <v>3587.2656730999993</v>
      </c>
      <c r="I34" s="553">
        <f t="shared" ref="I34" si="17">SUM(J34:K34)</f>
        <v>26094.440055400002</v>
      </c>
      <c r="J34" s="557"/>
      <c r="K34" s="551">
        <f>+'8.2 y 8.3'!B91</f>
        <v>26094.440055400002</v>
      </c>
      <c r="L34" s="371"/>
      <c r="M34" s="375"/>
      <c r="N34" s="1654">
        <v>2021</v>
      </c>
      <c r="O34" s="1653">
        <f t="shared" ref="O34" si="18">D34</f>
        <v>18372.038264519975</v>
      </c>
      <c r="P34" s="1653">
        <f t="shared" ref="P34" si="19">E34</f>
        <v>29681.705728500001</v>
      </c>
      <c r="Q34" s="1631"/>
      <c r="R34" s="1655"/>
      <c r="S34" s="1656"/>
      <c r="T34" s="1631"/>
    </row>
    <row r="35" spans="1:20" ht="13.5" thickBot="1" x14ac:dyDescent="0.35">
      <c r="B35" s="979">
        <v>2022</v>
      </c>
      <c r="C35" s="472">
        <f>SUM(D35:E35)</f>
        <v>50433.079999999994</v>
      </c>
      <c r="D35" s="474">
        <f t="shared" si="10"/>
        <v>18638.21</v>
      </c>
      <c r="E35" s="554">
        <f t="shared" si="10"/>
        <v>31794.869999999995</v>
      </c>
      <c r="F35" s="555">
        <f t="shared" si="11"/>
        <v>22653.61</v>
      </c>
      <c r="G35" s="474">
        <f>+'8.2 y 8.3'!H33</f>
        <v>18638.21</v>
      </c>
      <c r="H35" s="554">
        <f>+'8.2 y 8.3'!C33</f>
        <v>4015.3999999999996</v>
      </c>
      <c r="I35" s="475">
        <f t="shared" si="12"/>
        <v>27779.469999999998</v>
      </c>
      <c r="J35" s="556"/>
      <c r="K35" s="554">
        <f>+'8.2 y 8.3'!B92</f>
        <v>27779.469999999998</v>
      </c>
      <c r="L35" s="371"/>
      <c r="M35" s="375"/>
      <c r="N35" s="1654">
        <v>2022</v>
      </c>
      <c r="O35" s="1653">
        <f t="shared" si="4"/>
        <v>18638.21</v>
      </c>
      <c r="P35" s="1653">
        <f t="shared" si="4"/>
        <v>31794.869999999995</v>
      </c>
      <c r="Q35" s="1656"/>
      <c r="R35" s="1655"/>
      <c r="S35" s="1655"/>
      <c r="T35" s="1631"/>
    </row>
    <row r="36" spans="1:20" s="493" customFormat="1" ht="18.75" customHeight="1" x14ac:dyDescent="0.25">
      <c r="A36" s="492"/>
      <c r="B36" s="755" t="s">
        <v>161</v>
      </c>
      <c r="C36" s="1114">
        <f>(C35/C34)-1</f>
        <v>4.9514060909086055E-2</v>
      </c>
      <c r="D36" s="932">
        <f t="shared" ref="D36:I36" si="20">(D35/D34)-1</f>
        <v>1.4487871821715848E-2</v>
      </c>
      <c r="E36" s="932">
        <f>(E35/E34)-1</f>
        <v>7.1194165551980326E-2</v>
      </c>
      <c r="F36" s="944">
        <f t="shared" si="20"/>
        <v>3.1617853842378141E-2</v>
      </c>
      <c r="G36" s="932">
        <f t="shared" si="20"/>
        <v>1.4487871821715848E-2</v>
      </c>
      <c r="H36" s="950">
        <f t="shared" si="20"/>
        <v>0.11934837447654667</v>
      </c>
      <c r="I36" s="944">
        <f t="shared" si="20"/>
        <v>6.4574290194485018E-2</v>
      </c>
      <c r="J36" s="932" t="s">
        <v>32</v>
      </c>
      <c r="K36" s="950">
        <f t="shared" ref="K36" si="21">(K35/K34)-1</f>
        <v>6.4574290194485018E-2</v>
      </c>
    </row>
    <row r="37" spans="1:20" s="493" customFormat="1" ht="18.75" customHeight="1" x14ac:dyDescent="0.25">
      <c r="A37" s="492"/>
      <c r="B37" s="496" t="s">
        <v>162</v>
      </c>
      <c r="C37" s="707">
        <f>((C35/C30)^(1/5))-1</f>
        <v>2.6627661220739895E-2</v>
      </c>
      <c r="D37" s="945">
        <f t="shared" ref="D37:I37" si="22">((D35/D30)^(1/5))-1</f>
        <v>-8.6536022087605469E-3</v>
      </c>
      <c r="E37" s="980">
        <f t="shared" si="22"/>
        <v>5.1310423362349145E-2</v>
      </c>
      <c r="F37" s="707">
        <f t="shared" si="22"/>
        <v>2.2582767177987684E-3</v>
      </c>
      <c r="G37" s="945">
        <f t="shared" si="22"/>
        <v>-8.6536022087605469E-3</v>
      </c>
      <c r="H37" s="980">
        <f t="shared" si="22"/>
        <v>6.4799123875003861E-2</v>
      </c>
      <c r="I37" s="1115">
        <f t="shared" si="22"/>
        <v>4.9443534963233615E-2</v>
      </c>
      <c r="J37" s="1116" t="s">
        <v>32</v>
      </c>
      <c r="K37" s="980">
        <f t="shared" ref="K37" si="23">((K35/K30)^(1/5))-1</f>
        <v>4.9443534963233615E-2</v>
      </c>
      <c r="M37" s="910"/>
    </row>
    <row r="38" spans="1:20" s="493" customFormat="1" ht="18.75" customHeight="1" x14ac:dyDescent="0.25">
      <c r="A38" s="492"/>
      <c r="B38" s="495" t="s">
        <v>163</v>
      </c>
      <c r="C38" s="1117">
        <f>(C35/C25)-1</f>
        <v>0.49883503685516994</v>
      </c>
      <c r="D38" s="940">
        <f t="shared" ref="D38:I38" si="24">(D35/D25)-1</f>
        <v>-1.7084539221692951E-2</v>
      </c>
      <c r="E38" s="1118">
        <f t="shared" si="24"/>
        <v>1.1649758525950724</v>
      </c>
      <c r="F38" s="1117">
        <f t="shared" si="24"/>
        <v>8.1457514584326374E-2</v>
      </c>
      <c r="G38" s="940">
        <f t="shared" si="24"/>
        <v>-1.7084539221692951E-2</v>
      </c>
      <c r="H38" s="1118">
        <f t="shared" si="24"/>
        <v>1.0227437062547953</v>
      </c>
      <c r="I38" s="908">
        <f t="shared" si="24"/>
        <v>1.1872064711241839</v>
      </c>
      <c r="J38" s="923" t="s">
        <v>32</v>
      </c>
      <c r="K38" s="1118">
        <f t="shared" ref="K38" si="25">(K35/K25)-1</f>
        <v>1.1872064711241839</v>
      </c>
    </row>
    <row r="39" spans="1:20" s="493" customFormat="1" ht="18.75" customHeight="1" thickBot="1" x14ac:dyDescent="0.3">
      <c r="A39" s="492"/>
      <c r="B39" s="911" t="s">
        <v>164</v>
      </c>
      <c r="C39" s="947">
        <f>((C35/C25)^(1/10))-1</f>
        <v>4.1298837777787201E-2</v>
      </c>
      <c r="D39" s="870">
        <f t="shared" ref="D39:I39" si="26">((D35/D25)^(1/10))-1</f>
        <v>-1.7217324927429889E-3</v>
      </c>
      <c r="E39" s="1119">
        <f t="shared" si="26"/>
        <v>8.0302312325042591E-2</v>
      </c>
      <c r="F39" s="947">
        <f t="shared" si="26"/>
        <v>7.8617104113272163E-3</v>
      </c>
      <c r="G39" s="870">
        <f t="shared" si="26"/>
        <v>-1.7217324927429889E-3</v>
      </c>
      <c r="H39" s="1119">
        <f t="shared" si="26"/>
        <v>7.2986075097211334E-2</v>
      </c>
      <c r="I39" s="869">
        <f t="shared" si="26"/>
        <v>8.1406506366427989E-2</v>
      </c>
      <c r="J39" s="870" t="s">
        <v>32</v>
      </c>
      <c r="K39" s="1119">
        <f t="shared" ref="K39" si="27">((K35/K25)^(1/10))-1</f>
        <v>8.1406506366427989E-2</v>
      </c>
    </row>
    <row r="40" spans="1:20" x14ac:dyDescent="0.25">
      <c r="B40" s="389"/>
      <c r="C40" s="387"/>
      <c r="D40" s="333"/>
      <c r="E40" s="333"/>
      <c r="F40" s="333"/>
      <c r="G40" s="333"/>
      <c r="H40" s="333"/>
      <c r="I40" s="333"/>
      <c r="J40" s="333"/>
      <c r="K40" s="333"/>
    </row>
    <row r="41" spans="1:20" x14ac:dyDescent="0.25">
      <c r="B41" s="388"/>
      <c r="C41" s="498"/>
      <c r="D41" s="333"/>
      <c r="E41" s="333"/>
      <c r="F41" s="333"/>
      <c r="G41" s="333"/>
      <c r="H41" s="333"/>
      <c r="I41" s="333"/>
      <c r="J41" s="333"/>
      <c r="K41" s="333"/>
    </row>
    <row r="42" spans="1:20" ht="13" x14ac:dyDescent="0.3">
      <c r="B42" s="426"/>
      <c r="C42" s="333"/>
      <c r="D42" s="333"/>
      <c r="E42" s="333"/>
      <c r="F42" s="333"/>
      <c r="G42" s="333"/>
      <c r="H42" s="333"/>
      <c r="I42" s="333"/>
      <c r="J42" s="333"/>
      <c r="K42" s="333"/>
      <c r="N42" s="1631"/>
      <c r="O42" s="1631" t="s">
        <v>56</v>
      </c>
      <c r="P42" s="1631" t="s">
        <v>54</v>
      </c>
      <c r="Q42" s="1631"/>
      <c r="R42" s="1631"/>
      <c r="S42" s="1631"/>
      <c r="T42" s="1631"/>
    </row>
    <row r="43" spans="1:20" x14ac:dyDescent="0.25"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N43" s="1631"/>
      <c r="O43" s="1653"/>
      <c r="P43" s="1653"/>
      <c r="Q43" s="1631"/>
      <c r="R43" s="1631"/>
      <c r="S43" s="1631"/>
      <c r="T43" s="1631"/>
    </row>
    <row r="44" spans="1:20" ht="14" x14ac:dyDescent="0.3"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N44" s="1631"/>
      <c r="O44" s="1658"/>
      <c r="P44" s="1653"/>
      <c r="Q44" s="1631"/>
      <c r="R44" s="1603"/>
      <c r="S44" s="1631" t="s">
        <v>56</v>
      </c>
      <c r="T44" s="1631" t="s">
        <v>54</v>
      </c>
    </row>
    <row r="45" spans="1:20" x14ac:dyDescent="0.25"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N45" s="1631">
        <v>1995</v>
      </c>
      <c r="O45" s="1653">
        <f t="shared" ref="O45:O70" si="28">F8</f>
        <v>8673.7080870000045</v>
      </c>
      <c r="P45" s="1653">
        <f t="shared" ref="P45:P70" si="29">I8</f>
        <v>1175.548041</v>
      </c>
      <c r="Q45" s="1631"/>
      <c r="R45" s="1631">
        <f>+N45</f>
        <v>1995</v>
      </c>
      <c r="S45" s="1627">
        <f>+O45</f>
        <v>8673.7080870000045</v>
      </c>
      <c r="T45" s="1627">
        <f>+P45</f>
        <v>1175.548041</v>
      </c>
    </row>
    <row r="46" spans="1:20" x14ac:dyDescent="0.25"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N46" s="1631">
        <v>1996</v>
      </c>
      <c r="O46" s="1653">
        <f t="shared" si="28"/>
        <v>8770.6107359999914</v>
      </c>
      <c r="P46" s="1653">
        <f t="shared" si="29"/>
        <v>1560.2288619999999</v>
      </c>
      <c r="Q46" s="1631"/>
      <c r="R46" s="1631">
        <f>+N50</f>
        <v>2000</v>
      </c>
      <c r="S46" s="1612">
        <f>+O50</f>
        <v>10763.269271000014</v>
      </c>
      <c r="T46" s="1612">
        <f>+P50</f>
        <v>4782.3261210000001</v>
      </c>
    </row>
    <row r="47" spans="1:20" x14ac:dyDescent="0.25"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N47" s="1631">
        <v>1997</v>
      </c>
      <c r="O47" s="1653">
        <f t="shared" si="28"/>
        <v>9377.8946799999903</v>
      </c>
      <c r="P47" s="1653">
        <f t="shared" si="29"/>
        <v>3073.3354799999997</v>
      </c>
      <c r="Q47" s="1631"/>
      <c r="R47" s="1631">
        <f>+N55</f>
        <v>2005</v>
      </c>
      <c r="S47" s="1612">
        <f>+O55</f>
        <v>12914.287800222222</v>
      </c>
      <c r="T47" s="1612">
        <f>+P55</f>
        <v>7787.095080000001</v>
      </c>
    </row>
    <row r="48" spans="1:20" x14ac:dyDescent="0.25"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N48" s="1631">
        <v>1998</v>
      </c>
      <c r="O48" s="1653">
        <f t="shared" si="28"/>
        <v>9878.6615729999976</v>
      </c>
      <c r="P48" s="1653">
        <f t="shared" si="29"/>
        <v>4129.9152500000009</v>
      </c>
      <c r="Q48" s="1631"/>
      <c r="R48" s="1631">
        <f t="shared" ref="R48:R60" si="30">+N60</f>
        <v>2010</v>
      </c>
      <c r="S48" s="1612">
        <f t="shared" ref="S48:S60" si="31">+O60</f>
        <v>18195.325098000001</v>
      </c>
      <c r="T48" s="1612">
        <f t="shared" ref="T48:T60" si="32">+P60</f>
        <v>11240.850026</v>
      </c>
    </row>
    <row r="49" spans="2:20" x14ac:dyDescent="0.25">
      <c r="B49" s="333"/>
      <c r="C49" s="333"/>
      <c r="D49" s="333"/>
      <c r="E49" s="333"/>
      <c r="F49" s="333"/>
      <c r="G49" s="333"/>
      <c r="H49" s="333"/>
      <c r="I49" s="333"/>
      <c r="J49" s="333"/>
      <c r="K49" s="333"/>
      <c r="N49" s="1631">
        <v>1999</v>
      </c>
      <c r="O49" s="1653">
        <f t="shared" si="28"/>
        <v>10198.891027000011</v>
      </c>
      <c r="P49" s="1653">
        <f t="shared" si="29"/>
        <v>4393.000532</v>
      </c>
      <c r="Q49" s="1631"/>
      <c r="R49" s="1631">
        <f t="shared" si="30"/>
        <v>2011</v>
      </c>
      <c r="S49" s="1612">
        <f t="shared" si="31"/>
        <v>19753.040698251101</v>
      </c>
      <c r="T49" s="1612">
        <f t="shared" si="32"/>
        <v>12067.310106999999</v>
      </c>
    </row>
    <row r="50" spans="2:20" x14ac:dyDescent="0.25"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N50" s="1631">
        <v>2000</v>
      </c>
      <c r="O50" s="1653">
        <f t="shared" si="28"/>
        <v>10763.269271000014</v>
      </c>
      <c r="P50" s="1653">
        <f t="shared" si="29"/>
        <v>4782.3261210000001</v>
      </c>
      <c r="Q50" s="1631"/>
      <c r="R50" s="1631">
        <f t="shared" si="30"/>
        <v>2012</v>
      </c>
      <c r="S50" s="1612">
        <f t="shared" si="31"/>
        <v>20947.295381</v>
      </c>
      <c r="T50" s="1612">
        <f t="shared" si="32"/>
        <v>12700.89055</v>
      </c>
    </row>
    <row r="51" spans="2:20" x14ac:dyDescent="0.25"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N51" s="1631">
        <v>2001</v>
      </c>
      <c r="O51" s="1653">
        <f t="shared" si="28"/>
        <v>10522.374724999987</v>
      </c>
      <c r="P51" s="1653">
        <f t="shared" si="29"/>
        <v>6106.3798200000001</v>
      </c>
      <c r="Q51" s="1631"/>
      <c r="R51" s="1631">
        <f t="shared" si="30"/>
        <v>2013</v>
      </c>
      <c r="S51" s="1612">
        <f t="shared" si="31"/>
        <v>21938.578439286004</v>
      </c>
      <c r="T51" s="1612">
        <f t="shared" si="32"/>
        <v>13674.172223</v>
      </c>
    </row>
    <row r="52" spans="2:20" x14ac:dyDescent="0.25">
      <c r="B52" s="333"/>
      <c r="C52" s="333"/>
      <c r="D52" s="333"/>
      <c r="E52" s="333"/>
      <c r="F52" s="333"/>
      <c r="G52" s="333"/>
      <c r="H52" s="333"/>
      <c r="I52" s="333"/>
      <c r="J52" s="333"/>
      <c r="K52" s="333"/>
      <c r="N52" s="1654">
        <v>2002</v>
      </c>
      <c r="O52" s="1653">
        <f t="shared" si="28"/>
        <v>11113.547163000001</v>
      </c>
      <c r="P52" s="1653">
        <f t="shared" si="29"/>
        <v>6491.7787508479996</v>
      </c>
      <c r="Q52" s="1631"/>
      <c r="R52" s="1631">
        <f t="shared" si="30"/>
        <v>2014</v>
      </c>
      <c r="S52" s="1612">
        <f t="shared" si="31"/>
        <v>22779.996057398399</v>
      </c>
      <c r="T52" s="1612">
        <f t="shared" si="32"/>
        <v>14545.805000799999</v>
      </c>
    </row>
    <row r="53" spans="2:20" x14ac:dyDescent="0.25"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N53" s="1631">
        <v>2003</v>
      </c>
      <c r="O53" s="1653">
        <f t="shared" si="28"/>
        <v>11303.613573000001</v>
      </c>
      <c r="P53" s="1653">
        <f t="shared" si="29"/>
        <v>7071.721837000001</v>
      </c>
      <c r="Q53" s="1631"/>
      <c r="R53" s="1631">
        <f t="shared" si="30"/>
        <v>2015</v>
      </c>
      <c r="S53" s="1612">
        <f t="shared" si="31"/>
        <v>23494.038700000001</v>
      </c>
      <c r="T53" s="1612">
        <f t="shared" si="32"/>
        <v>16280.711282799997</v>
      </c>
    </row>
    <row r="54" spans="2:20" x14ac:dyDescent="0.25"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N54" s="1654">
        <v>2004</v>
      </c>
      <c r="O54" s="1653">
        <f t="shared" si="28"/>
        <v>12001.305316000002</v>
      </c>
      <c r="P54" s="1653">
        <f t="shared" si="29"/>
        <v>7639.3457939999998</v>
      </c>
      <c r="Q54" s="1631"/>
      <c r="R54" s="1631">
        <f t="shared" si="30"/>
        <v>2016</v>
      </c>
      <c r="S54" s="1612">
        <f t="shared" si="31"/>
        <v>22886.332353999984</v>
      </c>
      <c r="T54" s="1612">
        <f t="shared" si="32"/>
        <v>20480.666756700004</v>
      </c>
    </row>
    <row r="55" spans="2:20" x14ac:dyDescent="0.25"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N55" s="1631">
        <v>2005</v>
      </c>
      <c r="O55" s="1653">
        <f t="shared" si="28"/>
        <v>12914.287800222222</v>
      </c>
      <c r="P55" s="1653">
        <f t="shared" si="29"/>
        <v>7787.095080000001</v>
      </c>
      <c r="Q55" s="1631"/>
      <c r="R55" s="1631">
        <f t="shared" si="30"/>
        <v>2017</v>
      </c>
      <c r="S55" s="1612">
        <f t="shared" si="31"/>
        <v>22399.543247370118</v>
      </c>
      <c r="T55" s="1612">
        <f t="shared" si="32"/>
        <v>21823.709569899998</v>
      </c>
    </row>
    <row r="56" spans="2:20" x14ac:dyDescent="0.25"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N56" s="1654">
        <v>2006</v>
      </c>
      <c r="O56" s="1653">
        <f t="shared" si="28"/>
        <v>14043.638326999999</v>
      </c>
      <c r="P56" s="1653">
        <f t="shared" si="29"/>
        <v>8246.4228259999982</v>
      </c>
      <c r="Q56" s="1631"/>
      <c r="R56" s="1631">
        <f t="shared" si="30"/>
        <v>2018</v>
      </c>
      <c r="S56" s="1612">
        <f t="shared" si="31"/>
        <v>22073.874790390073</v>
      </c>
      <c r="T56" s="1612">
        <f t="shared" si="32"/>
        <v>23793.913051800002</v>
      </c>
    </row>
    <row r="57" spans="2:20" x14ac:dyDescent="0.25">
      <c r="B57" s="333"/>
      <c r="C57" s="333"/>
      <c r="D57" s="333"/>
      <c r="E57" s="333"/>
      <c r="F57" s="333"/>
      <c r="G57" s="333"/>
      <c r="H57" s="333"/>
      <c r="I57" s="333"/>
      <c r="J57" s="333"/>
      <c r="K57" s="333"/>
      <c r="N57" s="1654">
        <v>2007</v>
      </c>
      <c r="O57" s="1653">
        <f t="shared" si="28"/>
        <v>15032.180855000001</v>
      </c>
      <c r="P57" s="1653">
        <f t="shared" si="29"/>
        <v>9689.5676980000007</v>
      </c>
      <c r="Q57" s="1631"/>
      <c r="R57" s="1631">
        <f t="shared" si="30"/>
        <v>2019</v>
      </c>
      <c r="S57" s="1612">
        <f t="shared" si="31"/>
        <v>22355.02466478002</v>
      </c>
      <c r="T57" s="1612">
        <f t="shared" si="32"/>
        <v>25065.7132542</v>
      </c>
    </row>
    <row r="58" spans="2:20" x14ac:dyDescent="0.25">
      <c r="B58" s="333"/>
      <c r="C58" s="333"/>
      <c r="D58" s="333"/>
      <c r="E58" s="333"/>
      <c r="F58" s="333"/>
      <c r="G58" s="333"/>
      <c r="H58" s="333"/>
      <c r="I58" s="333"/>
      <c r="J58" s="333"/>
      <c r="K58" s="333"/>
      <c r="N58" s="1654">
        <v>2008</v>
      </c>
      <c r="O58" s="1653">
        <f t="shared" si="28"/>
        <v>16297.176545</v>
      </c>
      <c r="P58" s="1653">
        <f t="shared" si="29"/>
        <v>10667.238051</v>
      </c>
      <c r="Q58" s="1631"/>
      <c r="R58" s="1631">
        <f t="shared" si="30"/>
        <v>2020</v>
      </c>
      <c r="S58" s="1612">
        <f t="shared" si="31"/>
        <v>20893.361044550024</v>
      </c>
      <c r="T58" s="1612">
        <f t="shared" si="32"/>
        <v>22857.708323599996</v>
      </c>
    </row>
    <row r="59" spans="2:20" x14ac:dyDescent="0.25">
      <c r="B59" s="333"/>
      <c r="C59" s="333"/>
      <c r="D59" s="333"/>
      <c r="E59" s="333"/>
      <c r="F59" s="333"/>
      <c r="G59" s="333"/>
      <c r="H59" s="333"/>
      <c r="I59" s="333"/>
      <c r="J59" s="333"/>
      <c r="K59" s="333"/>
      <c r="N59" s="1654">
        <v>2009</v>
      </c>
      <c r="O59" s="1653">
        <f t="shared" si="28"/>
        <v>17000.664144999995</v>
      </c>
      <c r="P59" s="1653">
        <f t="shared" si="29"/>
        <v>10086.341632</v>
      </c>
      <c r="Q59" s="1631"/>
      <c r="R59" s="1631">
        <f t="shared" si="30"/>
        <v>2021</v>
      </c>
      <c r="S59" s="1612">
        <f t="shared" si="31"/>
        <v>21959.303937619974</v>
      </c>
      <c r="T59" s="1612">
        <f t="shared" si="32"/>
        <v>26094.440055400002</v>
      </c>
    </row>
    <row r="60" spans="2:20" x14ac:dyDescent="0.25">
      <c r="B60" s="333"/>
      <c r="C60" s="333"/>
      <c r="D60" s="333"/>
      <c r="E60" s="333"/>
      <c r="F60" s="333"/>
      <c r="G60" s="333"/>
      <c r="H60" s="333"/>
      <c r="I60" s="333"/>
      <c r="J60" s="333"/>
      <c r="K60" s="333"/>
      <c r="N60" s="1654">
        <v>2010</v>
      </c>
      <c r="O60" s="1653">
        <f t="shared" si="28"/>
        <v>18195.325098000001</v>
      </c>
      <c r="P60" s="1653">
        <f t="shared" si="29"/>
        <v>11240.850026</v>
      </c>
      <c r="Q60" s="1631"/>
      <c r="R60" s="1631">
        <f t="shared" si="30"/>
        <v>2022</v>
      </c>
      <c r="S60" s="1612">
        <f t="shared" si="31"/>
        <v>22653.61</v>
      </c>
      <c r="T60" s="1612">
        <f t="shared" si="32"/>
        <v>27779.469999999998</v>
      </c>
    </row>
    <row r="61" spans="2:20" x14ac:dyDescent="0.25">
      <c r="B61" s="333"/>
      <c r="C61" s="333"/>
      <c r="D61" s="333"/>
      <c r="E61" s="333"/>
      <c r="F61" s="333"/>
      <c r="G61" s="333"/>
      <c r="H61" s="333"/>
      <c r="I61" s="333"/>
      <c r="J61" s="333"/>
      <c r="K61" s="333"/>
      <c r="N61" s="1654">
        <v>2011</v>
      </c>
      <c r="O61" s="1653">
        <f t="shared" si="28"/>
        <v>19753.040698251101</v>
      </c>
      <c r="P61" s="1653">
        <f t="shared" si="29"/>
        <v>12067.310106999999</v>
      </c>
      <c r="Q61" s="1631"/>
      <c r="R61" s="1631"/>
      <c r="S61" s="1631"/>
      <c r="T61" s="1631"/>
    </row>
    <row r="62" spans="2:20" x14ac:dyDescent="0.25">
      <c r="B62" s="333"/>
      <c r="C62" s="333"/>
      <c r="D62" s="333"/>
      <c r="E62" s="333"/>
      <c r="F62" s="333"/>
      <c r="G62" s="333"/>
      <c r="H62" s="333"/>
      <c r="I62" s="333"/>
      <c r="J62" s="333"/>
      <c r="K62" s="333"/>
      <c r="N62" s="1654">
        <v>2012</v>
      </c>
      <c r="O62" s="1653">
        <f t="shared" si="28"/>
        <v>20947.295381</v>
      </c>
      <c r="P62" s="1653">
        <f t="shared" si="29"/>
        <v>12700.89055</v>
      </c>
      <c r="Q62" s="1631"/>
      <c r="R62" s="1631"/>
      <c r="S62" s="1631"/>
      <c r="T62" s="1631"/>
    </row>
    <row r="63" spans="2:20" x14ac:dyDescent="0.25">
      <c r="B63" s="333"/>
      <c r="C63" s="333"/>
      <c r="D63" s="333"/>
      <c r="E63" s="333"/>
      <c r="F63" s="333"/>
      <c r="G63" s="333"/>
      <c r="H63" s="333"/>
      <c r="I63" s="333"/>
      <c r="J63" s="333"/>
      <c r="K63" s="333"/>
      <c r="N63" s="1654">
        <v>2013</v>
      </c>
      <c r="O63" s="1653">
        <f t="shared" si="28"/>
        <v>21938.578439286004</v>
      </c>
      <c r="P63" s="1653">
        <f t="shared" si="29"/>
        <v>13674.172223</v>
      </c>
      <c r="Q63" s="1631"/>
      <c r="R63" s="1631"/>
      <c r="S63" s="1631"/>
      <c r="T63" s="1631"/>
    </row>
    <row r="64" spans="2:20" x14ac:dyDescent="0.25">
      <c r="B64" s="333"/>
      <c r="C64" s="333"/>
      <c r="D64" s="333"/>
      <c r="E64" s="333"/>
      <c r="F64" s="333"/>
      <c r="G64" s="333"/>
      <c r="H64" s="333"/>
      <c r="I64" s="333"/>
      <c r="J64" s="333"/>
      <c r="K64" s="333"/>
      <c r="N64" s="1654">
        <v>2014</v>
      </c>
      <c r="O64" s="1653">
        <f t="shared" si="28"/>
        <v>22779.996057398399</v>
      </c>
      <c r="P64" s="1653">
        <f t="shared" si="29"/>
        <v>14545.805000799999</v>
      </c>
      <c r="Q64" s="1631"/>
      <c r="R64" s="1631"/>
      <c r="S64" s="1631"/>
      <c r="T64" s="1631"/>
    </row>
    <row r="65" spans="2:20" x14ac:dyDescent="0.25">
      <c r="B65" s="333"/>
      <c r="C65" s="333"/>
      <c r="D65" s="333"/>
      <c r="E65" s="333"/>
      <c r="F65" s="333"/>
      <c r="G65" s="333"/>
      <c r="H65" s="333"/>
      <c r="I65" s="333"/>
      <c r="J65" s="333"/>
      <c r="K65" s="333"/>
      <c r="N65" s="1654">
        <v>2015</v>
      </c>
      <c r="O65" s="1653">
        <f t="shared" si="28"/>
        <v>23494.038700000001</v>
      </c>
      <c r="P65" s="1653">
        <f t="shared" si="29"/>
        <v>16280.711282799997</v>
      </c>
      <c r="Q65" s="1631"/>
      <c r="R65" s="1631"/>
      <c r="S65" s="1631"/>
      <c r="T65" s="1631"/>
    </row>
    <row r="66" spans="2:20" x14ac:dyDescent="0.25">
      <c r="B66" s="333"/>
      <c r="C66" s="333"/>
      <c r="D66" s="333"/>
      <c r="E66" s="333"/>
      <c r="F66" s="333"/>
      <c r="G66" s="333"/>
      <c r="H66" s="333"/>
      <c r="I66" s="333"/>
      <c r="J66" s="333"/>
      <c r="K66" s="333"/>
      <c r="N66" s="1654">
        <v>2016</v>
      </c>
      <c r="O66" s="1653">
        <f t="shared" si="28"/>
        <v>22886.332353999984</v>
      </c>
      <c r="P66" s="1653">
        <f t="shared" si="29"/>
        <v>20480.666756700004</v>
      </c>
      <c r="Q66" s="1631"/>
      <c r="R66" s="1631"/>
      <c r="S66" s="1631"/>
      <c r="T66" s="1631"/>
    </row>
    <row r="67" spans="2:20" x14ac:dyDescent="0.25">
      <c r="B67" s="333"/>
      <c r="C67" s="333"/>
      <c r="D67" s="333"/>
      <c r="E67" s="333"/>
      <c r="F67" s="333"/>
      <c r="G67" s="333"/>
      <c r="H67" s="333"/>
      <c r="I67" s="333"/>
      <c r="J67" s="333"/>
      <c r="K67" s="333"/>
      <c r="N67" s="1654">
        <v>2017</v>
      </c>
      <c r="O67" s="1653">
        <f t="shared" si="28"/>
        <v>22399.543247370118</v>
      </c>
      <c r="P67" s="1653">
        <f t="shared" si="29"/>
        <v>21823.709569899998</v>
      </c>
      <c r="Q67" s="1631"/>
      <c r="R67" s="1631"/>
      <c r="S67" s="1631"/>
      <c r="T67" s="1631"/>
    </row>
    <row r="68" spans="2:20" x14ac:dyDescent="0.25">
      <c r="B68" s="333"/>
      <c r="C68" s="333"/>
      <c r="D68" s="333"/>
      <c r="E68" s="333"/>
      <c r="F68" s="333"/>
      <c r="G68" s="333"/>
      <c r="H68" s="333"/>
      <c r="I68" s="333"/>
      <c r="J68" s="333"/>
      <c r="K68" s="333"/>
      <c r="N68" s="1654">
        <v>2018</v>
      </c>
      <c r="O68" s="1653">
        <f t="shared" si="28"/>
        <v>22073.874790390073</v>
      </c>
      <c r="P68" s="1653">
        <f t="shared" si="29"/>
        <v>23793.913051800002</v>
      </c>
      <c r="Q68" s="1631"/>
      <c r="R68" s="1631"/>
      <c r="S68" s="1631"/>
      <c r="T68" s="1631"/>
    </row>
    <row r="69" spans="2:20" x14ac:dyDescent="0.25"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N69" s="1654">
        <v>2019</v>
      </c>
      <c r="O69" s="1653">
        <f t="shared" si="28"/>
        <v>22355.02466478002</v>
      </c>
      <c r="P69" s="1653">
        <f t="shared" si="29"/>
        <v>25065.7132542</v>
      </c>
      <c r="Q69" s="1631"/>
      <c r="R69" s="1631"/>
      <c r="S69" s="1631"/>
      <c r="T69" s="1631"/>
    </row>
    <row r="70" spans="2:20" x14ac:dyDescent="0.25">
      <c r="B70" s="333"/>
      <c r="C70" s="333"/>
      <c r="D70" s="333"/>
      <c r="E70" s="333"/>
      <c r="F70" s="333"/>
      <c r="G70" s="333"/>
      <c r="H70" s="333"/>
      <c r="I70" s="333"/>
      <c r="J70" s="333"/>
      <c r="K70" s="333"/>
      <c r="N70" s="1654">
        <v>2020</v>
      </c>
      <c r="O70" s="1653">
        <f t="shared" si="28"/>
        <v>20893.361044550024</v>
      </c>
      <c r="P70" s="1653">
        <f t="shared" si="29"/>
        <v>22857.708323599996</v>
      </c>
      <c r="Q70" s="1631"/>
      <c r="R70" s="1631"/>
      <c r="S70" s="1631"/>
      <c r="T70" s="1631"/>
    </row>
    <row r="71" spans="2:20" x14ac:dyDescent="0.25">
      <c r="B71" s="333"/>
      <c r="C71" s="333"/>
      <c r="D71" s="333"/>
      <c r="E71" s="333"/>
      <c r="F71" s="333"/>
      <c r="G71" s="333"/>
      <c r="H71" s="333"/>
      <c r="I71" s="333"/>
      <c r="J71" s="333"/>
      <c r="K71" s="333"/>
      <c r="N71" s="1654">
        <v>2021</v>
      </c>
      <c r="O71" s="1653">
        <f t="shared" ref="O71:O72" si="33">F34</f>
        <v>21959.303937619974</v>
      </c>
      <c r="P71" s="1653">
        <f t="shared" ref="P71:P72" si="34">I34</f>
        <v>26094.440055400002</v>
      </c>
      <c r="Q71" s="1631"/>
      <c r="R71" s="1631"/>
      <c r="S71" s="1631"/>
      <c r="T71" s="1631"/>
    </row>
    <row r="72" spans="2:20" x14ac:dyDescent="0.25">
      <c r="B72" s="333"/>
      <c r="C72" s="333"/>
      <c r="D72" s="333"/>
      <c r="E72" s="333"/>
      <c r="F72" s="333"/>
      <c r="G72" s="333"/>
      <c r="H72" s="333"/>
      <c r="I72" s="333"/>
      <c r="J72" s="333"/>
      <c r="K72" s="333"/>
      <c r="N72" s="1654">
        <v>2022</v>
      </c>
      <c r="O72" s="1653">
        <f t="shared" si="33"/>
        <v>22653.61</v>
      </c>
      <c r="P72" s="1653">
        <f t="shared" si="34"/>
        <v>27779.469999999998</v>
      </c>
      <c r="Q72" s="1656"/>
      <c r="R72" s="1657"/>
      <c r="S72" s="1657"/>
      <c r="T72" s="1631"/>
    </row>
    <row r="73" spans="2:20" x14ac:dyDescent="0.25">
      <c r="B73" s="333"/>
      <c r="C73" s="333"/>
      <c r="D73" s="333"/>
      <c r="E73" s="333"/>
      <c r="F73" s="333"/>
      <c r="G73" s="333"/>
      <c r="H73" s="333"/>
      <c r="I73" s="333"/>
      <c r="J73" s="333"/>
      <c r="K73" s="333"/>
      <c r="N73" s="1631"/>
      <c r="O73" s="1631"/>
      <c r="P73" s="1631"/>
      <c r="Q73" s="1631"/>
      <c r="R73" s="1631"/>
      <c r="S73" s="1631"/>
      <c r="T73" s="1631"/>
    </row>
    <row r="74" spans="2:20" x14ac:dyDescent="0.25">
      <c r="B74" s="333"/>
      <c r="C74" s="333"/>
      <c r="D74" s="333"/>
      <c r="E74" s="333"/>
      <c r="F74" s="333"/>
      <c r="G74" s="333"/>
      <c r="H74" s="333"/>
      <c r="I74" s="333"/>
      <c r="J74" s="333"/>
      <c r="K74" s="333"/>
    </row>
    <row r="75" spans="2:20" x14ac:dyDescent="0.25">
      <c r="B75" s="333"/>
      <c r="C75" s="333"/>
      <c r="D75" s="333"/>
      <c r="E75" s="333"/>
      <c r="F75" s="333"/>
      <c r="G75" s="333"/>
      <c r="H75" s="333"/>
      <c r="I75" s="333"/>
      <c r="J75" s="333"/>
      <c r="K75" s="333"/>
    </row>
    <row r="76" spans="2:20" x14ac:dyDescent="0.25">
      <c r="B76" s="333"/>
      <c r="C76" s="333"/>
      <c r="D76" s="333"/>
      <c r="E76" s="333"/>
      <c r="F76" s="333"/>
      <c r="G76" s="333"/>
      <c r="H76" s="333"/>
      <c r="I76" s="333"/>
      <c r="J76" s="333"/>
      <c r="K76" s="333"/>
    </row>
    <row r="77" spans="2:20" x14ac:dyDescent="0.25">
      <c r="B77" s="333"/>
      <c r="C77" s="333"/>
      <c r="D77" s="333"/>
      <c r="E77" s="333"/>
      <c r="F77" s="333"/>
      <c r="G77" s="333"/>
      <c r="H77" s="333"/>
      <c r="I77" s="333"/>
      <c r="J77" s="333"/>
      <c r="K77" s="333"/>
    </row>
    <row r="78" spans="2:20" x14ac:dyDescent="0.25">
      <c r="B78" s="333"/>
      <c r="C78" s="333"/>
      <c r="D78" s="333"/>
      <c r="E78" s="333"/>
      <c r="F78" s="333"/>
      <c r="G78" s="333"/>
      <c r="H78" s="333"/>
      <c r="I78" s="333"/>
      <c r="J78" s="333"/>
      <c r="K78" s="333"/>
    </row>
    <row r="79" spans="2:20" x14ac:dyDescent="0.25">
      <c r="B79" s="333"/>
      <c r="C79" s="333"/>
      <c r="D79" s="333"/>
      <c r="E79" s="333"/>
      <c r="F79" s="333"/>
      <c r="G79" s="333"/>
      <c r="H79" s="333"/>
      <c r="I79" s="333"/>
      <c r="J79" s="333"/>
      <c r="K79" s="333"/>
    </row>
    <row r="80" spans="2:20" x14ac:dyDescent="0.25">
      <c r="B80" s="333"/>
      <c r="C80" s="333"/>
      <c r="D80" s="333"/>
      <c r="E80" s="333"/>
      <c r="F80" s="333"/>
      <c r="G80" s="333"/>
      <c r="H80" s="333"/>
      <c r="I80" s="333"/>
      <c r="J80" s="333"/>
      <c r="K80" s="333"/>
    </row>
    <row r="81" spans="2:11" x14ac:dyDescent="0.25">
      <c r="B81" s="333"/>
      <c r="C81" s="333"/>
      <c r="D81" s="333"/>
      <c r="E81" s="333"/>
      <c r="F81" s="333"/>
      <c r="G81" s="333"/>
      <c r="H81" s="333"/>
      <c r="I81" s="333"/>
      <c r="J81" s="333"/>
      <c r="K81" s="333"/>
    </row>
    <row r="82" spans="2:11" x14ac:dyDescent="0.25">
      <c r="B82" s="333"/>
      <c r="C82" s="333"/>
      <c r="D82" s="333"/>
      <c r="E82" s="333"/>
      <c r="F82" s="333"/>
      <c r="G82" s="333"/>
      <c r="H82" s="333"/>
      <c r="I82" s="333"/>
      <c r="J82" s="333"/>
      <c r="K82" s="333"/>
    </row>
    <row r="83" spans="2:11" x14ac:dyDescent="0.25">
      <c r="B83" s="333"/>
      <c r="C83" s="333"/>
      <c r="D83" s="333"/>
      <c r="E83" s="333"/>
      <c r="F83" s="333"/>
      <c r="G83" s="333"/>
      <c r="H83" s="333"/>
      <c r="I83" s="333"/>
      <c r="J83" s="333"/>
      <c r="K83" s="333"/>
    </row>
    <row r="84" spans="2:11" x14ac:dyDescent="0.25">
      <c r="B84" s="333"/>
      <c r="C84" s="333"/>
      <c r="D84" s="333"/>
      <c r="E84" s="333"/>
      <c r="F84" s="333"/>
      <c r="G84" s="333"/>
      <c r="H84" s="333"/>
      <c r="I84" s="333"/>
      <c r="J84" s="333"/>
      <c r="K84" s="333"/>
    </row>
    <row r="85" spans="2:11" x14ac:dyDescent="0.25">
      <c r="B85" s="333"/>
      <c r="C85" s="333"/>
      <c r="D85" s="333"/>
      <c r="E85" s="333"/>
      <c r="F85" s="333"/>
      <c r="G85" s="333"/>
      <c r="H85" s="333"/>
      <c r="I85" s="333"/>
      <c r="J85" s="333"/>
      <c r="K85" s="333"/>
    </row>
    <row r="86" spans="2:11" x14ac:dyDescent="0.25">
      <c r="B86" s="333"/>
      <c r="C86" s="333"/>
      <c r="D86" s="333"/>
      <c r="E86" s="333"/>
      <c r="F86" s="333"/>
      <c r="G86" s="333"/>
      <c r="H86" s="333"/>
      <c r="I86" s="333"/>
      <c r="J86" s="333"/>
      <c r="K86" s="333"/>
    </row>
    <row r="87" spans="2:11" x14ac:dyDescent="0.25">
      <c r="B87" s="333"/>
      <c r="C87" s="333"/>
      <c r="D87" s="333"/>
      <c r="E87" s="333"/>
      <c r="F87" s="333"/>
      <c r="G87" s="333"/>
      <c r="H87" s="333"/>
      <c r="I87" s="333"/>
      <c r="J87" s="333"/>
      <c r="K87" s="333"/>
    </row>
    <row r="88" spans="2:11" x14ac:dyDescent="0.25">
      <c r="B88" s="333"/>
      <c r="C88" s="333"/>
      <c r="D88" s="333"/>
      <c r="E88" s="333"/>
      <c r="F88" s="333"/>
      <c r="G88" s="333"/>
      <c r="H88" s="333"/>
      <c r="I88" s="333"/>
      <c r="J88" s="333"/>
      <c r="K88" s="333"/>
    </row>
    <row r="89" spans="2:11" x14ac:dyDescent="0.25">
      <c r="B89" s="333"/>
      <c r="C89" s="333"/>
      <c r="D89" s="333"/>
      <c r="E89" s="333"/>
      <c r="F89" s="333"/>
      <c r="G89" s="333"/>
      <c r="H89" s="333"/>
      <c r="I89" s="333"/>
      <c r="J89" s="333"/>
      <c r="K89" s="333"/>
    </row>
  </sheetData>
  <mergeCells count="4">
    <mergeCell ref="B6:B7"/>
    <mergeCell ref="C6:E6"/>
    <mergeCell ref="F6:H6"/>
    <mergeCell ref="I6:K6"/>
  </mergeCells>
  <printOptions horizontalCentered="1" verticalCentered="1"/>
  <pageMargins left="0.47244094488188981" right="0.19685039370078741" top="0.39370078740157483" bottom="0.19685039370078741" header="0" footer="0"/>
  <pageSetup paperSize="9" scale="7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155"/>
  <sheetViews>
    <sheetView showGridLines="0" view="pageBreakPreview" zoomScale="90" zoomScaleNormal="55" zoomScaleSheetLayoutView="90" workbookViewId="0">
      <selection activeCell="K117" sqref="K117"/>
    </sheetView>
  </sheetViews>
  <sheetFormatPr baseColWidth="10" defaultColWidth="11.453125" defaultRowHeight="12.5" x14ac:dyDescent="0.25"/>
  <cols>
    <col min="1" max="1" width="20" style="315" customWidth="1"/>
    <col min="2" max="2" width="15.7265625" style="315" customWidth="1"/>
    <col min="3" max="3" width="14.26953125" style="315" customWidth="1"/>
    <col min="4" max="7" width="13.26953125" style="315" customWidth="1"/>
    <col min="8" max="8" width="15.453125" style="315" customWidth="1"/>
    <col min="9" max="11" width="13.54296875" style="315" customWidth="1"/>
    <col min="12" max="12" width="11.54296875" style="333" bestFit="1" customWidth="1"/>
    <col min="13" max="13" width="10.54296875" style="315" bestFit="1" customWidth="1"/>
    <col min="14" max="14" width="11.26953125" style="315" customWidth="1"/>
    <col min="15" max="16384" width="11.453125" style="315"/>
  </cols>
  <sheetData>
    <row r="1" spans="1:20" ht="15.5" x14ac:dyDescent="0.35">
      <c r="A1" s="391" t="s">
        <v>221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20" x14ac:dyDescent="0.25">
      <c r="A2" s="388"/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20" ht="18" customHeight="1" thickBot="1" x14ac:dyDescent="0.3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20" s="493" customFormat="1" ht="18" customHeight="1" x14ac:dyDescent="0.25">
      <c r="A4" s="1511" t="s">
        <v>39</v>
      </c>
      <c r="B4" s="1564" t="s">
        <v>53</v>
      </c>
      <c r="C4" s="1570" t="s">
        <v>132</v>
      </c>
      <c r="D4" s="1571"/>
      <c r="E4" s="1571"/>
      <c r="F4" s="1571"/>
      <c r="G4" s="1572"/>
      <c r="H4" s="1570" t="s">
        <v>133</v>
      </c>
      <c r="I4" s="1571"/>
      <c r="J4" s="1571"/>
      <c r="K4" s="1571"/>
      <c r="L4" s="1573"/>
      <c r="M4" s="912"/>
      <c r="N4" s="912"/>
    </row>
    <row r="5" spans="1:20" s="493" customFormat="1" ht="13.5" thickBot="1" x14ac:dyDescent="0.3">
      <c r="A5" s="1560"/>
      <c r="B5" s="1576"/>
      <c r="C5" s="1105" t="s">
        <v>53</v>
      </c>
      <c r="D5" s="1104" t="s">
        <v>134</v>
      </c>
      <c r="E5" s="1106" t="s">
        <v>135</v>
      </c>
      <c r="F5" s="1104" t="s">
        <v>136</v>
      </c>
      <c r="G5" s="1120" t="s">
        <v>137</v>
      </c>
      <c r="H5" s="1105" t="s">
        <v>53</v>
      </c>
      <c r="I5" s="1104" t="s">
        <v>134</v>
      </c>
      <c r="J5" s="1106" t="s">
        <v>135</v>
      </c>
      <c r="K5" s="1104" t="s">
        <v>136</v>
      </c>
      <c r="L5" s="1104" t="s">
        <v>137</v>
      </c>
    </row>
    <row r="6" spans="1:20" ht="13" x14ac:dyDescent="0.3">
      <c r="A6" s="440">
        <v>1995</v>
      </c>
      <c r="B6" s="562">
        <f>+H6+C6</f>
        <v>8673.7080870000045</v>
      </c>
      <c r="C6" s="563">
        <f t="shared" ref="C6:C11" si="0">SUM(D6:G6)</f>
        <v>2243.3232249999996</v>
      </c>
      <c r="D6" s="550">
        <v>559.9126940000001</v>
      </c>
      <c r="E6" s="553">
        <v>655.26511499999992</v>
      </c>
      <c r="F6" s="550">
        <v>1023.9378559999999</v>
      </c>
      <c r="G6" s="564">
        <v>4.20756</v>
      </c>
      <c r="H6" s="565">
        <f t="shared" ref="H6:H24" si="1">SUM(I6:L6)</f>
        <v>6430.3848620000044</v>
      </c>
      <c r="I6" s="566"/>
      <c r="J6" s="553">
        <v>11.791943000000002</v>
      </c>
      <c r="K6" s="550">
        <v>1395.701755</v>
      </c>
      <c r="L6" s="550">
        <v>5022.8911640000042</v>
      </c>
      <c r="M6" s="561"/>
      <c r="N6" s="371"/>
    </row>
    <row r="7" spans="1:20" ht="13" x14ac:dyDescent="0.3">
      <c r="A7" s="446">
        <v>1996</v>
      </c>
      <c r="B7" s="567">
        <f t="shared" ref="B7:B21" si="2">+H7+C7</f>
        <v>8770.6107359999914</v>
      </c>
      <c r="C7" s="568">
        <f t="shared" si="0"/>
        <v>1988.7948940000003</v>
      </c>
      <c r="D7" s="474">
        <v>303.21370100000001</v>
      </c>
      <c r="E7" s="475">
        <v>614.27440999999999</v>
      </c>
      <c r="F7" s="474">
        <v>1067.5413520000002</v>
      </c>
      <c r="G7" s="473">
        <v>3.7654309999999991</v>
      </c>
      <c r="H7" s="569">
        <f t="shared" si="1"/>
        <v>6781.8158419999918</v>
      </c>
      <c r="I7" s="570"/>
      <c r="J7" s="475">
        <v>14.347229000000002</v>
      </c>
      <c r="K7" s="474">
        <v>1553.801197</v>
      </c>
      <c r="L7" s="474">
        <v>5213.667415999992</v>
      </c>
      <c r="M7" s="561"/>
      <c r="N7" s="371"/>
    </row>
    <row r="8" spans="1:20" ht="13" x14ac:dyDescent="0.3">
      <c r="A8" s="440">
        <v>1997</v>
      </c>
      <c r="B8" s="562">
        <f t="shared" si="2"/>
        <v>9377.8946799999903</v>
      </c>
      <c r="C8" s="563">
        <f t="shared" si="0"/>
        <v>2086.2452379999995</v>
      </c>
      <c r="D8" s="550">
        <v>310.56120199999998</v>
      </c>
      <c r="E8" s="553">
        <v>600.07718999999997</v>
      </c>
      <c r="F8" s="550">
        <v>1172.7995409999999</v>
      </c>
      <c r="G8" s="564">
        <v>2.8073049999999999</v>
      </c>
      <c r="H8" s="565">
        <f t="shared" si="1"/>
        <v>7291.6494419999917</v>
      </c>
      <c r="I8" s="566"/>
      <c r="J8" s="553">
        <v>16.139772000000001</v>
      </c>
      <c r="K8" s="550">
        <v>1753.4712790000001</v>
      </c>
      <c r="L8" s="550">
        <v>5522.0383909999919</v>
      </c>
      <c r="M8" s="561"/>
      <c r="N8" s="371"/>
    </row>
    <row r="9" spans="1:20" ht="13" x14ac:dyDescent="0.3">
      <c r="A9" s="446">
        <v>1998</v>
      </c>
      <c r="B9" s="567">
        <f t="shared" si="2"/>
        <v>9878.6615729999976</v>
      </c>
      <c r="C9" s="568">
        <f t="shared" si="0"/>
        <v>2122.8234709999997</v>
      </c>
      <c r="D9" s="474">
        <v>324.32158399999997</v>
      </c>
      <c r="E9" s="475">
        <v>665.67234299999996</v>
      </c>
      <c r="F9" s="474">
        <f>1132.829544</f>
        <v>1132.8295439999999</v>
      </c>
      <c r="G9" s="473"/>
      <c r="H9" s="569">
        <f t="shared" si="1"/>
        <v>7755.838101999997</v>
      </c>
      <c r="I9" s="570"/>
      <c r="J9" s="475">
        <v>8.2633410000000005</v>
      </c>
      <c r="K9" s="474">
        <v>1911.3350149999901</v>
      </c>
      <c r="L9" s="474">
        <v>5836.2397460000066</v>
      </c>
      <c r="M9" s="561"/>
      <c r="N9" s="371"/>
    </row>
    <row r="10" spans="1:20" ht="13" x14ac:dyDescent="0.3">
      <c r="A10" s="440">
        <v>1999</v>
      </c>
      <c r="B10" s="562">
        <f t="shared" si="2"/>
        <v>10198.891027000011</v>
      </c>
      <c r="C10" s="563">
        <f t="shared" si="0"/>
        <v>2127.0176919999999</v>
      </c>
      <c r="D10" s="550">
        <v>304.77871199999993</v>
      </c>
      <c r="E10" s="553">
        <v>605.31677600000012</v>
      </c>
      <c r="F10" s="550">
        <v>1216.922204</v>
      </c>
      <c r="G10" s="564"/>
      <c r="H10" s="565">
        <f t="shared" si="1"/>
        <v>8071.8733350000111</v>
      </c>
      <c r="I10" s="566"/>
      <c r="J10" s="553">
        <v>5.7472080000000014</v>
      </c>
      <c r="K10" s="550">
        <v>2090.622609</v>
      </c>
      <c r="L10" s="550">
        <f>5975.50351800001</f>
        <v>5975.5035180000104</v>
      </c>
      <c r="M10" s="561"/>
      <c r="N10" s="371"/>
    </row>
    <row r="11" spans="1:20" ht="13" x14ac:dyDescent="0.3">
      <c r="A11" s="446">
        <v>2000</v>
      </c>
      <c r="B11" s="567">
        <f t="shared" si="2"/>
        <v>10763.269271000014</v>
      </c>
      <c r="C11" s="568">
        <f t="shared" si="0"/>
        <v>2356.4909910000001</v>
      </c>
      <c r="D11" s="474">
        <v>344.03961300000003</v>
      </c>
      <c r="E11" s="475">
        <v>693.26504499999999</v>
      </c>
      <c r="F11" s="474">
        <f>1319.186333</f>
        <v>1319.1863330000001</v>
      </c>
      <c r="G11" s="473"/>
      <c r="H11" s="569">
        <f t="shared" si="1"/>
        <v>8406.7782800000132</v>
      </c>
      <c r="I11" s="570"/>
      <c r="J11" s="475">
        <v>5.9059029999999977</v>
      </c>
      <c r="K11" s="474">
        <f>2269.95571700001</f>
        <v>2269.9557170000098</v>
      </c>
      <c r="L11" s="474">
        <v>6130.9166600000035</v>
      </c>
      <c r="M11" s="571"/>
      <c r="N11" s="371"/>
    </row>
    <row r="12" spans="1:20" ht="13" x14ac:dyDescent="0.3">
      <c r="A12" s="440">
        <v>2001</v>
      </c>
      <c r="B12" s="562">
        <f t="shared" si="2"/>
        <v>10522.374724999987</v>
      </c>
      <c r="C12" s="563">
        <f t="shared" ref="C12:C24" si="3">SUM(D12:G12)</f>
        <v>1867.5214919999999</v>
      </c>
      <c r="D12" s="550">
        <v>60.848709999999997</v>
      </c>
      <c r="E12" s="553">
        <v>493.96434599999992</v>
      </c>
      <c r="F12" s="550">
        <v>1312.7084359999999</v>
      </c>
      <c r="G12" s="564"/>
      <c r="H12" s="565">
        <f t="shared" si="1"/>
        <v>8654.8532329999871</v>
      </c>
      <c r="I12" s="566"/>
      <c r="J12" s="553">
        <v>6.1835770000000014</v>
      </c>
      <c r="K12" s="550">
        <v>2416.8490699999902</v>
      </c>
      <c r="L12" s="550">
        <v>6231.820585999998</v>
      </c>
      <c r="M12" s="571"/>
      <c r="N12" s="371"/>
    </row>
    <row r="13" spans="1:20" ht="13" x14ac:dyDescent="0.3">
      <c r="A13" s="446">
        <v>2002</v>
      </c>
      <c r="B13" s="567">
        <f t="shared" si="2"/>
        <v>11113.547163000001</v>
      </c>
      <c r="C13" s="568">
        <f t="shared" si="3"/>
        <v>1891.6583559999997</v>
      </c>
      <c r="D13" s="474">
        <v>68.563682999999997</v>
      </c>
      <c r="E13" s="475">
        <v>438.70879599999995</v>
      </c>
      <c r="F13" s="474">
        <v>1384.3858769999997</v>
      </c>
      <c r="G13" s="473"/>
      <c r="H13" s="569">
        <f t="shared" si="1"/>
        <v>9221.8888070000012</v>
      </c>
      <c r="I13" s="570"/>
      <c r="J13" s="475">
        <v>6.2325020000000002</v>
      </c>
      <c r="K13" s="474">
        <v>2640.5283990000003</v>
      </c>
      <c r="L13" s="474">
        <v>6575.1279060000006</v>
      </c>
      <c r="M13" s="561"/>
      <c r="N13" s="371"/>
    </row>
    <row r="14" spans="1:20" ht="13" x14ac:dyDescent="0.3">
      <c r="A14" s="440">
        <v>2003</v>
      </c>
      <c r="B14" s="562">
        <f>+H14+C14</f>
        <v>11303.613573000001</v>
      </c>
      <c r="C14" s="563">
        <f t="shared" si="3"/>
        <v>1692.8232840000001</v>
      </c>
      <c r="D14" s="550">
        <v>78.298190000000005</v>
      </c>
      <c r="E14" s="553">
        <v>359.015535</v>
      </c>
      <c r="F14" s="550">
        <v>1255.5095590000001</v>
      </c>
      <c r="G14" s="564"/>
      <c r="H14" s="565">
        <f t="shared" si="1"/>
        <v>9610.7902890000005</v>
      </c>
      <c r="I14" s="566"/>
      <c r="J14" s="553">
        <v>6.116314</v>
      </c>
      <c r="K14" s="550">
        <v>2812.8673650000001</v>
      </c>
      <c r="L14" s="550">
        <v>6791.8066099999996</v>
      </c>
      <c r="M14" s="561"/>
      <c r="N14" s="371"/>
      <c r="S14" s="572"/>
      <c r="T14" s="573"/>
    </row>
    <row r="15" spans="1:20" ht="13" x14ac:dyDescent="0.3">
      <c r="A15" s="446">
        <v>2004</v>
      </c>
      <c r="B15" s="567">
        <f t="shared" si="2"/>
        <v>12001.305316000002</v>
      </c>
      <c r="C15" s="568">
        <f t="shared" si="3"/>
        <v>1648.7939530000001</v>
      </c>
      <c r="D15" s="474">
        <v>88.434764000000001</v>
      </c>
      <c r="E15" s="475">
        <v>232.89495200000002</v>
      </c>
      <c r="F15" s="474">
        <v>1327.4642370000001</v>
      </c>
      <c r="G15" s="473"/>
      <c r="H15" s="569">
        <f t="shared" si="1"/>
        <v>10352.511363000001</v>
      </c>
      <c r="I15" s="570"/>
      <c r="J15" s="475">
        <v>21.758628999999996</v>
      </c>
      <c r="K15" s="474">
        <v>3117.0237299999999</v>
      </c>
      <c r="L15" s="474">
        <v>7213.7290040000007</v>
      </c>
      <c r="M15" s="561"/>
      <c r="N15" s="371"/>
      <c r="R15" s="574"/>
      <c r="S15" s="572"/>
      <c r="T15" s="573"/>
    </row>
    <row r="16" spans="1:20" ht="13" x14ac:dyDescent="0.3">
      <c r="A16" s="440">
        <v>2005</v>
      </c>
      <c r="B16" s="562">
        <f t="shared" si="2"/>
        <v>12914.287800222222</v>
      </c>
      <c r="C16" s="563">
        <f t="shared" si="3"/>
        <v>1764.1809539999999</v>
      </c>
      <c r="D16" s="550">
        <v>99.922329000000005</v>
      </c>
      <c r="E16" s="553">
        <v>333.40113500000001</v>
      </c>
      <c r="F16" s="550">
        <v>1330.8574899999999</v>
      </c>
      <c r="G16" s="564"/>
      <c r="H16" s="565">
        <f t="shared" si="1"/>
        <v>11150.106846222223</v>
      </c>
      <c r="I16" s="566"/>
      <c r="J16" s="553">
        <v>47.876192000000003</v>
      </c>
      <c r="K16" s="550">
        <v>3475.5951542222224</v>
      </c>
      <c r="L16" s="550">
        <v>7626.6355000000003</v>
      </c>
      <c r="M16" s="561"/>
      <c r="N16" s="371"/>
      <c r="R16" s="575"/>
      <c r="S16" s="572"/>
      <c r="T16" s="573"/>
    </row>
    <row r="17" spans="1:25" ht="13" x14ac:dyDescent="0.3">
      <c r="A17" s="446">
        <v>2006</v>
      </c>
      <c r="B17" s="567">
        <f t="shared" si="2"/>
        <v>14043.638326999999</v>
      </c>
      <c r="C17" s="568">
        <f>SUM(D17:G17)</f>
        <v>1874.1233889999999</v>
      </c>
      <c r="D17" s="474">
        <v>120.46023999999998</v>
      </c>
      <c r="E17" s="474">
        <v>336.66382900000002</v>
      </c>
      <c r="F17" s="474">
        <v>1416.9993199999999</v>
      </c>
      <c r="G17" s="473"/>
      <c r="H17" s="569">
        <f t="shared" si="1"/>
        <v>12169.514937999998</v>
      </c>
      <c r="I17" s="570"/>
      <c r="J17" s="475">
        <v>56.914355</v>
      </c>
      <c r="K17" s="474">
        <v>3926.7613259999998</v>
      </c>
      <c r="L17" s="474">
        <v>8185.8392569999987</v>
      </c>
      <c r="M17" s="561"/>
      <c r="N17" s="371"/>
    </row>
    <row r="18" spans="1:25" ht="13" x14ac:dyDescent="0.3">
      <c r="A18" s="440">
        <v>2007</v>
      </c>
      <c r="B18" s="562">
        <f t="shared" si="2"/>
        <v>15032.180855000001</v>
      </c>
      <c r="C18" s="563">
        <f t="shared" si="3"/>
        <v>1685.996386</v>
      </c>
      <c r="D18" s="550">
        <v>125.38045700000001</v>
      </c>
      <c r="E18" s="550">
        <v>161.51437200000004</v>
      </c>
      <c r="F18" s="550">
        <v>1399.101557</v>
      </c>
      <c r="G18" s="564"/>
      <c r="H18" s="565">
        <f t="shared" si="1"/>
        <v>13346.184469</v>
      </c>
      <c r="I18" s="566"/>
      <c r="J18" s="553">
        <v>73.889322000000007</v>
      </c>
      <c r="K18" s="550">
        <v>4470.5918109999993</v>
      </c>
      <c r="L18" s="550">
        <v>8801.7033360000005</v>
      </c>
      <c r="M18" s="561"/>
      <c r="N18" s="371"/>
    </row>
    <row r="19" spans="1:25" ht="13" x14ac:dyDescent="0.3">
      <c r="A19" s="446">
        <v>2008</v>
      </c>
      <c r="B19" s="567">
        <f t="shared" si="2"/>
        <v>16297.176545</v>
      </c>
      <c r="C19" s="576">
        <f t="shared" si="3"/>
        <v>1727.732471</v>
      </c>
      <c r="D19" s="474">
        <v>115.71227</v>
      </c>
      <c r="E19" s="475">
        <v>150.52122800000001</v>
      </c>
      <c r="F19" s="474">
        <v>1461.498973</v>
      </c>
      <c r="G19" s="473"/>
      <c r="H19" s="569">
        <f t="shared" si="1"/>
        <v>14569.444074000001</v>
      </c>
      <c r="I19" s="570"/>
      <c r="J19" s="475">
        <v>70.715965999999995</v>
      </c>
      <c r="K19" s="474">
        <v>4981.9765640000005</v>
      </c>
      <c r="L19" s="474">
        <v>9516.7515440000006</v>
      </c>
      <c r="M19" s="561"/>
      <c r="N19" s="371"/>
    </row>
    <row r="20" spans="1:25" ht="13" x14ac:dyDescent="0.3">
      <c r="A20" s="440">
        <v>2009</v>
      </c>
      <c r="B20" s="562">
        <f t="shared" si="2"/>
        <v>17000.664144999995</v>
      </c>
      <c r="C20" s="577">
        <f t="shared" si="3"/>
        <v>1795.9593729999997</v>
      </c>
      <c r="D20" s="550">
        <v>118.967055</v>
      </c>
      <c r="E20" s="553">
        <v>206.81982300000001</v>
      </c>
      <c r="F20" s="550">
        <v>1470.1724949999996</v>
      </c>
      <c r="G20" s="564"/>
      <c r="H20" s="565">
        <f t="shared" si="1"/>
        <v>15204.704771999996</v>
      </c>
      <c r="I20" s="566"/>
      <c r="J20" s="553">
        <v>55.931503999999997</v>
      </c>
      <c r="K20" s="550">
        <v>5245.7845059999981</v>
      </c>
      <c r="L20" s="550">
        <v>9902.9887619999972</v>
      </c>
      <c r="M20" s="561"/>
      <c r="N20" s="371"/>
    </row>
    <row r="21" spans="1:25" ht="13" x14ac:dyDescent="0.3">
      <c r="A21" s="578">
        <v>2010</v>
      </c>
      <c r="B21" s="579">
        <f t="shared" si="2"/>
        <v>18195.325098000001</v>
      </c>
      <c r="C21" s="580">
        <f t="shared" si="3"/>
        <v>1764.4745290000001</v>
      </c>
      <c r="D21" s="581">
        <v>13.691666000000001</v>
      </c>
      <c r="E21" s="582">
        <v>223.63291900000002</v>
      </c>
      <c r="F21" s="581">
        <v>1527.149944</v>
      </c>
      <c r="G21" s="583"/>
      <c r="H21" s="569">
        <f t="shared" si="1"/>
        <v>16430.850569000002</v>
      </c>
      <c r="I21" s="584"/>
      <c r="J21" s="582">
        <v>62.496254</v>
      </c>
      <c r="K21" s="581">
        <v>5832.7621079999999</v>
      </c>
      <c r="L21" s="581">
        <v>10535.592207000002</v>
      </c>
      <c r="M21" s="561"/>
      <c r="N21" s="371"/>
    </row>
    <row r="22" spans="1:25" ht="13" x14ac:dyDescent="0.3">
      <c r="A22" s="440">
        <v>2011</v>
      </c>
      <c r="B22" s="562">
        <f>+H22+C22</f>
        <v>19753.040698251101</v>
      </c>
      <c r="C22" s="577">
        <f t="shared" si="3"/>
        <v>1861.4841750000001</v>
      </c>
      <c r="D22" s="550">
        <v>24.039523000000003</v>
      </c>
      <c r="E22" s="553">
        <v>282.07516300000003</v>
      </c>
      <c r="F22" s="550">
        <v>1555.3694890000002</v>
      </c>
      <c r="G22" s="564"/>
      <c r="H22" s="565">
        <f t="shared" si="1"/>
        <v>17891.5565232511</v>
      </c>
      <c r="I22" s="566">
        <v>0.29401499999999997</v>
      </c>
      <c r="J22" s="553">
        <v>67.803031000000004</v>
      </c>
      <c r="K22" s="550">
        <v>6583.7697609999996</v>
      </c>
      <c r="L22" s="550">
        <v>11239.6897162511</v>
      </c>
      <c r="M22" s="561"/>
      <c r="N22" s="371"/>
    </row>
    <row r="23" spans="1:25" s="333" customFormat="1" ht="13" x14ac:dyDescent="0.3">
      <c r="A23" s="578">
        <v>2012</v>
      </c>
      <c r="B23" s="579">
        <f>+H23+C23</f>
        <v>20947.295381</v>
      </c>
      <c r="C23" s="580">
        <f t="shared" si="3"/>
        <v>1985.1254450000001</v>
      </c>
      <c r="D23" s="581">
        <v>21.989888000000001</v>
      </c>
      <c r="E23" s="582">
        <v>393.31016199999999</v>
      </c>
      <c r="F23" s="581">
        <v>1569.8253950000001</v>
      </c>
      <c r="G23" s="583"/>
      <c r="H23" s="585">
        <f t="shared" si="1"/>
        <v>18962.169935999998</v>
      </c>
      <c r="I23" s="584">
        <v>1.8718600000000001</v>
      </c>
      <c r="J23" s="582">
        <v>71.012542999999994</v>
      </c>
      <c r="K23" s="581">
        <v>7061.5680460000021</v>
      </c>
      <c r="L23" s="581">
        <v>11827.717486999996</v>
      </c>
      <c r="M23" s="561"/>
      <c r="N23" s="371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</row>
    <row r="24" spans="1:25" s="333" customFormat="1" ht="13" x14ac:dyDescent="0.3">
      <c r="A24" s="440">
        <v>2013</v>
      </c>
      <c r="B24" s="562">
        <f>+H24+C24</f>
        <v>21938.578439286004</v>
      </c>
      <c r="C24" s="577">
        <f t="shared" si="3"/>
        <v>2055.3020700000002</v>
      </c>
      <c r="D24" s="550">
        <v>34.845470000000006</v>
      </c>
      <c r="E24" s="553">
        <v>410.50093300000003</v>
      </c>
      <c r="F24" s="550">
        <v>1609.9556670000002</v>
      </c>
      <c r="G24" s="564"/>
      <c r="H24" s="565">
        <f t="shared" si="1"/>
        <v>19883.276369286003</v>
      </c>
      <c r="I24" s="566">
        <v>2.169584</v>
      </c>
      <c r="J24" s="553">
        <v>47.279484000000004</v>
      </c>
      <c r="K24" s="550">
        <v>7436.4539462142984</v>
      </c>
      <c r="L24" s="550">
        <v>12397.373355071702</v>
      </c>
      <c r="M24" s="561"/>
      <c r="N24" s="371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</row>
    <row r="25" spans="1:25" s="333" customFormat="1" ht="13" x14ac:dyDescent="0.3">
      <c r="A25" s="578">
        <v>2014</v>
      </c>
      <c r="B25" s="579">
        <f>+H25+C25</f>
        <v>22779.996057398399</v>
      </c>
      <c r="C25" s="580">
        <f>SUM(D25:G25)</f>
        <v>2018.0005961056218</v>
      </c>
      <c r="D25" s="581">
        <v>56.4388006</v>
      </c>
      <c r="E25" s="582">
        <v>425.41155229999993</v>
      </c>
      <c r="F25" s="581">
        <v>1536.1502432056218</v>
      </c>
      <c r="G25" s="583"/>
      <c r="H25" s="585">
        <f>SUM(I25:L25)</f>
        <v>20761.995461292776</v>
      </c>
      <c r="I25" s="584"/>
      <c r="J25" s="582">
        <v>48.1971323</v>
      </c>
      <c r="K25" s="581">
        <v>7909.1020263179962</v>
      </c>
      <c r="L25" s="581">
        <v>12804.69630267478</v>
      </c>
      <c r="M25" s="561"/>
      <c r="N25" s="371"/>
      <c r="P25" s="386"/>
      <c r="R25" s="571"/>
      <c r="S25" s="572"/>
      <c r="T25" s="573"/>
    </row>
    <row r="26" spans="1:25" s="333" customFormat="1" ht="13" x14ac:dyDescent="0.3">
      <c r="A26" s="440">
        <v>2015</v>
      </c>
      <c r="B26" s="562">
        <f t="shared" ref="B26:B33" si="4">+H26+C26</f>
        <v>23494.038700000001</v>
      </c>
      <c r="C26" s="577">
        <f t="shared" ref="C26:C31" si="5">SUM(D26:G26)</f>
        <v>2000.9759999999999</v>
      </c>
      <c r="D26" s="550">
        <v>38.716299999999997</v>
      </c>
      <c r="E26" s="553">
        <v>441.42250000000001</v>
      </c>
      <c r="F26" s="550">
        <v>1520.8371999999999</v>
      </c>
      <c r="G26" s="564"/>
      <c r="H26" s="565">
        <f t="shared" ref="H26:H31" si="6">SUM(I26:L26)</f>
        <v>21493.062700000002</v>
      </c>
      <c r="I26" s="566">
        <v>2.0491000000000001</v>
      </c>
      <c r="J26" s="553">
        <v>30.416700000000006</v>
      </c>
      <c r="K26" s="550">
        <v>8188.0638999999974</v>
      </c>
      <c r="L26" s="550">
        <v>13272.533000000003</v>
      </c>
      <c r="M26" s="561"/>
      <c r="N26" s="371"/>
      <c r="P26" s="386"/>
      <c r="R26" s="571"/>
      <c r="S26" s="572"/>
      <c r="T26" s="573"/>
    </row>
    <row r="27" spans="1:25" s="333" customFormat="1" ht="13" x14ac:dyDescent="0.3">
      <c r="A27" s="578">
        <v>2016</v>
      </c>
      <c r="B27" s="579">
        <f t="shared" si="4"/>
        <v>22886.332353999984</v>
      </c>
      <c r="C27" s="580">
        <f t="shared" si="5"/>
        <v>2021.1297729999999</v>
      </c>
      <c r="D27" s="581">
        <v>17.377143099999998</v>
      </c>
      <c r="E27" s="582">
        <v>351.70321300000001</v>
      </c>
      <c r="F27" s="581">
        <v>1652.0494168999999</v>
      </c>
      <c r="G27" s="583"/>
      <c r="H27" s="585">
        <f t="shared" si="6"/>
        <v>20865.202580999983</v>
      </c>
      <c r="I27" s="584">
        <v>2.1141870000000003</v>
      </c>
      <c r="J27" s="582">
        <v>31.986864999999998</v>
      </c>
      <c r="K27" s="581">
        <v>7242.6350056684332</v>
      </c>
      <c r="L27" s="581">
        <v>13588.466523331552</v>
      </c>
      <c r="M27" s="561"/>
      <c r="N27" s="371"/>
      <c r="P27" s="386"/>
      <c r="R27" s="571"/>
      <c r="S27" s="572"/>
      <c r="T27" s="573"/>
    </row>
    <row r="28" spans="1:25" s="333" customFormat="1" ht="13" x14ac:dyDescent="0.3">
      <c r="A28" s="440">
        <v>2017</v>
      </c>
      <c r="B28" s="562">
        <f t="shared" si="4"/>
        <v>22399.543247370118</v>
      </c>
      <c r="C28" s="577">
        <f t="shared" si="5"/>
        <v>2933.5290212499995</v>
      </c>
      <c r="D28" s="550">
        <v>20.565854999999999</v>
      </c>
      <c r="E28" s="553">
        <v>233.83479579999999</v>
      </c>
      <c r="F28" s="550">
        <v>2679.1283704499992</v>
      </c>
      <c r="G28" s="564"/>
      <c r="H28" s="565">
        <f t="shared" si="6"/>
        <v>19466.014226120118</v>
      </c>
      <c r="I28" s="566">
        <v>1.8766189999999998</v>
      </c>
      <c r="J28" s="553">
        <v>23.783161999999997</v>
      </c>
      <c r="K28" s="550">
        <v>5618.4951781046766</v>
      </c>
      <c r="L28" s="550">
        <v>13821.859267015441</v>
      </c>
      <c r="M28" s="561"/>
      <c r="N28" s="371"/>
      <c r="P28" s="386"/>
      <c r="R28" s="571"/>
      <c r="S28" s="572"/>
      <c r="T28" s="573"/>
    </row>
    <row r="29" spans="1:25" s="333" customFormat="1" ht="13" x14ac:dyDescent="0.3">
      <c r="A29" s="578">
        <v>2018</v>
      </c>
      <c r="B29" s="579">
        <f t="shared" si="4"/>
        <v>22073.874790390073</v>
      </c>
      <c r="C29" s="580">
        <f t="shared" si="5"/>
        <v>2923.906957610001</v>
      </c>
      <c r="D29" s="581">
        <v>21.972364200000001</v>
      </c>
      <c r="E29" s="582">
        <v>240.5266421</v>
      </c>
      <c r="F29" s="581">
        <v>2660.1199696100011</v>
      </c>
      <c r="G29" s="583">
        <v>1.2879817</v>
      </c>
      <c r="H29" s="585">
        <f t="shared" si="6"/>
        <v>19149.967832780072</v>
      </c>
      <c r="I29" s="584">
        <v>1.943101</v>
      </c>
      <c r="J29" s="582">
        <v>20.1710013</v>
      </c>
      <c r="K29" s="581">
        <v>4891.8469216704543</v>
      </c>
      <c r="L29" s="581">
        <v>14236.00680880962</v>
      </c>
      <c r="M29" s="561"/>
      <c r="N29" s="371"/>
      <c r="P29" s="386"/>
      <c r="R29" s="571"/>
      <c r="S29" s="572"/>
      <c r="T29" s="573"/>
    </row>
    <row r="30" spans="1:25" s="333" customFormat="1" ht="13" x14ac:dyDescent="0.3">
      <c r="A30" s="440">
        <v>2019</v>
      </c>
      <c r="B30" s="562">
        <f t="shared" si="4"/>
        <v>22355.02466478002</v>
      </c>
      <c r="C30" s="577">
        <f t="shared" si="5"/>
        <v>3217.0739716999992</v>
      </c>
      <c r="D30" s="550">
        <v>23.866272200000001</v>
      </c>
      <c r="E30" s="553">
        <v>273.242255</v>
      </c>
      <c r="F30" s="550">
        <v>2918.9506429999992</v>
      </c>
      <c r="G30" s="564">
        <v>1.0148015000000001</v>
      </c>
      <c r="H30" s="565">
        <f t="shared" si="6"/>
        <v>19137.95069308002</v>
      </c>
      <c r="I30" s="566">
        <v>1.8989340000000001</v>
      </c>
      <c r="J30" s="553">
        <v>23.630898800000004</v>
      </c>
      <c r="K30" s="550">
        <v>4409.2174759599966</v>
      </c>
      <c r="L30" s="550">
        <v>14703.203384320024</v>
      </c>
      <c r="M30" s="561"/>
      <c r="N30" s="371"/>
      <c r="P30" s="386"/>
      <c r="R30" s="571"/>
      <c r="S30" s="572"/>
      <c r="T30" s="573"/>
    </row>
    <row r="31" spans="1:25" s="333" customFormat="1" ht="13" x14ac:dyDescent="0.3">
      <c r="A31" s="578">
        <v>2020</v>
      </c>
      <c r="B31" s="579">
        <f t="shared" si="4"/>
        <v>20893.361044550024</v>
      </c>
      <c r="C31" s="580">
        <f t="shared" si="5"/>
        <v>2999.5301768999989</v>
      </c>
      <c r="D31" s="581">
        <v>23.7586923</v>
      </c>
      <c r="E31" s="582">
        <v>258.61435360000002</v>
      </c>
      <c r="F31" s="581">
        <v>2716.5645327999991</v>
      </c>
      <c r="G31" s="583">
        <v>0.59259820000000007</v>
      </c>
      <c r="H31" s="585">
        <f t="shared" si="6"/>
        <v>17893.830867650024</v>
      </c>
      <c r="I31" s="584">
        <v>0.72304400000000002</v>
      </c>
      <c r="J31" s="582">
        <v>6.8093765099999999</v>
      </c>
      <c r="K31" s="581">
        <v>3584.1417503400007</v>
      </c>
      <c r="L31" s="581">
        <v>14302.156696800022</v>
      </c>
      <c r="M31" s="561"/>
      <c r="N31" s="371"/>
      <c r="P31" s="386"/>
      <c r="R31" s="571"/>
      <c r="S31" s="572"/>
      <c r="T31" s="573"/>
    </row>
    <row r="32" spans="1:25" s="333" customFormat="1" ht="13" x14ac:dyDescent="0.3">
      <c r="A32" s="440">
        <v>2021</v>
      </c>
      <c r="B32" s="562">
        <f t="shared" ref="B32" si="7">+H32+C32</f>
        <v>21959.303937619974</v>
      </c>
      <c r="C32" s="577">
        <f t="shared" ref="C32" si="8">SUM(D32:G32)</f>
        <v>3587.2656730999993</v>
      </c>
      <c r="D32" s="550">
        <v>22.4668043</v>
      </c>
      <c r="E32" s="553">
        <v>292.52577589999999</v>
      </c>
      <c r="F32" s="550">
        <v>3269.7048944999997</v>
      </c>
      <c r="G32" s="564">
        <v>2.5681984</v>
      </c>
      <c r="H32" s="565">
        <f t="shared" ref="H32" si="9">SUM(I32:L32)</f>
        <v>18372.038264519975</v>
      </c>
      <c r="I32" s="566">
        <v>1.3105009999999999</v>
      </c>
      <c r="J32" s="553">
        <v>2.5830267</v>
      </c>
      <c r="K32" s="550">
        <v>3594.2136771999985</v>
      </c>
      <c r="L32" s="550">
        <v>14773.931059619976</v>
      </c>
      <c r="M32" s="561"/>
      <c r="N32" s="371"/>
      <c r="P32" s="386"/>
      <c r="R32" s="571"/>
      <c r="S32" s="572"/>
      <c r="T32" s="573"/>
    </row>
    <row r="33" spans="1:20" s="333" customFormat="1" ht="13.5" thickBot="1" x14ac:dyDescent="0.35">
      <c r="A33" s="701">
        <v>2022</v>
      </c>
      <c r="B33" s="579">
        <f t="shared" si="4"/>
        <v>22653.61</v>
      </c>
      <c r="C33" s="580">
        <f>SUM(D33:G33)</f>
        <v>4015.3999999999996</v>
      </c>
      <c r="D33" s="581">
        <v>0</v>
      </c>
      <c r="E33" s="582">
        <v>313.85000000000002</v>
      </c>
      <c r="F33" s="581">
        <v>3697.35</v>
      </c>
      <c r="G33" s="583">
        <v>4.2</v>
      </c>
      <c r="H33" s="585">
        <f>SUM(I33:L33)</f>
        <v>18638.21</v>
      </c>
      <c r="I33" s="584">
        <v>1.75</v>
      </c>
      <c r="J33" s="582">
        <v>2.82</v>
      </c>
      <c r="K33" s="581">
        <v>3518.2</v>
      </c>
      <c r="L33" s="581">
        <v>15115.44</v>
      </c>
      <c r="M33" s="762"/>
      <c r="N33" s="371"/>
      <c r="P33" s="386"/>
      <c r="R33" s="571"/>
      <c r="S33" s="572"/>
      <c r="T33" s="573"/>
    </row>
    <row r="34" spans="1:20" s="493" customFormat="1" ht="18.75" customHeight="1" x14ac:dyDescent="0.25">
      <c r="A34" s="755" t="s">
        <v>161</v>
      </c>
      <c r="B34" s="931">
        <f>(B33/B32)-1</f>
        <v>3.1617853842378141E-2</v>
      </c>
      <c r="C34" s="932">
        <f>(C33/C32)-1</f>
        <v>0.11934837447654667</v>
      </c>
      <c r="D34" s="932"/>
      <c r="E34" s="932">
        <f t="shared" ref="E34:L34" si="10">(E33/E32)-1</f>
        <v>7.2896906381643811E-2</v>
      </c>
      <c r="F34" s="932">
        <f t="shared" si="10"/>
        <v>0.13079012305341253</v>
      </c>
      <c r="G34" s="932">
        <f t="shared" si="10"/>
        <v>0.63538767098367477</v>
      </c>
      <c r="H34" s="932">
        <f t="shared" si="10"/>
        <v>1.4487871821715848E-2</v>
      </c>
      <c r="I34" s="932">
        <f t="shared" si="10"/>
        <v>0.3353671611086142</v>
      </c>
      <c r="J34" s="932">
        <f t="shared" si="10"/>
        <v>9.1742489537564476E-2</v>
      </c>
      <c r="K34" s="931">
        <f t="shared" si="10"/>
        <v>-2.1148903216910431E-2</v>
      </c>
      <c r="L34" s="932">
        <f t="shared" si="10"/>
        <v>2.3115644644737365E-2</v>
      </c>
    </row>
    <row r="35" spans="1:20" s="493" customFormat="1" ht="18.75" customHeight="1" x14ac:dyDescent="0.25">
      <c r="A35" s="913" t="s">
        <v>162</v>
      </c>
      <c r="B35" s="1121">
        <f>((B33/B28)^(1/5))-1</f>
        <v>2.2582767177987684E-3</v>
      </c>
      <c r="C35" s="945">
        <f>((C33/C28)^(1/5))-1</f>
        <v>6.4799123875003861E-2</v>
      </c>
      <c r="D35" s="945"/>
      <c r="E35" s="945">
        <f>((E33/E28)^(1/5))-1</f>
        <v>6.0626806153582624E-2</v>
      </c>
      <c r="F35" s="945">
        <f>((F33/F28)^(1/5))-1</f>
        <v>6.6545550220712624E-2</v>
      </c>
      <c r="G35" s="945"/>
      <c r="H35" s="945">
        <f>((H33/H28)^(1/5))-1</f>
        <v>-8.6536022087605469E-3</v>
      </c>
      <c r="I35" s="945">
        <f>((I33/I28)^(1/5))-1</f>
        <v>-1.3874048930557992E-2</v>
      </c>
      <c r="J35" s="945">
        <f>((J33/J28)^(1/5))-1</f>
        <v>-0.34717631464067644</v>
      </c>
      <c r="K35" s="946">
        <f>((K33/K28)^(1/5))-1</f>
        <v>-8.937388189785811E-2</v>
      </c>
      <c r="L35" s="945">
        <f>((L33/L28)^(1/5))-1</f>
        <v>1.8054119034076832E-2</v>
      </c>
      <c r="Q35" s="914"/>
      <c r="R35" s="316"/>
      <c r="T35" s="914"/>
    </row>
    <row r="36" spans="1:20" s="493" customFormat="1" ht="18.75" customHeight="1" x14ac:dyDescent="0.25">
      <c r="A36" s="905" t="s">
        <v>163</v>
      </c>
      <c r="B36" s="1117">
        <f>(B33/B23)-1</f>
        <v>8.1457514584326374E-2</v>
      </c>
      <c r="C36" s="940">
        <f>(C33/C23)-1</f>
        <v>1.0227437062547953</v>
      </c>
      <c r="D36" s="940"/>
      <c r="E36" s="940">
        <f>(E33/E23)-1</f>
        <v>-0.20202926259505083</v>
      </c>
      <c r="F36" s="940">
        <f>(F33/F23)-1</f>
        <v>1.3552619366308569</v>
      </c>
      <c r="G36" s="940"/>
      <c r="H36" s="940">
        <f>(H33/H23)-1</f>
        <v>-1.7084539221692951E-2</v>
      </c>
      <c r="I36" s="940">
        <f>(I33/I23)-1</f>
        <v>-6.5101022512367379E-2</v>
      </c>
      <c r="J36" s="940">
        <f>(J33/J23)-1</f>
        <v>-0.96028870561641488</v>
      </c>
      <c r="K36" s="939">
        <f>(K33/K23)-1</f>
        <v>-0.50178204372145496</v>
      </c>
      <c r="L36" s="940">
        <f>(L33/L23)-1</f>
        <v>0.27796762279903842</v>
      </c>
      <c r="Q36" s="915"/>
      <c r="R36" s="916"/>
      <c r="T36" s="915"/>
    </row>
    <row r="37" spans="1:20" s="493" customFormat="1" ht="18.75" customHeight="1" thickBot="1" x14ac:dyDescent="0.3">
      <c r="A37" s="917" t="s">
        <v>164</v>
      </c>
      <c r="B37" s="947">
        <f>((B33/B23)^(1/10))-1</f>
        <v>7.8617104113272163E-3</v>
      </c>
      <c r="C37" s="870">
        <f>((C33/C23)^(1/10))-1</f>
        <v>7.2986075097211334E-2</v>
      </c>
      <c r="D37" s="870"/>
      <c r="E37" s="870">
        <f>((E33/E23)^(1/10))-1</f>
        <v>-2.2315575362211737E-2</v>
      </c>
      <c r="F37" s="870">
        <f>((F33/F23)^(1/10))-1</f>
        <v>8.94415164474609E-2</v>
      </c>
      <c r="G37" s="870"/>
      <c r="H37" s="870">
        <f>((H33/H23)^(1/10))-1</f>
        <v>-1.7217324927429889E-3</v>
      </c>
      <c r="I37" s="870">
        <f>((I33/I23)^(1/10))-1</f>
        <v>-6.7090730975187807E-3</v>
      </c>
      <c r="J37" s="870">
        <f>((J33/J23)^(1/10))-1</f>
        <v>-0.2757451630898895</v>
      </c>
      <c r="K37" s="948">
        <f>((K33/K23)^(1/10))-1</f>
        <v>-6.7300084129626625E-2</v>
      </c>
      <c r="L37" s="870">
        <f>((L33/L23)^(1/10))-1</f>
        <v>2.4830365822911871E-2</v>
      </c>
      <c r="Q37" s="915"/>
      <c r="R37" s="916"/>
      <c r="T37" s="915"/>
    </row>
    <row r="38" spans="1:20" s="333" customFormat="1" ht="18" customHeight="1" x14ac:dyDescent="0.3">
      <c r="A38" s="389"/>
      <c r="Q38" s="586"/>
      <c r="R38" s="587"/>
      <c r="T38" s="586"/>
    </row>
    <row r="39" spans="1:20" s="333" customFormat="1" ht="18" customHeight="1" x14ac:dyDescent="0.3">
      <c r="A39" s="389"/>
      <c r="Q39" s="586"/>
      <c r="R39" s="587"/>
      <c r="T39" s="586"/>
    </row>
    <row r="40" spans="1:20" s="333" customFormat="1" ht="18" customHeight="1" x14ac:dyDescent="0.3">
      <c r="A40" s="389"/>
      <c r="O40" s="1418" t="s">
        <v>188</v>
      </c>
      <c r="P40" s="1418" t="s">
        <v>189</v>
      </c>
      <c r="Q40" s="586"/>
      <c r="R40" s="587"/>
      <c r="T40" s="586"/>
    </row>
    <row r="41" spans="1:20" s="333" customFormat="1" ht="18" customHeight="1" x14ac:dyDescent="0.3">
      <c r="A41" s="389"/>
      <c r="N41" s="333">
        <v>1995</v>
      </c>
      <c r="O41" s="540">
        <f>+C6</f>
        <v>2243.3232249999996</v>
      </c>
      <c r="P41" s="540">
        <f>+H6</f>
        <v>6430.3848620000044</v>
      </c>
      <c r="Q41" s="586"/>
      <c r="R41" s="587"/>
      <c r="T41" s="586"/>
    </row>
    <row r="42" spans="1:20" s="333" customFormat="1" ht="18" customHeight="1" x14ac:dyDescent="0.3">
      <c r="A42" s="389"/>
      <c r="N42" s="333">
        <v>2000</v>
      </c>
      <c r="O42" s="540">
        <f>+C11</f>
        <v>2356.4909910000001</v>
      </c>
      <c r="P42" s="540">
        <f>+H11</f>
        <v>8406.7782800000132</v>
      </c>
      <c r="Q42" s="586"/>
      <c r="R42" s="587"/>
      <c r="T42" s="586"/>
    </row>
    <row r="43" spans="1:20" s="333" customFormat="1" ht="18" customHeight="1" x14ac:dyDescent="0.3">
      <c r="A43" s="389"/>
      <c r="N43" s="333">
        <v>2005</v>
      </c>
      <c r="O43" s="540">
        <f>+C16</f>
        <v>1764.1809539999999</v>
      </c>
      <c r="P43" s="540">
        <f>+H16</f>
        <v>11150.106846222223</v>
      </c>
      <c r="Q43" s="586"/>
      <c r="R43" s="587"/>
      <c r="T43" s="586"/>
    </row>
    <row r="44" spans="1:20" s="333" customFormat="1" ht="18" customHeight="1" x14ac:dyDescent="0.3">
      <c r="A44" s="389"/>
      <c r="N44" s="333">
        <v>2010</v>
      </c>
      <c r="O44" s="540">
        <v>1764.4745290000001</v>
      </c>
      <c r="P44" s="540">
        <v>16430.850569000002</v>
      </c>
      <c r="Q44" s="586"/>
      <c r="R44" s="587"/>
      <c r="T44" s="586"/>
    </row>
    <row r="45" spans="1:20" s="333" customFormat="1" ht="18" customHeight="1" x14ac:dyDescent="0.3">
      <c r="A45" s="389"/>
      <c r="N45" s="333">
        <v>2011</v>
      </c>
      <c r="O45" s="540">
        <v>1861.4841750000001</v>
      </c>
      <c r="P45" s="540">
        <v>17891.5565232511</v>
      </c>
      <c r="Q45" s="586"/>
      <c r="R45" s="587"/>
      <c r="T45" s="586"/>
    </row>
    <row r="46" spans="1:20" s="333" customFormat="1" ht="18" customHeight="1" x14ac:dyDescent="0.3">
      <c r="A46" s="389"/>
      <c r="N46" s="333">
        <v>2012</v>
      </c>
      <c r="O46" s="540">
        <v>1985.1254450000001</v>
      </c>
      <c r="P46" s="540">
        <v>18962.169935999998</v>
      </c>
      <c r="Q46" s="586"/>
      <c r="R46" s="587"/>
      <c r="T46" s="586"/>
    </row>
    <row r="47" spans="1:20" s="333" customFormat="1" ht="18" customHeight="1" x14ac:dyDescent="0.3">
      <c r="A47" s="389"/>
      <c r="N47" s="333">
        <v>2013</v>
      </c>
      <c r="O47" s="540">
        <v>2055.3020700000002</v>
      </c>
      <c r="P47" s="540">
        <v>19883.276369286003</v>
      </c>
      <c r="Q47" s="586"/>
      <c r="R47" s="587"/>
      <c r="T47" s="586"/>
    </row>
    <row r="48" spans="1:20" s="333" customFormat="1" ht="18" customHeight="1" x14ac:dyDescent="0.3">
      <c r="A48" s="389"/>
      <c r="N48" s="333">
        <v>2014</v>
      </c>
      <c r="O48" s="540">
        <v>2018.0005961056218</v>
      </c>
      <c r="P48" s="540">
        <v>20761.995461292776</v>
      </c>
      <c r="Q48" s="586"/>
      <c r="R48" s="587"/>
      <c r="T48" s="586"/>
    </row>
    <row r="49" spans="1:20" s="333" customFormat="1" ht="18" customHeight="1" x14ac:dyDescent="0.3">
      <c r="A49" s="389"/>
      <c r="N49" s="333">
        <v>2015</v>
      </c>
      <c r="O49" s="540">
        <v>2000.9759999999999</v>
      </c>
      <c r="P49" s="540">
        <v>21493.062700000002</v>
      </c>
      <c r="Q49" s="586"/>
      <c r="R49" s="587"/>
      <c r="T49" s="586"/>
    </row>
    <row r="50" spans="1:20" s="333" customFormat="1" ht="18" customHeight="1" x14ac:dyDescent="0.3">
      <c r="A50" s="389"/>
      <c r="N50" s="333">
        <v>2016</v>
      </c>
      <c r="O50" s="540">
        <v>2021.1297729999999</v>
      </c>
      <c r="P50" s="540">
        <v>20865.202580999983</v>
      </c>
      <c r="Q50" s="586"/>
      <c r="R50" s="587"/>
      <c r="T50" s="586"/>
    </row>
    <row r="51" spans="1:20" s="333" customFormat="1" ht="18" customHeight="1" x14ac:dyDescent="0.3">
      <c r="A51" s="389"/>
      <c r="N51" s="333">
        <v>2017</v>
      </c>
      <c r="O51" s="540">
        <v>2933.5290212499995</v>
      </c>
      <c r="P51" s="540">
        <v>19466.014226120118</v>
      </c>
      <c r="Q51" s="586"/>
      <c r="R51" s="587"/>
      <c r="T51" s="586"/>
    </row>
    <row r="52" spans="1:20" s="333" customFormat="1" ht="18" customHeight="1" x14ac:dyDescent="0.3">
      <c r="A52" s="389"/>
      <c r="N52" s="333">
        <v>2018</v>
      </c>
      <c r="O52" s="540">
        <v>2923.906957610001</v>
      </c>
      <c r="P52" s="540">
        <v>19149.967832780072</v>
      </c>
      <c r="Q52" s="586"/>
      <c r="R52" s="587"/>
      <c r="T52" s="586"/>
    </row>
    <row r="53" spans="1:20" s="333" customFormat="1" ht="18" customHeight="1" x14ac:dyDescent="0.3">
      <c r="A53" s="389"/>
      <c r="N53" s="333">
        <v>2019</v>
      </c>
      <c r="O53" s="540">
        <v>3217.0739716999992</v>
      </c>
      <c r="P53" s="540">
        <v>19137.95069308002</v>
      </c>
      <c r="Q53" s="586"/>
      <c r="R53" s="587"/>
      <c r="T53" s="586"/>
    </row>
    <row r="54" spans="1:20" s="333" customFormat="1" ht="18" customHeight="1" x14ac:dyDescent="0.3">
      <c r="A54" s="389"/>
      <c r="N54" s="333">
        <v>2020</v>
      </c>
      <c r="O54" s="540">
        <v>2999.5301768999989</v>
      </c>
      <c r="P54" s="540">
        <v>17893.830867650024</v>
      </c>
      <c r="Q54" s="586"/>
      <c r="R54" s="587"/>
      <c r="T54" s="586"/>
    </row>
    <row r="55" spans="1:20" s="333" customFormat="1" ht="18" customHeight="1" x14ac:dyDescent="0.3">
      <c r="A55" s="389"/>
      <c r="N55" s="333">
        <v>2021</v>
      </c>
      <c r="O55" s="540">
        <v>3587.2656730999993</v>
      </c>
      <c r="P55" s="540">
        <v>18372.038264519975</v>
      </c>
      <c r="Q55" s="586"/>
      <c r="R55" s="587"/>
      <c r="T55" s="586"/>
    </row>
    <row r="56" spans="1:20" s="333" customFormat="1" ht="18" customHeight="1" x14ac:dyDescent="0.3">
      <c r="A56" s="389"/>
      <c r="N56" s="333">
        <v>2022</v>
      </c>
      <c r="O56" s="540">
        <v>4015.3999999999996</v>
      </c>
      <c r="P56" s="540">
        <v>18638.21</v>
      </c>
      <c r="Q56" s="586"/>
      <c r="R56" s="587"/>
      <c r="T56" s="586"/>
    </row>
    <row r="57" spans="1:20" s="333" customFormat="1" ht="18" customHeight="1" x14ac:dyDescent="0.3">
      <c r="A57" s="389"/>
      <c r="Q57" s="586"/>
      <c r="R57" s="587"/>
      <c r="T57" s="586"/>
    </row>
    <row r="58" spans="1:20" s="333" customFormat="1" ht="18" customHeight="1" x14ac:dyDescent="0.3">
      <c r="A58" s="389"/>
      <c r="Q58" s="586"/>
      <c r="R58" s="587"/>
      <c r="T58" s="586"/>
    </row>
    <row r="59" spans="1:20" s="333" customFormat="1" x14ac:dyDescent="0.25"/>
    <row r="60" spans="1:20" s="333" customFormat="1" ht="15.5" x14ac:dyDescent="0.35">
      <c r="A60" s="391" t="s">
        <v>206</v>
      </c>
    </row>
    <row r="61" spans="1:20" s="333" customFormat="1" x14ac:dyDescent="0.25">
      <c r="A61" s="388"/>
    </row>
    <row r="62" spans="1:20" s="333" customFormat="1" ht="13" thickBot="1" x14ac:dyDescent="0.3"/>
    <row r="63" spans="1:20" s="333" customFormat="1" x14ac:dyDescent="0.25">
      <c r="A63" s="1514" t="s">
        <v>39</v>
      </c>
      <c r="B63" s="1511" t="s">
        <v>53</v>
      </c>
      <c r="C63" s="1574" t="s">
        <v>132</v>
      </c>
      <c r="D63" s="1574"/>
      <c r="E63" s="1574"/>
      <c r="F63" s="1575"/>
      <c r="H63" s="425"/>
    </row>
    <row r="64" spans="1:20" s="333" customFormat="1" ht="13.5" thickBot="1" x14ac:dyDescent="0.35">
      <c r="A64" s="1515"/>
      <c r="B64" s="1560"/>
      <c r="C64" s="1122" t="s">
        <v>134</v>
      </c>
      <c r="D64" s="1123" t="s">
        <v>135</v>
      </c>
      <c r="E64" s="1122" t="s">
        <v>136</v>
      </c>
      <c r="F64" s="1124" t="s">
        <v>137</v>
      </c>
    </row>
    <row r="65" spans="1:15" ht="13" x14ac:dyDescent="0.3">
      <c r="A65" s="440">
        <v>1995</v>
      </c>
      <c r="B65" s="562">
        <f t="shared" ref="B65:B83" si="11">SUM(C65:F65)</f>
        <v>1175.548041</v>
      </c>
      <c r="C65" s="553">
        <v>388.77657499999998</v>
      </c>
      <c r="D65" s="550">
        <v>157.521388</v>
      </c>
      <c r="E65" s="553">
        <v>625.42348399999992</v>
      </c>
      <c r="F65" s="588">
        <v>3.8265940000000001</v>
      </c>
      <c r="G65" s="333"/>
      <c r="H65" s="425"/>
      <c r="I65" s="333"/>
      <c r="J65" s="333"/>
      <c r="K65" s="333"/>
    </row>
    <row r="66" spans="1:15" ht="13" x14ac:dyDescent="0.3">
      <c r="A66" s="446">
        <v>1996</v>
      </c>
      <c r="B66" s="567">
        <f t="shared" si="11"/>
        <v>1560.2288619999999</v>
      </c>
      <c r="C66" s="475">
        <v>812.31501900000001</v>
      </c>
      <c r="D66" s="474">
        <v>235.49490800000001</v>
      </c>
      <c r="E66" s="475">
        <v>507.41297500000007</v>
      </c>
      <c r="F66" s="476">
        <v>5.00596</v>
      </c>
      <c r="G66" s="333"/>
      <c r="H66" s="425"/>
      <c r="I66" s="333"/>
      <c r="J66" s="333"/>
      <c r="K66" s="333"/>
    </row>
    <row r="67" spans="1:15" ht="13" x14ac:dyDescent="0.3">
      <c r="A67" s="440">
        <v>1997</v>
      </c>
      <c r="B67" s="562">
        <f t="shared" si="11"/>
        <v>3073.3354799999997</v>
      </c>
      <c r="C67" s="553">
        <v>1623.8824859999997</v>
      </c>
      <c r="D67" s="550">
        <v>746.31119699999988</v>
      </c>
      <c r="E67" s="553">
        <v>698.82362300000011</v>
      </c>
      <c r="F67" s="588">
        <v>4.3181740000000008</v>
      </c>
      <c r="G67" s="333"/>
      <c r="H67" s="425"/>
      <c r="I67" s="425"/>
      <c r="J67" s="333"/>
      <c r="K67" s="333"/>
      <c r="N67" s="371"/>
      <c r="O67" s="371"/>
    </row>
    <row r="68" spans="1:15" ht="13" x14ac:dyDescent="0.3">
      <c r="A68" s="446">
        <v>1998</v>
      </c>
      <c r="B68" s="567">
        <f t="shared" si="11"/>
        <v>4129.9152500000009</v>
      </c>
      <c r="C68" s="475">
        <f>1909.533476</f>
        <v>1909.5334760000001</v>
      </c>
      <c r="D68" s="474">
        <v>1036.756995</v>
      </c>
      <c r="E68" s="475">
        <v>1182.2233990000002</v>
      </c>
      <c r="F68" s="476">
        <v>1.4013800000000001</v>
      </c>
      <c r="G68" s="333"/>
      <c r="H68" s="425"/>
      <c r="I68" s="333"/>
      <c r="J68" s="333"/>
      <c r="K68" s="333"/>
      <c r="N68" s="371"/>
    </row>
    <row r="69" spans="1:15" ht="13" x14ac:dyDescent="0.3">
      <c r="A69" s="440">
        <v>1999</v>
      </c>
      <c r="B69" s="562">
        <f t="shared" si="11"/>
        <v>4393.000532</v>
      </c>
      <c r="C69" s="553">
        <v>2236.1380099999997</v>
      </c>
      <c r="D69" s="550">
        <v>1091.0393200000001</v>
      </c>
      <c r="E69" s="553">
        <v>1065.823202</v>
      </c>
      <c r="F69" s="588"/>
      <c r="G69" s="333"/>
      <c r="H69" s="425"/>
      <c r="I69" s="333"/>
      <c r="J69" s="333"/>
      <c r="K69" s="333"/>
      <c r="N69" s="371"/>
    </row>
    <row r="70" spans="1:15" ht="13" x14ac:dyDescent="0.3">
      <c r="A70" s="446">
        <v>2000</v>
      </c>
      <c r="B70" s="567">
        <f t="shared" si="11"/>
        <v>4782.3261210000001</v>
      </c>
      <c r="C70" s="475">
        <v>2327.4021159999998</v>
      </c>
      <c r="D70" s="474">
        <v>1171.5316189999999</v>
      </c>
      <c r="E70" s="475">
        <v>1283.392386</v>
      </c>
      <c r="F70" s="476"/>
      <c r="G70" s="333"/>
      <c r="H70" s="425"/>
      <c r="I70" s="333"/>
      <c r="J70" s="333"/>
      <c r="K70" s="333"/>
    </row>
    <row r="71" spans="1:15" ht="13" x14ac:dyDescent="0.3">
      <c r="A71" s="440">
        <v>2001</v>
      </c>
      <c r="B71" s="562">
        <f t="shared" si="11"/>
        <v>6106.3798200000001</v>
      </c>
      <c r="C71" s="553">
        <v>3308.9557990000003</v>
      </c>
      <c r="D71" s="550">
        <v>1463.010176</v>
      </c>
      <c r="E71" s="553">
        <v>1334.413845</v>
      </c>
      <c r="F71" s="588"/>
      <c r="G71" s="333"/>
      <c r="H71" s="425"/>
      <c r="I71" s="333"/>
      <c r="J71" s="333"/>
      <c r="K71" s="333"/>
    </row>
    <row r="72" spans="1:15" ht="13" x14ac:dyDescent="0.3">
      <c r="A72" s="446">
        <v>2002</v>
      </c>
      <c r="B72" s="567">
        <f t="shared" si="11"/>
        <v>6491.7787508479996</v>
      </c>
      <c r="C72" s="475">
        <v>4126.7293199999995</v>
      </c>
      <c r="D72" s="474">
        <v>1229.9571980000001</v>
      </c>
      <c r="E72" s="475">
        <v>1135.0922328480001</v>
      </c>
      <c r="F72" s="476"/>
      <c r="G72" s="333"/>
      <c r="H72" s="425"/>
      <c r="I72" s="333"/>
      <c r="J72" s="333"/>
      <c r="K72" s="333"/>
    </row>
    <row r="73" spans="1:15" ht="13" x14ac:dyDescent="0.3">
      <c r="A73" s="440">
        <v>2003</v>
      </c>
      <c r="B73" s="562">
        <f>SUM(C73:F73)</f>
        <v>7071.721837000001</v>
      </c>
      <c r="C73" s="553">
        <v>4521.4221450000005</v>
      </c>
      <c r="D73" s="550">
        <v>1219.3664699999999</v>
      </c>
      <c r="E73" s="553">
        <v>1330.9332220000001</v>
      </c>
      <c r="F73" s="588"/>
      <c r="G73" s="333"/>
      <c r="H73" s="425"/>
      <c r="I73" s="333"/>
      <c r="J73" s="333"/>
      <c r="K73" s="333"/>
    </row>
    <row r="74" spans="1:15" ht="13" x14ac:dyDescent="0.3">
      <c r="A74" s="446">
        <v>2004</v>
      </c>
      <c r="B74" s="567">
        <f t="shared" si="11"/>
        <v>7639.3457939999998</v>
      </c>
      <c r="C74" s="475">
        <v>4566.413031</v>
      </c>
      <c r="D74" s="474">
        <v>1547.5363389999998</v>
      </c>
      <c r="E74" s="475">
        <v>1525.3964239999998</v>
      </c>
      <c r="F74" s="476"/>
      <c r="G74" s="333"/>
      <c r="H74" s="425"/>
      <c r="I74" s="333"/>
      <c r="J74" s="333"/>
      <c r="K74" s="333"/>
    </row>
    <row r="75" spans="1:15" ht="13" x14ac:dyDescent="0.3">
      <c r="A75" s="440">
        <v>2005</v>
      </c>
      <c r="B75" s="562">
        <f t="shared" si="11"/>
        <v>7787.095080000001</v>
      </c>
      <c r="C75" s="553">
        <v>4707.2427810000008</v>
      </c>
      <c r="D75" s="550">
        <v>1513.7901240000001</v>
      </c>
      <c r="E75" s="553">
        <v>1566.062175</v>
      </c>
      <c r="F75" s="588"/>
      <c r="G75" s="333"/>
      <c r="H75" s="425"/>
      <c r="I75" s="589"/>
      <c r="J75" s="589"/>
      <c r="K75" s="333"/>
    </row>
    <row r="76" spans="1:15" ht="13" x14ac:dyDescent="0.3">
      <c r="A76" s="446">
        <v>2006</v>
      </c>
      <c r="B76" s="567">
        <f t="shared" si="11"/>
        <v>8246.4228259999982</v>
      </c>
      <c r="C76" s="475">
        <v>5178.3976619999994</v>
      </c>
      <c r="D76" s="474">
        <v>1646.359191</v>
      </c>
      <c r="E76" s="475">
        <v>1421.6659729999999</v>
      </c>
      <c r="F76" s="476"/>
      <c r="G76" s="333"/>
      <c r="H76" s="425"/>
      <c r="I76" s="589"/>
      <c r="J76" s="589"/>
      <c r="K76" s="333"/>
    </row>
    <row r="77" spans="1:15" ht="13" x14ac:dyDescent="0.3">
      <c r="A77" s="440">
        <v>2007</v>
      </c>
      <c r="B77" s="562">
        <f t="shared" si="11"/>
        <v>9689.5676980000007</v>
      </c>
      <c r="C77" s="553">
        <v>6265.4367430000002</v>
      </c>
      <c r="D77" s="550">
        <v>1802.2825960000002</v>
      </c>
      <c r="E77" s="553">
        <v>1621.8483590000001</v>
      </c>
      <c r="F77" s="588"/>
      <c r="G77" s="333"/>
      <c r="H77" s="425"/>
      <c r="I77" s="589"/>
      <c r="J77" s="589"/>
      <c r="K77" s="333"/>
    </row>
    <row r="78" spans="1:15" ht="13" x14ac:dyDescent="0.3">
      <c r="A78" s="446">
        <v>2008</v>
      </c>
      <c r="B78" s="567">
        <f t="shared" si="11"/>
        <v>10667.238051</v>
      </c>
      <c r="C78" s="475">
        <v>6947.2784840000004</v>
      </c>
      <c r="D78" s="474">
        <v>1874.5323819999999</v>
      </c>
      <c r="E78" s="475">
        <v>1845.427185</v>
      </c>
      <c r="F78" s="476"/>
      <c r="G78" s="333"/>
      <c r="H78" s="425"/>
      <c r="I78" s="589"/>
      <c r="J78" s="589"/>
      <c r="K78" s="333"/>
    </row>
    <row r="79" spans="1:15" ht="13" x14ac:dyDescent="0.3">
      <c r="A79" s="440">
        <v>2009</v>
      </c>
      <c r="B79" s="562">
        <f t="shared" si="11"/>
        <v>10086.341632</v>
      </c>
      <c r="C79" s="553">
        <v>6962.1393239999998</v>
      </c>
      <c r="D79" s="550">
        <v>1412.491532</v>
      </c>
      <c r="E79" s="553">
        <v>1711.7107759999999</v>
      </c>
      <c r="F79" s="588"/>
      <c r="G79" s="333"/>
      <c r="H79" s="425"/>
      <c r="I79" s="589"/>
      <c r="J79" s="589"/>
      <c r="K79" s="333"/>
    </row>
    <row r="80" spans="1:15" ht="13" x14ac:dyDescent="0.3">
      <c r="A80" s="446">
        <v>2010</v>
      </c>
      <c r="B80" s="567">
        <f t="shared" si="11"/>
        <v>11240.850026</v>
      </c>
      <c r="C80" s="475">
        <v>8179.7357620000002</v>
      </c>
      <c r="D80" s="474">
        <v>1169.349653</v>
      </c>
      <c r="E80" s="475">
        <v>1891.7646110000001</v>
      </c>
      <c r="F80" s="476"/>
      <c r="G80" s="333"/>
      <c r="H80" s="425"/>
      <c r="I80" s="589"/>
      <c r="J80" s="589"/>
      <c r="K80" s="333"/>
    </row>
    <row r="81" spans="1:16" ht="13" x14ac:dyDescent="0.3">
      <c r="A81" s="440">
        <v>2011</v>
      </c>
      <c r="B81" s="562">
        <f t="shared" si="11"/>
        <v>12067.310106999999</v>
      </c>
      <c r="C81" s="553">
        <v>8322.5081489999993</v>
      </c>
      <c r="D81" s="550">
        <v>1523.860013</v>
      </c>
      <c r="E81" s="553">
        <v>2220.941945</v>
      </c>
      <c r="F81" s="588"/>
      <c r="G81" s="333"/>
      <c r="H81" s="425"/>
      <c r="I81" s="589"/>
      <c r="J81" s="589"/>
      <c r="K81" s="333"/>
    </row>
    <row r="82" spans="1:16" ht="13" x14ac:dyDescent="0.3">
      <c r="A82" s="446">
        <v>2012</v>
      </c>
      <c r="B82" s="567">
        <f>SUM(C82:F82)</f>
        <v>12700.89055</v>
      </c>
      <c r="C82" s="475">
        <v>8790.3356710000007</v>
      </c>
      <c r="D82" s="474">
        <v>1659.1214150000001</v>
      </c>
      <c r="E82" s="475">
        <v>2251.4334639999997</v>
      </c>
      <c r="F82" s="590"/>
      <c r="G82" s="333"/>
      <c r="H82" s="425"/>
      <c r="I82" s="589"/>
      <c r="J82" s="589"/>
      <c r="K82" s="333"/>
    </row>
    <row r="83" spans="1:16" ht="13" x14ac:dyDescent="0.3">
      <c r="A83" s="440">
        <v>2013</v>
      </c>
      <c r="B83" s="562">
        <f t="shared" si="11"/>
        <v>13674.172223</v>
      </c>
      <c r="C83" s="553">
        <v>9312.0481639999998</v>
      </c>
      <c r="D83" s="550">
        <v>2502.1743270000002</v>
      </c>
      <c r="E83" s="553">
        <v>1859.9497319999996</v>
      </c>
      <c r="F83" s="588"/>
      <c r="G83" s="333"/>
      <c r="H83" s="425"/>
      <c r="I83" s="589"/>
      <c r="J83" s="589"/>
      <c r="K83" s="333"/>
    </row>
    <row r="84" spans="1:16" ht="13" x14ac:dyDescent="0.3">
      <c r="A84" s="446">
        <v>2014</v>
      </c>
      <c r="B84" s="567">
        <f>SUM(C84:F84)</f>
        <v>14545.805000799999</v>
      </c>
      <c r="C84" s="475">
        <v>10524.2995257</v>
      </c>
      <c r="D84" s="474">
        <v>2247.4841483999999</v>
      </c>
      <c r="E84" s="475">
        <v>1774.0213266999999</v>
      </c>
      <c r="F84" s="590"/>
      <c r="G84" s="333"/>
      <c r="H84" s="425"/>
      <c r="I84" s="589"/>
      <c r="J84" s="589"/>
      <c r="K84" s="333"/>
    </row>
    <row r="85" spans="1:16" ht="13" x14ac:dyDescent="0.3">
      <c r="A85" s="440">
        <v>2015</v>
      </c>
      <c r="B85" s="562">
        <f t="shared" ref="B85:B92" si="12">SUM(C85:F85)</f>
        <v>16280.711282799997</v>
      </c>
      <c r="C85" s="553">
        <v>11546.026379285515</v>
      </c>
      <c r="D85" s="550">
        <v>2268.6898054583298</v>
      </c>
      <c r="E85" s="553">
        <v>2465.9950980561539</v>
      </c>
      <c r="F85" s="588"/>
      <c r="G85" s="333"/>
      <c r="H85" s="425"/>
      <c r="I85" s="589"/>
      <c r="J85" s="589"/>
      <c r="K85" s="333"/>
    </row>
    <row r="86" spans="1:16" ht="13" x14ac:dyDescent="0.3">
      <c r="A86" s="446">
        <v>2016</v>
      </c>
      <c r="B86" s="567">
        <f t="shared" si="12"/>
        <v>20480.666756700004</v>
      </c>
      <c r="C86" s="475">
        <v>15441.282012900001</v>
      </c>
      <c r="D86" s="474">
        <v>1886.0703753999996</v>
      </c>
      <c r="E86" s="475">
        <v>3153.3143684000006</v>
      </c>
      <c r="F86" s="590"/>
      <c r="G86" s="333"/>
      <c r="H86" s="425"/>
      <c r="I86" s="589"/>
      <c r="J86" s="589"/>
      <c r="K86" s="333"/>
    </row>
    <row r="87" spans="1:16" ht="13" x14ac:dyDescent="0.3">
      <c r="A87" s="440">
        <v>2017</v>
      </c>
      <c r="B87" s="562">
        <f t="shared" si="12"/>
        <v>21823.709569899998</v>
      </c>
      <c r="C87" s="553">
        <v>15632.895779899998</v>
      </c>
      <c r="D87" s="550">
        <v>2155.3877535000001</v>
      </c>
      <c r="E87" s="553">
        <v>4035.4260364999996</v>
      </c>
      <c r="F87" s="588"/>
      <c r="G87" s="333"/>
      <c r="H87" s="425"/>
      <c r="I87" s="589"/>
      <c r="J87" s="589"/>
      <c r="K87" s="333"/>
    </row>
    <row r="88" spans="1:16" ht="13" x14ac:dyDescent="0.3">
      <c r="A88" s="446">
        <v>2018</v>
      </c>
      <c r="B88" s="567">
        <f t="shared" si="12"/>
        <v>23793.913051800002</v>
      </c>
      <c r="C88" s="475">
        <v>16656.682654</v>
      </c>
      <c r="D88" s="474">
        <v>1782.3913207000001</v>
      </c>
      <c r="E88" s="475">
        <v>5354.8390771000004</v>
      </c>
      <c r="F88" s="590"/>
      <c r="G88" s="333"/>
      <c r="H88" s="425"/>
      <c r="I88" s="589"/>
      <c r="J88" s="589"/>
      <c r="K88" s="333"/>
    </row>
    <row r="89" spans="1:16" ht="13" x14ac:dyDescent="0.3">
      <c r="A89" s="440">
        <v>2019</v>
      </c>
      <c r="B89" s="562">
        <f t="shared" si="12"/>
        <v>25065.7132542</v>
      </c>
      <c r="C89" s="553">
        <v>17402.388649600001</v>
      </c>
      <c r="D89" s="550">
        <v>1745.64391</v>
      </c>
      <c r="E89" s="553">
        <v>5917.6806945999988</v>
      </c>
      <c r="F89" s="588"/>
      <c r="G89" s="333"/>
      <c r="H89" s="425"/>
      <c r="I89" s="589"/>
      <c r="J89" s="589"/>
      <c r="K89" s="333"/>
    </row>
    <row r="90" spans="1:16" ht="13" x14ac:dyDescent="0.3">
      <c r="A90" s="446">
        <v>2020</v>
      </c>
      <c r="B90" s="567">
        <f t="shared" si="12"/>
        <v>22857.708323599996</v>
      </c>
      <c r="C90" s="475">
        <v>16044.4032381</v>
      </c>
      <c r="D90" s="474">
        <v>1460.2973556000002</v>
      </c>
      <c r="E90" s="475">
        <v>5353.0077298999968</v>
      </c>
      <c r="F90" s="590"/>
      <c r="G90" s="333"/>
      <c r="H90" s="425"/>
      <c r="I90" s="589"/>
      <c r="J90" s="589"/>
      <c r="K90" s="333"/>
    </row>
    <row r="91" spans="1:16" ht="13" x14ac:dyDescent="0.3">
      <c r="A91" s="440">
        <v>2021</v>
      </c>
      <c r="B91" s="562">
        <f t="shared" ref="B91" si="13">SUM(C91:F91)</f>
        <v>26094.440055400002</v>
      </c>
      <c r="C91" s="553">
        <v>17992.527090399999</v>
      </c>
      <c r="D91" s="550">
        <v>1785.9507896999999</v>
      </c>
      <c r="E91" s="553">
        <v>6315.9621753000029</v>
      </c>
      <c r="F91" s="588"/>
      <c r="G91" s="333"/>
      <c r="H91" s="425"/>
      <c r="I91" s="589"/>
      <c r="J91" s="589"/>
      <c r="K91" s="333"/>
    </row>
    <row r="92" spans="1:16" ht="13.5" thickBot="1" x14ac:dyDescent="0.35">
      <c r="A92" s="979">
        <v>2022</v>
      </c>
      <c r="B92" s="567">
        <f t="shared" si="12"/>
        <v>27779.469999999998</v>
      </c>
      <c r="C92" s="475">
        <v>19157.439999999999</v>
      </c>
      <c r="D92" s="474">
        <v>1900.71</v>
      </c>
      <c r="E92" s="475">
        <v>6721.32</v>
      </c>
      <c r="F92" s="590"/>
      <c r="G92" s="1197"/>
      <c r="H92" s="1198"/>
      <c r="I92" s="589"/>
      <c r="J92" s="589"/>
      <c r="K92" s="333"/>
    </row>
    <row r="93" spans="1:16" s="493" customFormat="1" ht="16.899999999999999" customHeight="1" x14ac:dyDescent="0.25">
      <c r="A93" s="755" t="s">
        <v>161</v>
      </c>
      <c r="B93" s="944">
        <f>(B92/B91)-1</f>
        <v>6.4574290194485018E-2</v>
      </c>
      <c r="C93" s="932">
        <f>(C92/C91)-1</f>
        <v>6.4744263201445662E-2</v>
      </c>
      <c r="D93" s="931">
        <f t="shared" ref="D93:E93" si="14">(D92/D91)-1</f>
        <v>6.4256647474187689E-2</v>
      </c>
      <c r="E93" s="932">
        <f t="shared" si="14"/>
        <v>6.4179900615181085E-2</v>
      </c>
      <c r="F93" s="963" t="s">
        <v>32</v>
      </c>
      <c r="G93" s="492"/>
      <c r="H93" s="918"/>
      <c r="I93" s="492"/>
      <c r="J93" s="492"/>
      <c r="K93" s="492"/>
      <c r="L93" s="492"/>
    </row>
    <row r="94" spans="1:16" s="493" customFormat="1" ht="16.899999999999999" customHeight="1" x14ac:dyDescent="0.25">
      <c r="A94" s="913" t="s">
        <v>162</v>
      </c>
      <c r="B94" s="707">
        <f>((B92/B87)^(1/5))-1</f>
        <v>4.9443534963233615E-2</v>
      </c>
      <c r="C94" s="945">
        <f>((C92/C87)^(1/5))-1</f>
        <v>4.150080100348208E-2</v>
      </c>
      <c r="D94" s="946">
        <f t="shared" ref="D94:E94" si="15">((D92/D87)^(1/5))-1</f>
        <v>-2.4835035328907185E-2</v>
      </c>
      <c r="E94" s="945">
        <f t="shared" si="15"/>
        <v>0.10742171751874929</v>
      </c>
      <c r="F94" s="965" t="s">
        <v>32</v>
      </c>
      <c r="G94" s="492"/>
      <c r="H94" s="492"/>
      <c r="I94" s="492"/>
      <c r="J94" s="492"/>
      <c r="K94" s="492"/>
      <c r="L94" s="492"/>
    </row>
    <row r="95" spans="1:16" s="493" customFormat="1" ht="16.899999999999999" customHeight="1" x14ac:dyDescent="0.25">
      <c r="A95" s="905" t="s">
        <v>163</v>
      </c>
      <c r="B95" s="1117">
        <f>(B92/B82)-1</f>
        <v>1.1872064711241839</v>
      </c>
      <c r="C95" s="940">
        <f>(C92/C82)-1</f>
        <v>1.1793752499352079</v>
      </c>
      <c r="D95" s="939">
        <f t="shared" ref="D95:E95" si="16">(D92/D82)-1</f>
        <v>0.14561236014182843</v>
      </c>
      <c r="E95" s="940">
        <f t="shared" si="16"/>
        <v>1.9853513805638277</v>
      </c>
      <c r="F95" s="968" t="s">
        <v>32</v>
      </c>
      <c r="G95" s="492"/>
      <c r="H95" s="492"/>
      <c r="I95" s="492"/>
      <c r="J95" s="492"/>
      <c r="K95" s="492"/>
      <c r="L95" s="492"/>
      <c r="P95" s="316"/>
    </row>
    <row r="96" spans="1:16" s="493" customFormat="1" ht="16.899999999999999" customHeight="1" thickBot="1" x14ac:dyDescent="0.3">
      <c r="A96" s="917" t="s">
        <v>164</v>
      </c>
      <c r="B96" s="947">
        <f>((B92/B82)^(1/10))-1</f>
        <v>8.1406506366427989E-2</v>
      </c>
      <c r="C96" s="870">
        <f>((C92/C82)^(1/10))-1</f>
        <v>8.1018687036558346E-2</v>
      </c>
      <c r="D96" s="948">
        <f t="shared" ref="D96:E96" si="17">((D92/D82)^(1/10))-1</f>
        <v>1.3686748223098233E-2</v>
      </c>
      <c r="E96" s="870">
        <f t="shared" si="17"/>
        <v>0.11557698403014682</v>
      </c>
      <c r="F96" s="970" t="s">
        <v>32</v>
      </c>
      <c r="G96" s="492"/>
      <c r="H96" s="492"/>
      <c r="I96" s="492"/>
      <c r="J96" s="492"/>
      <c r="K96" s="492"/>
      <c r="L96" s="1660"/>
      <c r="M96" s="1646"/>
    </row>
    <row r="97" spans="1:16" ht="18.75" customHeight="1" x14ac:dyDescent="0.25">
      <c r="A97" s="389"/>
      <c r="B97" s="333"/>
      <c r="C97" s="333"/>
      <c r="D97" s="333"/>
      <c r="E97" s="333"/>
      <c r="F97" s="333"/>
      <c r="G97" s="333"/>
      <c r="H97" s="333"/>
      <c r="I97" s="333"/>
      <c r="J97" s="333"/>
      <c r="K97" s="333"/>
      <c r="L97" s="1640">
        <v>1995</v>
      </c>
      <c r="M97" s="1661">
        <f>+C65</f>
        <v>388.77657499999998</v>
      </c>
      <c r="N97" s="328">
        <f t="shared" ref="N97:P97" si="18">+D65</f>
        <v>157.521388</v>
      </c>
      <c r="O97" s="328">
        <f t="shared" si="18"/>
        <v>625.42348399999992</v>
      </c>
      <c r="P97" s="328">
        <f t="shared" si="18"/>
        <v>3.8265940000000001</v>
      </c>
    </row>
    <row r="98" spans="1:16" s="333" customFormat="1" ht="15.75" customHeight="1" x14ac:dyDescent="0.25">
      <c r="L98" s="1640">
        <v>2000</v>
      </c>
      <c r="M98" s="1662">
        <f>+C70</f>
        <v>2327.4021159999998</v>
      </c>
      <c r="N98" s="540">
        <f t="shared" ref="N98:O98" si="19">+D70</f>
        <v>1171.5316189999999</v>
      </c>
      <c r="O98" s="540">
        <f t="shared" si="19"/>
        <v>1283.392386</v>
      </c>
      <c r="P98" s="540"/>
    </row>
    <row r="99" spans="1:16" s="333" customFormat="1" x14ac:dyDescent="0.25">
      <c r="A99" s="388"/>
      <c r="L99" s="1640">
        <v>2005</v>
      </c>
      <c r="M99" s="1662">
        <f>+C75</f>
        <v>4707.2427810000008</v>
      </c>
      <c r="N99" s="540">
        <f t="shared" ref="N99:O99" si="20">+D75</f>
        <v>1513.7901240000001</v>
      </c>
      <c r="O99" s="540">
        <f t="shared" si="20"/>
        <v>1566.062175</v>
      </c>
      <c r="P99" s="540"/>
    </row>
    <row r="100" spans="1:16" s="333" customFormat="1" x14ac:dyDescent="0.25">
      <c r="G100" s="315"/>
      <c r="H100" s="315"/>
      <c r="I100" s="315"/>
      <c r="J100" s="315"/>
      <c r="K100" s="315"/>
      <c r="L100" s="1640">
        <v>2010</v>
      </c>
      <c r="M100" s="1662">
        <v>8179.7357620000002</v>
      </c>
      <c r="N100" s="540">
        <v>1169.349653</v>
      </c>
      <c r="O100" s="540">
        <v>1891.7646110000001</v>
      </c>
    </row>
    <row r="101" spans="1:16" s="333" customFormat="1" x14ac:dyDescent="0.25">
      <c r="A101" s="315"/>
      <c r="B101" s="315"/>
      <c r="C101" s="315"/>
      <c r="D101" s="315"/>
      <c r="E101" s="315"/>
      <c r="F101" s="315"/>
      <c r="G101" s="315"/>
      <c r="H101" s="315"/>
      <c r="I101" s="315"/>
      <c r="J101" s="315"/>
      <c r="K101" s="315"/>
      <c r="L101" s="1640">
        <v>2011</v>
      </c>
      <c r="M101" s="1662">
        <v>8322.5081489999993</v>
      </c>
      <c r="N101" s="540">
        <v>1523.860013</v>
      </c>
      <c r="O101" s="540">
        <v>2220.941945</v>
      </c>
    </row>
    <row r="102" spans="1:16" s="333" customFormat="1" x14ac:dyDescent="0.25">
      <c r="A102" s="315"/>
      <c r="B102" s="315"/>
      <c r="C102" s="315"/>
      <c r="D102" s="315"/>
      <c r="E102" s="315"/>
      <c r="F102" s="315"/>
      <c r="G102" s="315"/>
      <c r="H102" s="315"/>
      <c r="I102" s="315"/>
      <c r="J102" s="315"/>
      <c r="K102" s="315"/>
      <c r="L102" s="1640">
        <v>2012</v>
      </c>
      <c r="M102" s="1662">
        <v>8790.3356710000007</v>
      </c>
      <c r="N102" s="540">
        <v>1659.1214150000001</v>
      </c>
      <c r="O102" s="540">
        <v>2251.4334639999997</v>
      </c>
    </row>
    <row r="103" spans="1:16" s="333" customFormat="1" x14ac:dyDescent="0.25">
      <c r="A103" s="315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1640">
        <v>2013</v>
      </c>
      <c r="M103" s="1662">
        <v>9312.0481639999998</v>
      </c>
      <c r="N103" s="540">
        <v>2502.1743270000002</v>
      </c>
      <c r="O103" s="540">
        <v>1859.9497319999996</v>
      </c>
    </row>
    <row r="104" spans="1:16" s="333" customFormat="1" x14ac:dyDescent="0.25">
      <c r="A104" s="315"/>
      <c r="B104" s="315"/>
      <c r="C104" s="315"/>
      <c r="D104" s="315"/>
      <c r="E104" s="315"/>
      <c r="F104" s="315"/>
      <c r="G104" s="315"/>
      <c r="H104" s="315"/>
      <c r="I104" s="315"/>
      <c r="J104" s="315"/>
      <c r="K104" s="315"/>
      <c r="L104" s="1640">
        <v>2014</v>
      </c>
      <c r="M104" s="1662">
        <v>10524.2995257</v>
      </c>
      <c r="N104" s="540">
        <v>2247.4841483999999</v>
      </c>
      <c r="O104" s="540">
        <v>1774.0213266999999</v>
      </c>
    </row>
    <row r="105" spans="1:16" s="333" customFormat="1" x14ac:dyDescent="0.25">
      <c r="A105" s="315"/>
      <c r="B105" s="315"/>
      <c r="C105" s="315"/>
      <c r="D105" s="315"/>
      <c r="E105" s="315"/>
      <c r="F105" s="315"/>
      <c r="G105" s="315"/>
      <c r="H105" s="315"/>
      <c r="I105" s="315"/>
      <c r="J105" s="315"/>
      <c r="K105" s="315"/>
      <c r="L105" s="1640">
        <v>2015</v>
      </c>
      <c r="M105" s="1662">
        <v>11546.026379285515</v>
      </c>
      <c r="N105" s="540">
        <v>2268.6898054583298</v>
      </c>
      <c r="O105" s="540">
        <v>2465.9950980561539</v>
      </c>
    </row>
    <row r="106" spans="1:16" x14ac:dyDescent="0.25">
      <c r="L106" s="1640">
        <v>2016</v>
      </c>
      <c r="M106" s="1661">
        <v>15441.282012900001</v>
      </c>
      <c r="N106" s="328">
        <v>1886.0703753999996</v>
      </c>
      <c r="O106" s="328">
        <v>3153.3143684000006</v>
      </c>
    </row>
    <row r="107" spans="1:16" x14ac:dyDescent="0.25">
      <c r="L107" s="1640">
        <v>2017</v>
      </c>
      <c r="M107" s="1661">
        <v>15632.895779899998</v>
      </c>
      <c r="N107" s="328">
        <v>2155.3877535000001</v>
      </c>
      <c r="O107" s="328">
        <v>4035.4260364999996</v>
      </c>
    </row>
    <row r="108" spans="1:16" x14ac:dyDescent="0.25">
      <c r="L108" s="1640">
        <v>2018</v>
      </c>
      <c r="M108" s="1661">
        <v>16656.682654</v>
      </c>
      <c r="N108" s="328">
        <v>1782.3913207000001</v>
      </c>
      <c r="O108" s="328">
        <v>5354.8390771000004</v>
      </c>
    </row>
    <row r="109" spans="1:16" x14ac:dyDescent="0.25">
      <c r="L109" s="1640">
        <v>2019</v>
      </c>
      <c r="M109" s="1661">
        <v>17402.388649600001</v>
      </c>
      <c r="N109" s="328">
        <v>1745.64391</v>
      </c>
      <c r="O109" s="328">
        <v>5917.6806945999988</v>
      </c>
    </row>
    <row r="110" spans="1:16" x14ac:dyDescent="0.25">
      <c r="L110" s="1640">
        <v>2020</v>
      </c>
      <c r="M110" s="1661">
        <v>16044.4032381</v>
      </c>
      <c r="N110" s="328">
        <v>1460.2973556000002</v>
      </c>
      <c r="O110" s="328">
        <v>5353.0077298999968</v>
      </c>
    </row>
    <row r="111" spans="1:16" x14ac:dyDescent="0.25">
      <c r="L111" s="1640">
        <v>2021</v>
      </c>
      <c r="M111" s="1661">
        <v>17992.527090399999</v>
      </c>
      <c r="N111" s="328">
        <v>1785.9507896999999</v>
      </c>
      <c r="O111" s="328">
        <v>6315.9621753000029</v>
      </c>
    </row>
    <row r="112" spans="1:16" x14ac:dyDescent="0.25">
      <c r="L112" s="1640">
        <v>2022</v>
      </c>
      <c r="M112" s="1661">
        <v>19157.439999999999</v>
      </c>
      <c r="N112" s="328">
        <v>1900.71</v>
      </c>
      <c r="O112" s="328">
        <v>6721.32</v>
      </c>
    </row>
    <row r="113" spans="12:19" x14ac:dyDescent="0.25">
      <c r="L113" s="1640"/>
      <c r="M113" s="1631"/>
    </row>
    <row r="115" spans="12:19" x14ac:dyDescent="0.25">
      <c r="P115" s="371"/>
    </row>
    <row r="116" spans="12:19" x14ac:dyDescent="0.25">
      <c r="P116" s="371"/>
    </row>
    <row r="117" spans="12:19" x14ac:dyDescent="0.25">
      <c r="P117" s="328"/>
      <c r="Q117" s="320"/>
      <c r="R117" s="320"/>
      <c r="S117" s="320"/>
    </row>
    <row r="130" spans="1:24" ht="15" customHeight="1" x14ac:dyDescent="0.25"/>
    <row r="131" spans="1:24" ht="15" customHeight="1" x14ac:dyDescent="0.25"/>
    <row r="132" spans="1:24" ht="15" customHeight="1" x14ac:dyDescent="0.25"/>
    <row r="133" spans="1:24" ht="15" customHeight="1" x14ac:dyDescent="0.25"/>
    <row r="134" spans="1:24" s="333" customFormat="1" ht="13.5" customHeight="1" x14ac:dyDescent="0.25">
      <c r="A134" s="315"/>
      <c r="B134" s="315"/>
      <c r="C134" s="315"/>
      <c r="D134" s="315"/>
      <c r="E134" s="315"/>
      <c r="F134" s="315"/>
      <c r="G134" s="315"/>
      <c r="H134" s="315"/>
      <c r="I134" s="315"/>
      <c r="J134" s="315"/>
      <c r="K134" s="315"/>
      <c r="N134" s="315"/>
      <c r="O134" s="315"/>
      <c r="P134" s="315"/>
      <c r="Q134" s="315"/>
      <c r="R134" s="315"/>
      <c r="S134" s="315"/>
      <c r="T134" s="315"/>
      <c r="U134" s="315"/>
    </row>
    <row r="135" spans="1:24" s="333" customFormat="1" x14ac:dyDescent="0.25">
      <c r="A135" s="315"/>
      <c r="B135" s="315"/>
      <c r="C135" s="315"/>
      <c r="D135" s="315"/>
      <c r="E135" s="315"/>
      <c r="F135" s="315"/>
      <c r="G135" s="315"/>
      <c r="H135" s="315"/>
      <c r="I135" s="315"/>
      <c r="J135" s="315"/>
      <c r="K135" s="315"/>
      <c r="N135" s="315"/>
      <c r="O135" s="315"/>
      <c r="P135" s="315"/>
      <c r="Q135" s="315"/>
      <c r="R135" s="315"/>
      <c r="S135" s="315"/>
      <c r="T135" s="315"/>
      <c r="U135" s="315"/>
    </row>
    <row r="136" spans="1:24" s="333" customFormat="1" x14ac:dyDescent="0.25">
      <c r="A136" s="315"/>
      <c r="B136" s="315"/>
      <c r="C136" s="315"/>
      <c r="D136" s="315"/>
      <c r="E136" s="315"/>
      <c r="F136" s="315"/>
      <c r="G136" s="315"/>
      <c r="H136" s="315"/>
      <c r="I136" s="315"/>
      <c r="J136" s="315"/>
      <c r="K136" s="315"/>
      <c r="N136" s="315"/>
      <c r="O136" s="315"/>
      <c r="P136" s="315"/>
      <c r="Q136" s="315"/>
      <c r="R136" s="315"/>
      <c r="S136" s="315"/>
      <c r="T136" s="315"/>
      <c r="U136" s="315"/>
    </row>
    <row r="137" spans="1:24" s="333" customFormat="1" x14ac:dyDescent="0.25">
      <c r="A137" s="315"/>
      <c r="B137" s="315"/>
      <c r="C137" s="315"/>
      <c r="D137" s="315"/>
      <c r="E137" s="315"/>
      <c r="F137" s="315"/>
      <c r="G137" s="315"/>
      <c r="H137" s="315"/>
      <c r="I137" s="315"/>
      <c r="J137" s="315"/>
      <c r="K137" s="315"/>
      <c r="N137" s="315"/>
      <c r="O137" s="315"/>
      <c r="P137" s="315"/>
      <c r="Q137" s="315"/>
      <c r="R137" s="315"/>
      <c r="S137" s="315"/>
      <c r="T137" s="315"/>
      <c r="U137" s="315"/>
    </row>
    <row r="138" spans="1:24" x14ac:dyDescent="0.25">
      <c r="V138" s="560"/>
      <c r="W138" s="560"/>
      <c r="X138" s="560"/>
    </row>
    <row r="140" spans="1:24" x14ac:dyDescent="0.25">
      <c r="V140" s="318"/>
      <c r="W140" s="318"/>
      <c r="X140" s="371"/>
    </row>
    <row r="141" spans="1:24" x14ac:dyDescent="0.25">
      <c r="V141" s="371"/>
      <c r="W141" s="371"/>
      <c r="X141" s="371"/>
    </row>
    <row r="142" spans="1:24" x14ac:dyDescent="0.25">
      <c r="V142" s="371"/>
      <c r="W142" s="371"/>
      <c r="X142" s="371"/>
    </row>
    <row r="143" spans="1:24" x14ac:dyDescent="0.25">
      <c r="V143" s="371"/>
      <c r="W143" s="371"/>
      <c r="X143" s="371"/>
    </row>
    <row r="144" spans="1:24" x14ac:dyDescent="0.25">
      <c r="V144" s="371"/>
      <c r="W144" s="371"/>
      <c r="X144" s="371"/>
    </row>
    <row r="145" spans="20:24" x14ac:dyDescent="0.25">
      <c r="V145" s="371"/>
      <c r="W145" s="371"/>
      <c r="X145" s="371"/>
    </row>
    <row r="146" spans="20:24" x14ac:dyDescent="0.25">
      <c r="V146" s="371"/>
      <c r="W146" s="371"/>
      <c r="X146" s="371"/>
    </row>
    <row r="147" spans="20:24" x14ac:dyDescent="0.25">
      <c r="V147" s="371"/>
      <c r="W147" s="371"/>
      <c r="X147" s="371"/>
    </row>
    <row r="148" spans="20:24" x14ac:dyDescent="0.25">
      <c r="V148" s="371"/>
      <c r="W148" s="371"/>
      <c r="X148" s="371"/>
    </row>
    <row r="149" spans="20:24" x14ac:dyDescent="0.25">
      <c r="V149" s="371"/>
      <c r="W149" s="371"/>
      <c r="X149" s="371"/>
    </row>
    <row r="150" spans="20:24" x14ac:dyDescent="0.25">
      <c r="T150" s="371"/>
      <c r="U150" s="371"/>
      <c r="V150" s="371"/>
      <c r="W150" s="371"/>
      <c r="X150" s="371"/>
    </row>
    <row r="152" spans="20:24" ht="21.75" customHeight="1" x14ac:dyDescent="0.25"/>
    <row r="153" spans="20:24" ht="21.75" customHeight="1" x14ac:dyDescent="0.25"/>
    <row r="154" spans="20:24" ht="21.75" customHeight="1" x14ac:dyDescent="0.25"/>
    <row r="155" spans="20:24" ht="21.75" customHeight="1" x14ac:dyDescent="0.25"/>
  </sheetData>
  <mergeCells count="7">
    <mergeCell ref="C4:G4"/>
    <mergeCell ref="H4:L4"/>
    <mergeCell ref="C63:F63"/>
    <mergeCell ref="A4:A5"/>
    <mergeCell ref="B4:B5"/>
    <mergeCell ref="A63:A64"/>
    <mergeCell ref="B63:B64"/>
  </mergeCells>
  <printOptions horizontalCentered="1"/>
  <pageMargins left="0.35433070866141736" right="3.937007874015748E-2" top="0.43307086614173229" bottom="0.19685039370078741" header="0" footer="0"/>
  <pageSetup paperSize="9" scale="54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71"/>
  <sheetViews>
    <sheetView showGridLines="0" view="pageBreakPreview" zoomScaleNormal="85" zoomScaleSheetLayoutView="100" workbookViewId="0">
      <selection activeCell="M45" sqref="M45"/>
    </sheetView>
  </sheetViews>
  <sheetFormatPr baseColWidth="10" defaultColWidth="11.453125" defaultRowHeight="12.5" x14ac:dyDescent="0.25"/>
  <cols>
    <col min="1" max="1" width="4.54296875" style="315" customWidth="1"/>
    <col min="2" max="2" width="22.1796875" style="315" customWidth="1"/>
    <col min="3" max="3" width="15" style="315" customWidth="1"/>
    <col min="4" max="4" width="13.26953125" style="315" customWidth="1"/>
    <col min="5" max="5" width="12.7265625" style="315" customWidth="1"/>
    <col min="6" max="6" width="14" style="315" customWidth="1"/>
    <col min="7" max="7" width="11.81640625" style="315" customWidth="1"/>
    <col min="8" max="8" width="12.453125" style="315" customWidth="1"/>
    <col min="9" max="9" width="11.7265625" style="315" customWidth="1"/>
    <col min="10" max="10" width="11" style="315" customWidth="1"/>
    <col min="11" max="11" width="12.26953125" style="315" customWidth="1"/>
    <col min="12" max="14" width="11.453125" style="315"/>
    <col min="15" max="15" width="13.26953125" style="315" bestFit="1" customWidth="1"/>
    <col min="16" max="16" width="11.81640625" style="315" bestFit="1" customWidth="1"/>
    <col min="17" max="17" width="13.26953125" style="315" bestFit="1" customWidth="1"/>
    <col min="18" max="16384" width="11.453125" style="315"/>
  </cols>
  <sheetData>
    <row r="1" spans="1:28" ht="18" x14ac:dyDescent="0.4">
      <c r="A1" s="438" t="s">
        <v>187</v>
      </c>
    </row>
    <row r="3" spans="1:28" ht="14" x14ac:dyDescent="0.3">
      <c r="C3" s="439"/>
      <c r="D3" s="439"/>
      <c r="E3" s="439"/>
      <c r="F3" s="439"/>
      <c r="G3" s="439"/>
      <c r="H3" s="591"/>
      <c r="I3" s="591"/>
      <c r="J3" s="591"/>
      <c r="K3" s="591"/>
    </row>
    <row r="4" spans="1:28" ht="15.5" x14ac:dyDescent="0.35">
      <c r="B4" s="613" t="s">
        <v>207</v>
      </c>
    </row>
    <row r="6" spans="1:28" s="493" customFormat="1" ht="16.5" customHeight="1" x14ac:dyDescent="0.25">
      <c r="B6" s="1566" t="s">
        <v>39</v>
      </c>
      <c r="C6" s="1567" t="s">
        <v>138</v>
      </c>
      <c r="D6" s="1568"/>
      <c r="E6" s="1568"/>
      <c r="F6" s="1567" t="s">
        <v>56</v>
      </c>
      <c r="G6" s="1568"/>
      <c r="H6" s="1568"/>
      <c r="I6" s="1577" t="s">
        <v>54</v>
      </c>
      <c r="J6" s="1568"/>
      <c r="K6" s="1569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</row>
    <row r="7" spans="1:28" s="493" customFormat="1" ht="16.5" customHeight="1" x14ac:dyDescent="0.25">
      <c r="B7" s="1554"/>
      <c r="C7" s="1089" t="s">
        <v>53</v>
      </c>
      <c r="D7" s="1125" t="s">
        <v>129</v>
      </c>
      <c r="E7" s="1126" t="s">
        <v>130</v>
      </c>
      <c r="F7" s="1127" t="s">
        <v>131</v>
      </c>
      <c r="G7" s="1125" t="s">
        <v>129</v>
      </c>
      <c r="H7" s="1126" t="s">
        <v>130</v>
      </c>
      <c r="I7" s="1128" t="s">
        <v>53</v>
      </c>
      <c r="J7" s="1125" t="s">
        <v>129</v>
      </c>
      <c r="K7" s="1129" t="s">
        <v>130</v>
      </c>
      <c r="O7" s="315" t="s">
        <v>139</v>
      </c>
      <c r="P7" s="315" t="s">
        <v>140</v>
      </c>
      <c r="R7" s="1311"/>
      <c r="S7" s="315" t="s">
        <v>139</v>
      </c>
      <c r="T7" s="315" t="s">
        <v>140</v>
      </c>
      <c r="U7" s="315"/>
      <c r="V7" s="315"/>
      <c r="W7" s="315"/>
      <c r="X7" s="315"/>
      <c r="Y7" s="315"/>
      <c r="Z7" s="315"/>
      <c r="AA7" s="315"/>
      <c r="AB7" s="315"/>
    </row>
    <row r="8" spans="1:28" ht="13" x14ac:dyDescent="0.3">
      <c r="B8" s="440">
        <v>1995</v>
      </c>
      <c r="C8" s="592">
        <f>SUM(D8:E8)</f>
        <v>826676.00168974232</v>
      </c>
      <c r="D8" s="364">
        <f t="shared" ref="D8:E13" si="0">(G8+J8)</f>
        <v>652594.70505039126</v>
      </c>
      <c r="E8" s="351">
        <f t="shared" si="0"/>
        <v>174081.29663935103</v>
      </c>
      <c r="F8" s="593">
        <f t="shared" ref="F8:F23" si="1">SUM(G8:H8)</f>
        <v>776779.19139398972</v>
      </c>
      <c r="G8" s="364">
        <f>+'9.2 y 9.3'!H6</f>
        <v>652594.70505039126</v>
      </c>
      <c r="H8" s="351">
        <f>+'9.2 y 9.3'!C6</f>
        <v>124184.48634359846</v>
      </c>
      <c r="I8" s="349">
        <f t="shared" ref="I8:I26" si="2">SUM(J8:K8)</f>
        <v>49896.810295752563</v>
      </c>
      <c r="J8" s="364"/>
      <c r="K8" s="395">
        <f>+'9.2 y 9.3'!B68</f>
        <v>49896.810295752563</v>
      </c>
      <c r="M8" s="375"/>
      <c r="N8" s="315">
        <v>1995</v>
      </c>
      <c r="O8" s="452">
        <f>D8</f>
        <v>652594.70505039126</v>
      </c>
      <c r="P8" s="452">
        <f>E8</f>
        <v>174081.29663935103</v>
      </c>
      <c r="R8" s="315">
        <f>+N8</f>
        <v>1995</v>
      </c>
      <c r="S8" s="822">
        <f>+O8</f>
        <v>652594.70505039126</v>
      </c>
      <c r="T8" s="822">
        <f>+P8</f>
        <v>174081.29663935103</v>
      </c>
    </row>
    <row r="9" spans="1:28" ht="13" x14ac:dyDescent="0.3">
      <c r="B9" s="578">
        <v>1996</v>
      </c>
      <c r="C9" s="594">
        <f>SUM(D9:E9)</f>
        <v>893370.39514081739</v>
      </c>
      <c r="D9" s="369">
        <f t="shared" si="0"/>
        <v>703942.0843935553</v>
      </c>
      <c r="E9" s="371">
        <f t="shared" si="0"/>
        <v>189428.31074726206</v>
      </c>
      <c r="F9" s="595">
        <f t="shared" si="1"/>
        <v>822460.27859264216</v>
      </c>
      <c r="G9" s="369">
        <f>+'9.2 y 9.3'!H7</f>
        <v>703942.0843935553</v>
      </c>
      <c r="H9" s="371">
        <f>+'9.2 y 9.3'!C7</f>
        <v>118518.19419908689</v>
      </c>
      <c r="I9" s="372">
        <f t="shared" si="2"/>
        <v>70910.116548175167</v>
      </c>
      <c r="J9" s="369"/>
      <c r="K9" s="407">
        <f>+'9.2 y 9.3'!B69</f>
        <v>70910.116548175167</v>
      </c>
      <c r="M9" s="375"/>
      <c r="N9" s="315">
        <v>1996</v>
      </c>
      <c r="O9" s="452">
        <f t="shared" ref="O9:P33" si="3">D9</f>
        <v>703942.0843935553</v>
      </c>
      <c r="P9" s="452">
        <f t="shared" si="3"/>
        <v>189428.31074726206</v>
      </c>
      <c r="R9" s="315">
        <f>+N13</f>
        <v>2000</v>
      </c>
      <c r="S9" s="132">
        <f>+O13</f>
        <v>740329.43935992219</v>
      </c>
      <c r="T9" s="132">
        <f>+P13</f>
        <v>372740.06090845715</v>
      </c>
    </row>
    <row r="10" spans="1:28" ht="13" x14ac:dyDescent="0.3">
      <c r="B10" s="440">
        <v>1997</v>
      </c>
      <c r="C10" s="592">
        <f>SUM(D10:E10)</f>
        <v>1019537.5366169369</v>
      </c>
      <c r="D10" s="364">
        <f t="shared" si="0"/>
        <v>739882.06859937776</v>
      </c>
      <c r="E10" s="351">
        <f t="shared" si="0"/>
        <v>279655.46801755915</v>
      </c>
      <c r="F10" s="593">
        <f t="shared" si="1"/>
        <v>859351.67959043023</v>
      </c>
      <c r="G10" s="364">
        <f>+'9.2 y 9.3'!H8</f>
        <v>739882.06859937776</v>
      </c>
      <c r="H10" s="351">
        <f>+'9.2 y 9.3'!C8</f>
        <v>119469.61099105242</v>
      </c>
      <c r="I10" s="349">
        <f t="shared" si="2"/>
        <v>160185.85702650671</v>
      </c>
      <c r="J10" s="364"/>
      <c r="K10" s="395">
        <f>+'9.2 y 9.3'!B70</f>
        <v>160185.85702650671</v>
      </c>
      <c r="M10" s="375"/>
      <c r="N10" s="315">
        <v>1997</v>
      </c>
      <c r="O10" s="452">
        <f t="shared" si="3"/>
        <v>739882.06859937776</v>
      </c>
      <c r="P10" s="452">
        <f t="shared" si="3"/>
        <v>279655.46801755915</v>
      </c>
      <c r="R10" s="315">
        <f>+N18</f>
        <v>2005</v>
      </c>
      <c r="S10" s="132">
        <f>+O18</f>
        <v>1048137.0214944701</v>
      </c>
      <c r="T10" s="132">
        <f>+P18</f>
        <v>531072.24960191001</v>
      </c>
    </row>
    <row r="11" spans="1:28" ht="13" x14ac:dyDescent="0.3">
      <c r="B11" s="578">
        <v>1998</v>
      </c>
      <c r="C11" s="594">
        <f t="shared" ref="C11:C23" si="4">SUM(D11:E11)</f>
        <v>988144.97054525139</v>
      </c>
      <c r="D11" s="369">
        <f t="shared" si="0"/>
        <v>678887.14895575435</v>
      </c>
      <c r="E11" s="371">
        <f t="shared" si="0"/>
        <v>309257.82158949709</v>
      </c>
      <c r="F11" s="595">
        <f t="shared" si="1"/>
        <v>786060.99965563859</v>
      </c>
      <c r="G11" s="369">
        <f>+'9.2 y 9.3'!H9</f>
        <v>678887.14895575435</v>
      </c>
      <c r="H11" s="371">
        <f>+'9.2 y 9.3'!C9</f>
        <v>107173.85069988419</v>
      </c>
      <c r="I11" s="372">
        <f t="shared" si="2"/>
        <v>202083.97088961289</v>
      </c>
      <c r="J11" s="369"/>
      <c r="K11" s="407">
        <f>+'9.2 y 9.3'!B71</f>
        <v>202083.97088961289</v>
      </c>
      <c r="M11" s="375"/>
      <c r="N11" s="315">
        <v>1998</v>
      </c>
      <c r="O11" s="452">
        <f t="shared" si="3"/>
        <v>678887.14895575435</v>
      </c>
      <c r="P11" s="452">
        <f t="shared" si="3"/>
        <v>309257.82158949709</v>
      </c>
      <c r="R11" s="315">
        <f t="shared" ref="R11:R23" si="5">+N23</f>
        <v>2010</v>
      </c>
      <c r="S11" s="132">
        <f t="shared" ref="S11:S23" si="6">+O23</f>
        <v>1718589.3030064055</v>
      </c>
      <c r="T11" s="132">
        <f t="shared" ref="T11:T23" si="7">+P23</f>
        <v>729945.72519655328</v>
      </c>
    </row>
    <row r="12" spans="1:28" ht="13" x14ac:dyDescent="0.3">
      <c r="B12" s="440">
        <v>1999</v>
      </c>
      <c r="C12" s="592">
        <f t="shared" si="4"/>
        <v>991959.36826673022</v>
      </c>
      <c r="D12" s="364">
        <f t="shared" si="0"/>
        <v>670509.97864915198</v>
      </c>
      <c r="E12" s="351">
        <f t="shared" si="0"/>
        <v>321449.38961757824</v>
      </c>
      <c r="F12" s="593">
        <f t="shared" si="1"/>
        <v>778389.13985393988</v>
      </c>
      <c r="G12" s="364">
        <f>+'9.2 y 9.3'!H10</f>
        <v>670509.97864915198</v>
      </c>
      <c r="H12" s="351">
        <f>+'9.2 y 9.3'!C10</f>
        <v>107879.16120478789</v>
      </c>
      <c r="I12" s="349">
        <f t="shared" si="2"/>
        <v>213570.22841279037</v>
      </c>
      <c r="J12" s="364"/>
      <c r="K12" s="395">
        <f>+'9.2 y 9.3'!B72</f>
        <v>213570.22841279037</v>
      </c>
      <c r="M12" s="375"/>
      <c r="N12" s="315">
        <v>1999</v>
      </c>
      <c r="O12" s="452">
        <f t="shared" si="3"/>
        <v>670509.97864915198</v>
      </c>
      <c r="P12" s="452">
        <f t="shared" si="3"/>
        <v>321449.38961757824</v>
      </c>
      <c r="R12" s="315">
        <f t="shared" si="5"/>
        <v>2011</v>
      </c>
      <c r="S12" s="132">
        <f t="shared" si="6"/>
        <v>1984402.415805182</v>
      </c>
      <c r="T12" s="132">
        <f t="shared" si="7"/>
        <v>875989.13955361466</v>
      </c>
    </row>
    <row r="13" spans="1:28" ht="13" x14ac:dyDescent="0.3">
      <c r="B13" s="578">
        <v>2000</v>
      </c>
      <c r="C13" s="594">
        <f t="shared" si="4"/>
        <v>1113069.5002683792</v>
      </c>
      <c r="D13" s="369">
        <f t="shared" si="0"/>
        <v>740329.43935992219</v>
      </c>
      <c r="E13" s="371">
        <f t="shared" si="0"/>
        <v>372740.06090845715</v>
      </c>
      <c r="F13" s="595">
        <f t="shared" si="1"/>
        <v>866072.13672822504</v>
      </c>
      <c r="G13" s="369">
        <f>+'9.2 y 9.3'!H11</f>
        <v>740329.43935992219</v>
      </c>
      <c r="H13" s="371">
        <f>+'9.2 y 9.3'!C11</f>
        <v>125742.6973683028</v>
      </c>
      <c r="I13" s="372">
        <f t="shared" si="2"/>
        <v>246997.36354015436</v>
      </c>
      <c r="J13" s="369"/>
      <c r="K13" s="407">
        <f>+'9.2 y 9.3'!B73</f>
        <v>246997.36354015436</v>
      </c>
      <c r="M13" s="375"/>
      <c r="N13" s="315">
        <v>2000</v>
      </c>
      <c r="O13" s="452">
        <f t="shared" si="3"/>
        <v>740329.43935992219</v>
      </c>
      <c r="P13" s="452">
        <f t="shared" si="3"/>
        <v>372740.06090845715</v>
      </c>
      <c r="R13" s="315">
        <f t="shared" si="5"/>
        <v>2012</v>
      </c>
      <c r="S13" s="132">
        <f t="shared" si="6"/>
        <v>2313676.253838758</v>
      </c>
      <c r="T13" s="132">
        <f t="shared" si="7"/>
        <v>985449.24548825587</v>
      </c>
    </row>
    <row r="14" spans="1:28" ht="13" x14ac:dyDescent="0.3">
      <c r="B14" s="440">
        <v>2001</v>
      </c>
      <c r="C14" s="592">
        <f>SUM(D14:E14)</f>
        <v>1139358.5138385482</v>
      </c>
      <c r="D14" s="364">
        <f>(G14+J14)</f>
        <v>761192.05792891572</v>
      </c>
      <c r="E14" s="351">
        <f>(H14+K14)</f>
        <v>378166.4559096325</v>
      </c>
      <c r="F14" s="593">
        <f>SUM(G14:H14)</f>
        <v>862632.28368588316</v>
      </c>
      <c r="G14" s="364">
        <f>+'9.2 y 9.3'!H12</f>
        <v>761192.05792891572</v>
      </c>
      <c r="H14" s="351">
        <f>+'9.2 y 9.3'!C12</f>
        <v>101440.22575696744</v>
      </c>
      <c r="I14" s="349">
        <f t="shared" si="2"/>
        <v>276726.23015266506</v>
      </c>
      <c r="J14" s="350"/>
      <c r="K14" s="395">
        <f>+'9.2 y 9.3'!B74</f>
        <v>276726.23015266506</v>
      </c>
      <c r="M14" s="375"/>
      <c r="N14" s="315">
        <v>2001</v>
      </c>
      <c r="O14" s="452">
        <f t="shared" si="3"/>
        <v>761192.05792891572</v>
      </c>
      <c r="P14" s="452">
        <f t="shared" si="3"/>
        <v>378166.4559096325</v>
      </c>
      <c r="R14" s="315">
        <f t="shared" si="5"/>
        <v>2013</v>
      </c>
      <c r="S14" s="132">
        <f t="shared" si="6"/>
        <v>2432390.4404826723</v>
      </c>
      <c r="T14" s="132">
        <f t="shared" si="7"/>
        <v>1103957.4136235374</v>
      </c>
    </row>
    <row r="15" spans="1:28" ht="13" x14ac:dyDescent="0.3">
      <c r="B15" s="578">
        <v>2002</v>
      </c>
      <c r="C15" s="594">
        <f t="shared" si="4"/>
        <v>1157067.1602677335</v>
      </c>
      <c r="D15" s="369">
        <f t="shared" ref="D15:E25" si="8">SUM(G15,J15)</f>
        <v>764543.09032842796</v>
      </c>
      <c r="E15" s="371">
        <f t="shared" si="8"/>
        <v>392524.06993930548</v>
      </c>
      <c r="F15" s="595">
        <f t="shared" si="1"/>
        <v>862228.11757443007</v>
      </c>
      <c r="G15" s="369">
        <f>+'9.2 y 9.3'!H13</f>
        <v>764543.09032842796</v>
      </c>
      <c r="H15" s="371">
        <f>+'9.2 y 9.3'!C13</f>
        <v>97685.027246002166</v>
      </c>
      <c r="I15" s="372">
        <f t="shared" si="2"/>
        <v>294839.04269330332</v>
      </c>
      <c r="J15" s="370"/>
      <c r="K15" s="407">
        <f>+'9.2 y 9.3'!B75</f>
        <v>294839.04269330332</v>
      </c>
      <c r="N15" s="315">
        <v>2002</v>
      </c>
      <c r="O15" s="452">
        <f t="shared" si="3"/>
        <v>764543.09032842796</v>
      </c>
      <c r="P15" s="452">
        <f t="shared" si="3"/>
        <v>392524.06993930548</v>
      </c>
      <c r="R15" s="315">
        <f t="shared" si="5"/>
        <v>2014</v>
      </c>
      <c r="S15" s="132">
        <f t="shared" si="6"/>
        <v>2788496.0176665494</v>
      </c>
      <c r="T15" s="132">
        <f t="shared" si="7"/>
        <v>1236693.2682361826</v>
      </c>
    </row>
    <row r="16" spans="1:28" ht="13" x14ac:dyDescent="0.3">
      <c r="B16" s="440">
        <v>2003</v>
      </c>
      <c r="C16" s="592">
        <f>SUM(D16:E16)</f>
        <v>1217210.1436706816</v>
      </c>
      <c r="D16" s="364">
        <f t="shared" si="8"/>
        <v>811107.14639795315</v>
      </c>
      <c r="E16" s="351">
        <f t="shared" si="8"/>
        <v>406102.99727272848</v>
      </c>
      <c r="F16" s="593">
        <f>SUM(G16:H16)</f>
        <v>901096.17241545301</v>
      </c>
      <c r="G16" s="364">
        <f>+'9.2 y 9.3'!H14</f>
        <v>811107.14639795315</v>
      </c>
      <c r="H16" s="351">
        <f>+'9.2 y 9.3'!C14</f>
        <v>89989.026017499913</v>
      </c>
      <c r="I16" s="349">
        <f>SUM(J16:K16)</f>
        <v>316113.97125522856</v>
      </c>
      <c r="J16" s="350"/>
      <c r="K16" s="395">
        <f>+'9.2 y 9.3'!B76</f>
        <v>316113.97125522856</v>
      </c>
      <c r="N16" s="315">
        <v>2003</v>
      </c>
      <c r="O16" s="452">
        <f t="shared" si="3"/>
        <v>811107.14639795315</v>
      </c>
      <c r="P16" s="452">
        <f t="shared" si="3"/>
        <v>406102.99727272848</v>
      </c>
      <c r="R16" s="315">
        <f t="shared" si="5"/>
        <v>2015</v>
      </c>
      <c r="S16" s="132">
        <f t="shared" si="6"/>
        <v>2880093.0600000047</v>
      </c>
      <c r="T16" s="132">
        <f t="shared" si="7"/>
        <v>1291318.3319920599</v>
      </c>
    </row>
    <row r="17" spans="2:20" ht="13" x14ac:dyDescent="0.3">
      <c r="B17" s="578">
        <v>2004</v>
      </c>
      <c r="C17" s="594">
        <f t="shared" si="4"/>
        <v>1382300.0118101076</v>
      </c>
      <c r="D17" s="369">
        <f t="shared" si="8"/>
        <v>897997.70685053943</v>
      </c>
      <c r="E17" s="371">
        <f t="shared" si="8"/>
        <v>484302.30495956831</v>
      </c>
      <c r="F17" s="595">
        <f t="shared" si="1"/>
        <v>986870.11767828721</v>
      </c>
      <c r="G17" s="369">
        <f>+'9.2 y 9.3'!H15</f>
        <v>897997.70685053943</v>
      </c>
      <c r="H17" s="371">
        <f>+'9.2 y 9.3'!C15</f>
        <v>88872.410827747721</v>
      </c>
      <c r="I17" s="372">
        <f t="shared" si="2"/>
        <v>395429.89413182059</v>
      </c>
      <c r="J17" s="370"/>
      <c r="K17" s="407">
        <f>+'9.2 y 9.3'!B77</f>
        <v>395429.89413182059</v>
      </c>
      <c r="N17" s="315">
        <v>2004</v>
      </c>
      <c r="O17" s="452">
        <f t="shared" si="3"/>
        <v>897997.70685053943</v>
      </c>
      <c r="P17" s="452">
        <f t="shared" si="3"/>
        <v>484302.30495956831</v>
      </c>
      <c r="R17" s="315">
        <f t="shared" si="5"/>
        <v>2016</v>
      </c>
      <c r="S17" s="132">
        <f t="shared" si="6"/>
        <v>2947578.3042463912</v>
      </c>
      <c r="T17" s="132">
        <f t="shared" si="7"/>
        <v>1501878.1512877787</v>
      </c>
    </row>
    <row r="18" spans="2:20" ht="13" x14ac:dyDescent="0.3">
      <c r="B18" s="440">
        <v>2005</v>
      </c>
      <c r="C18" s="592">
        <f t="shared" si="4"/>
        <v>1579209.27109638</v>
      </c>
      <c r="D18" s="364">
        <f t="shared" si="8"/>
        <v>1048137.0214944701</v>
      </c>
      <c r="E18" s="351">
        <f t="shared" si="8"/>
        <v>531072.24960191001</v>
      </c>
      <c r="F18" s="593">
        <f t="shared" si="1"/>
        <v>1147775.8928376874</v>
      </c>
      <c r="G18" s="364">
        <f>+'9.2 y 9.3'!H16</f>
        <v>1048137.0214944701</v>
      </c>
      <c r="H18" s="351">
        <f>+'9.2 y 9.3'!C16</f>
        <v>99638.871343217426</v>
      </c>
      <c r="I18" s="349">
        <f t="shared" si="2"/>
        <v>431433.37825869262</v>
      </c>
      <c r="J18" s="350"/>
      <c r="K18" s="395">
        <f>+'9.2 y 9.3'!B78</f>
        <v>431433.37825869262</v>
      </c>
      <c r="N18" s="315">
        <v>2005</v>
      </c>
      <c r="O18" s="452">
        <f t="shared" si="3"/>
        <v>1048137.0214944701</v>
      </c>
      <c r="P18" s="452">
        <f t="shared" si="3"/>
        <v>531072.24960191001</v>
      </c>
      <c r="R18" s="315">
        <f t="shared" si="5"/>
        <v>2017</v>
      </c>
      <c r="S18" s="132">
        <f t="shared" si="6"/>
        <v>2915208.5748256738</v>
      </c>
      <c r="T18" s="132">
        <f t="shared" si="7"/>
        <v>1564489.591531737</v>
      </c>
    </row>
    <row r="19" spans="2:20" ht="13" x14ac:dyDescent="0.3">
      <c r="B19" s="578">
        <v>2006</v>
      </c>
      <c r="C19" s="594">
        <f t="shared" si="4"/>
        <v>1683168.9043059072</v>
      </c>
      <c r="D19" s="369">
        <f t="shared" si="8"/>
        <v>1120521.0639498956</v>
      </c>
      <c r="E19" s="371">
        <f t="shared" si="8"/>
        <v>562647.84035601164</v>
      </c>
      <c r="F19" s="595">
        <f t="shared" si="1"/>
        <v>1222413.6377595204</v>
      </c>
      <c r="G19" s="369">
        <f>+'9.2 y 9.3'!H17</f>
        <v>1120521.0639498956</v>
      </c>
      <c r="H19" s="371">
        <f>+'9.2 y 9.3'!C17</f>
        <v>101892.57380962497</v>
      </c>
      <c r="I19" s="372">
        <f t="shared" si="2"/>
        <v>460755.2665463867</v>
      </c>
      <c r="J19" s="370"/>
      <c r="K19" s="407">
        <f>+'9.2 y 9.3'!B79</f>
        <v>460755.2665463867</v>
      </c>
      <c r="N19" s="315">
        <v>2006</v>
      </c>
      <c r="O19" s="452">
        <f t="shared" si="3"/>
        <v>1120521.0639498956</v>
      </c>
      <c r="P19" s="452">
        <f t="shared" si="3"/>
        <v>562647.84035601164</v>
      </c>
      <c r="R19" s="315">
        <f t="shared" si="5"/>
        <v>2018</v>
      </c>
      <c r="S19" s="132">
        <f t="shared" si="6"/>
        <v>3048268.389888139</v>
      </c>
      <c r="T19" s="132">
        <f t="shared" si="7"/>
        <v>1684287.6966351583</v>
      </c>
    </row>
    <row r="20" spans="2:20" ht="13" x14ac:dyDescent="0.3">
      <c r="B20" s="440">
        <v>2007</v>
      </c>
      <c r="C20" s="592">
        <f t="shared" si="4"/>
        <v>1830631.6634342424</v>
      </c>
      <c r="D20" s="364">
        <f t="shared" si="8"/>
        <v>1213689.4778540342</v>
      </c>
      <c r="E20" s="351">
        <f t="shared" si="8"/>
        <v>616942.18558020808</v>
      </c>
      <c r="F20" s="593">
        <f t="shared" si="1"/>
        <v>1305447.8754961956</v>
      </c>
      <c r="G20" s="364">
        <f>+'9.2 y 9.3'!H18</f>
        <v>1213689.4778540342</v>
      </c>
      <c r="H20" s="351">
        <f>+'9.2 y 9.3'!C18</f>
        <v>91758.397642161377</v>
      </c>
      <c r="I20" s="349">
        <f t="shared" si="2"/>
        <v>525183.78793804673</v>
      </c>
      <c r="J20" s="350"/>
      <c r="K20" s="395">
        <f>+'9.2 y 9.3'!B80</f>
        <v>525183.78793804673</v>
      </c>
      <c r="N20" s="376">
        <v>2007</v>
      </c>
      <c r="O20" s="452">
        <f t="shared" si="3"/>
        <v>1213689.4778540342</v>
      </c>
      <c r="P20" s="452">
        <f t="shared" si="3"/>
        <v>616942.18558020808</v>
      </c>
      <c r="R20" s="315">
        <f t="shared" si="5"/>
        <v>2019</v>
      </c>
      <c r="S20" s="132">
        <f t="shared" si="6"/>
        <v>3151419.0173609513</v>
      </c>
      <c r="T20" s="132">
        <f t="shared" si="7"/>
        <v>1781290.2196946391</v>
      </c>
    </row>
    <row r="21" spans="2:20" ht="13" x14ac:dyDescent="0.3">
      <c r="B21" s="578">
        <v>2008</v>
      </c>
      <c r="C21" s="594">
        <f t="shared" si="4"/>
        <v>2216099.9731833665</v>
      </c>
      <c r="D21" s="369">
        <f t="shared" si="8"/>
        <v>1393393.8557439279</v>
      </c>
      <c r="E21" s="371">
        <f t="shared" si="8"/>
        <v>822706.11743943871</v>
      </c>
      <c r="F21" s="595">
        <f t="shared" si="1"/>
        <v>1501002.7378177985</v>
      </c>
      <c r="G21" s="369">
        <f>+'9.2 y 9.3'!H19</f>
        <v>1393393.8557439279</v>
      </c>
      <c r="H21" s="371">
        <f>+'9.2 y 9.3'!C19</f>
        <v>107608.88207387061</v>
      </c>
      <c r="I21" s="372">
        <f t="shared" si="2"/>
        <v>715097.23536556808</v>
      </c>
      <c r="J21" s="370"/>
      <c r="K21" s="407">
        <f>+'9.2 y 9.3'!B81</f>
        <v>715097.23536556808</v>
      </c>
      <c r="N21" s="376">
        <v>2008</v>
      </c>
      <c r="O21" s="452">
        <f t="shared" si="3"/>
        <v>1393393.8557439279</v>
      </c>
      <c r="P21" s="452">
        <f t="shared" si="3"/>
        <v>822706.11743943871</v>
      </c>
      <c r="R21" s="315">
        <f t="shared" si="5"/>
        <v>2020</v>
      </c>
      <c r="S21" s="132">
        <f t="shared" si="6"/>
        <v>2963478.2963129096</v>
      </c>
      <c r="T21" s="132">
        <f t="shared" si="7"/>
        <v>1618568.1120464031</v>
      </c>
    </row>
    <row r="22" spans="2:20" ht="13" x14ac:dyDescent="0.3">
      <c r="B22" s="440">
        <v>2009</v>
      </c>
      <c r="C22" s="592">
        <f t="shared" si="4"/>
        <v>2236058.1538174003</v>
      </c>
      <c r="D22" s="364">
        <f t="shared" si="8"/>
        <v>1556915.7010486</v>
      </c>
      <c r="E22" s="351">
        <f t="shared" si="8"/>
        <v>679142.45276880008</v>
      </c>
      <c r="F22" s="593">
        <f t="shared" si="1"/>
        <v>1675664.7528214001</v>
      </c>
      <c r="G22" s="364">
        <f>+'9.2 y 9.3'!H20</f>
        <v>1556915.7010486</v>
      </c>
      <c r="H22" s="351">
        <f>+'9.2 y 9.3'!C20</f>
        <v>118749.05177280001</v>
      </c>
      <c r="I22" s="349">
        <f t="shared" si="2"/>
        <v>560393.40099600004</v>
      </c>
      <c r="J22" s="350"/>
      <c r="K22" s="395">
        <f>+'9.2 y 9.3'!B82</f>
        <v>560393.40099600004</v>
      </c>
      <c r="N22" s="376">
        <v>2009</v>
      </c>
      <c r="O22" s="452">
        <f t="shared" si="3"/>
        <v>1556915.7010486</v>
      </c>
      <c r="P22" s="452">
        <f t="shared" si="3"/>
        <v>679142.45276880008</v>
      </c>
      <c r="R22" s="315">
        <f t="shared" si="5"/>
        <v>2021</v>
      </c>
      <c r="S22" s="132">
        <f t="shared" si="6"/>
        <v>3007639.7849904932</v>
      </c>
      <c r="T22" s="132">
        <f t="shared" si="7"/>
        <v>1775326.3285122374</v>
      </c>
    </row>
    <row r="23" spans="2:20" ht="13" x14ac:dyDescent="0.3">
      <c r="B23" s="578">
        <v>2010</v>
      </c>
      <c r="C23" s="594">
        <f t="shared" si="4"/>
        <v>2448535.0282029589</v>
      </c>
      <c r="D23" s="369">
        <f t="shared" si="8"/>
        <v>1718589.3030064055</v>
      </c>
      <c r="E23" s="371">
        <f t="shared" si="8"/>
        <v>729945.72519655328</v>
      </c>
      <c r="F23" s="595">
        <f t="shared" si="1"/>
        <v>1841104.1163105767</v>
      </c>
      <c r="G23" s="369">
        <f>+'9.2 y 9.3'!H21</f>
        <v>1718589.3030064055</v>
      </c>
      <c r="H23" s="371">
        <f>+'9.2 y 9.3'!C21</f>
        <v>122514.81330417127</v>
      </c>
      <c r="I23" s="372">
        <f t="shared" si="2"/>
        <v>607430.91189238196</v>
      </c>
      <c r="J23" s="370"/>
      <c r="K23" s="407">
        <f>+'9.2 y 9.3'!B83</f>
        <v>607430.91189238196</v>
      </c>
      <c r="N23" s="376">
        <v>2010</v>
      </c>
      <c r="O23" s="452">
        <f t="shared" si="3"/>
        <v>1718589.3030064055</v>
      </c>
      <c r="P23" s="452">
        <f t="shared" si="3"/>
        <v>729945.72519655328</v>
      </c>
      <c r="R23" s="315">
        <f t="shared" si="5"/>
        <v>2022</v>
      </c>
      <c r="S23" s="132">
        <f t="shared" si="6"/>
        <v>3398643.75</v>
      </c>
      <c r="T23" s="132">
        <f t="shared" si="7"/>
        <v>2110823.7399999998</v>
      </c>
    </row>
    <row r="24" spans="2:20" ht="13" x14ac:dyDescent="0.3">
      <c r="B24" s="440">
        <v>2011</v>
      </c>
      <c r="C24" s="592">
        <f>SUM(D24:E24)</f>
        <v>2860391.5553587964</v>
      </c>
      <c r="D24" s="364">
        <f t="shared" si="8"/>
        <v>1984402.415805182</v>
      </c>
      <c r="E24" s="351">
        <f t="shared" si="8"/>
        <v>875989.13955361466</v>
      </c>
      <c r="F24" s="593">
        <f>SUM(G24:H24)</f>
        <v>2130475.7425380684</v>
      </c>
      <c r="G24" s="364">
        <f>+'9.2 y 9.3'!H22</f>
        <v>1984402.415805182</v>
      </c>
      <c r="H24" s="351">
        <f>+'9.2 y 9.3'!C22</f>
        <v>146073.32673288663</v>
      </c>
      <c r="I24" s="349">
        <f t="shared" si="2"/>
        <v>729915.81282072805</v>
      </c>
      <c r="J24" s="350"/>
      <c r="K24" s="395">
        <f>+'9.2 y 9.3'!B84</f>
        <v>729915.81282072805</v>
      </c>
      <c r="N24" s="376">
        <v>2011</v>
      </c>
      <c r="O24" s="452">
        <f t="shared" si="3"/>
        <v>1984402.415805182</v>
      </c>
      <c r="P24" s="452">
        <f t="shared" si="3"/>
        <v>875989.13955361466</v>
      </c>
      <c r="S24" s="371"/>
    </row>
    <row r="25" spans="2:20" ht="13" x14ac:dyDescent="0.3">
      <c r="B25" s="578">
        <v>2012</v>
      </c>
      <c r="C25" s="594">
        <f>SUM(D25:E25)</f>
        <v>3299125.4993270137</v>
      </c>
      <c r="D25" s="369">
        <f t="shared" si="8"/>
        <v>2313676.253838758</v>
      </c>
      <c r="E25" s="371">
        <f t="shared" si="8"/>
        <v>985449.24548825587</v>
      </c>
      <c r="F25" s="595">
        <f>SUM(G25:H25)</f>
        <v>2474533.5608113483</v>
      </c>
      <c r="G25" s="369">
        <f>+'9.2 y 9.3'!H23</f>
        <v>2313676.253838758</v>
      </c>
      <c r="H25" s="371">
        <f>+'9.2 y 9.3'!C23</f>
        <v>160857.30697259019</v>
      </c>
      <c r="I25" s="372">
        <f>SUM(J25:K25)</f>
        <v>824591.93851566571</v>
      </c>
      <c r="J25" s="370"/>
      <c r="K25" s="407">
        <f>+'9.2 y 9.3'!B85</f>
        <v>824591.93851566571</v>
      </c>
      <c r="N25" s="376">
        <v>2012</v>
      </c>
      <c r="O25" s="452">
        <f t="shared" si="3"/>
        <v>2313676.253838758</v>
      </c>
      <c r="P25" s="452">
        <f t="shared" si="3"/>
        <v>985449.24548825587</v>
      </c>
      <c r="S25" s="371"/>
    </row>
    <row r="26" spans="2:20" ht="13" x14ac:dyDescent="0.3">
      <c r="B26" s="440">
        <v>2013</v>
      </c>
      <c r="C26" s="592">
        <f>SUM(D26:E26)</f>
        <v>3536347.8541062097</v>
      </c>
      <c r="D26" s="364">
        <f>SUM(G26,J26)</f>
        <v>2432390.4404826723</v>
      </c>
      <c r="E26" s="351">
        <f>SUM(H26,K26)</f>
        <v>1103957.4136235374</v>
      </c>
      <c r="F26" s="593">
        <f>SUM(G26:H26)</f>
        <v>2617787.5623977226</v>
      </c>
      <c r="G26" s="364">
        <f>+'9.2 y 9.3'!H24</f>
        <v>2432390.4404826723</v>
      </c>
      <c r="H26" s="351">
        <f>+'9.2 y 9.3'!C24</f>
        <v>185397.12191505037</v>
      </c>
      <c r="I26" s="349">
        <f t="shared" si="2"/>
        <v>918560.29170848709</v>
      </c>
      <c r="J26" s="350"/>
      <c r="K26" s="395">
        <f>+'9.2 y 9.3'!B86</f>
        <v>918560.29170848709</v>
      </c>
      <c r="N26" s="376">
        <v>2013</v>
      </c>
      <c r="O26" s="452">
        <f t="shared" si="3"/>
        <v>2432390.4404826723</v>
      </c>
      <c r="P26" s="452">
        <f t="shared" si="3"/>
        <v>1103957.4136235374</v>
      </c>
      <c r="S26" s="371"/>
    </row>
    <row r="27" spans="2:20" ht="13" x14ac:dyDescent="0.3">
      <c r="B27" s="578">
        <v>2014</v>
      </c>
      <c r="C27" s="594">
        <f>SUM(D27:E27)</f>
        <v>4025189.2859027321</v>
      </c>
      <c r="D27" s="369">
        <f>SUM(G27,J27)</f>
        <v>2788496.0176665494</v>
      </c>
      <c r="E27" s="371">
        <f>SUM(H27,K27)</f>
        <v>1236693.2682361826</v>
      </c>
      <c r="F27" s="595">
        <f>SUM(G27:H27)</f>
        <v>2974057.6040994683</v>
      </c>
      <c r="G27" s="369">
        <f>+'9.2 y 9.3'!H25</f>
        <v>2788496.0176665494</v>
      </c>
      <c r="H27" s="371">
        <f>+'9.2 y 9.3'!C25</f>
        <v>185561.58643291876</v>
      </c>
      <c r="I27" s="372">
        <f>SUM(J27:K27)</f>
        <v>1051131.681803264</v>
      </c>
      <c r="J27" s="370"/>
      <c r="K27" s="407">
        <f>+'9.2 y 9.3'!B87</f>
        <v>1051131.681803264</v>
      </c>
      <c r="N27" s="376">
        <v>2014</v>
      </c>
      <c r="O27" s="452">
        <f t="shared" si="3"/>
        <v>2788496.0176665494</v>
      </c>
      <c r="P27" s="452">
        <f t="shared" si="3"/>
        <v>1236693.2682361826</v>
      </c>
      <c r="S27" s="371"/>
    </row>
    <row r="28" spans="2:20" ht="13" x14ac:dyDescent="0.3">
      <c r="B28" s="440">
        <v>2015</v>
      </c>
      <c r="C28" s="592">
        <f t="shared" ref="C28:C35" si="9">SUM(D28:E28)</f>
        <v>4171411.3919920647</v>
      </c>
      <c r="D28" s="364">
        <f t="shared" ref="D28:E33" si="10">SUM(G28,J28)</f>
        <v>2880093.0600000047</v>
      </c>
      <c r="E28" s="351">
        <f t="shared" si="10"/>
        <v>1291318.3319920599</v>
      </c>
      <c r="F28" s="593">
        <f t="shared" ref="F28:F33" si="11">SUM(G28:H28)</f>
        <v>3054173.9700000049</v>
      </c>
      <c r="G28" s="364">
        <f>+'9.2 y 9.3'!H26</f>
        <v>2880093.0600000047</v>
      </c>
      <c r="H28" s="351">
        <f>+'9.2 y 9.3'!C26</f>
        <v>174080.91000000003</v>
      </c>
      <c r="I28" s="349">
        <f t="shared" ref="I28:I35" si="12">SUM(J28:K28)</f>
        <v>1117237.42199206</v>
      </c>
      <c r="J28" s="350"/>
      <c r="K28" s="395">
        <f>+'9.2 y 9.3'!B88</f>
        <v>1117237.42199206</v>
      </c>
      <c r="N28" s="376">
        <v>2015</v>
      </c>
      <c r="O28" s="452">
        <f t="shared" si="3"/>
        <v>2880093.0600000047</v>
      </c>
      <c r="P28" s="452">
        <f t="shared" si="3"/>
        <v>1291318.3319920599</v>
      </c>
      <c r="S28" s="371"/>
    </row>
    <row r="29" spans="2:20" ht="13" x14ac:dyDescent="0.3">
      <c r="B29" s="578">
        <v>2016</v>
      </c>
      <c r="C29" s="594">
        <f t="shared" si="9"/>
        <v>4449456.4555341695</v>
      </c>
      <c r="D29" s="369">
        <f t="shared" si="10"/>
        <v>2947578.3042463912</v>
      </c>
      <c r="E29" s="371">
        <f t="shared" si="10"/>
        <v>1501878.1512877787</v>
      </c>
      <c r="F29" s="595">
        <f t="shared" si="11"/>
        <v>3107945.2125680889</v>
      </c>
      <c r="G29" s="369">
        <f>+'9.2 y 9.3'!H27</f>
        <v>2947578.3042463912</v>
      </c>
      <c r="H29" s="371">
        <f>+'9.2 y 9.3'!C27</f>
        <v>160366.90832169791</v>
      </c>
      <c r="I29" s="372">
        <f t="shared" si="12"/>
        <v>1341511.2429660808</v>
      </c>
      <c r="J29" s="370"/>
      <c r="K29" s="407">
        <f>+'9.2 y 9.3'!B89</f>
        <v>1341511.2429660808</v>
      </c>
      <c r="N29" s="376">
        <v>2016</v>
      </c>
      <c r="O29" s="452">
        <f t="shared" si="3"/>
        <v>2947578.3042463912</v>
      </c>
      <c r="P29" s="452">
        <f t="shared" si="3"/>
        <v>1501878.1512877787</v>
      </c>
      <c r="S29" s="371"/>
    </row>
    <row r="30" spans="2:20" ht="13" x14ac:dyDescent="0.3">
      <c r="B30" s="440">
        <v>2017</v>
      </c>
      <c r="C30" s="592">
        <f t="shared" si="9"/>
        <v>4479698.1663574111</v>
      </c>
      <c r="D30" s="364">
        <f t="shared" si="10"/>
        <v>2915208.5748256738</v>
      </c>
      <c r="E30" s="351">
        <f t="shared" si="10"/>
        <v>1564489.591531737</v>
      </c>
      <c r="F30" s="593">
        <f t="shared" si="11"/>
        <v>3135319.5418498083</v>
      </c>
      <c r="G30" s="364">
        <f>+'9.2 y 9.3'!H28</f>
        <v>2915208.5748256738</v>
      </c>
      <c r="H30" s="351">
        <f>+'9.2 y 9.3'!C28</f>
        <v>220110.9670241345</v>
      </c>
      <c r="I30" s="349">
        <f t="shared" si="12"/>
        <v>1344378.6245076025</v>
      </c>
      <c r="J30" s="350"/>
      <c r="K30" s="395">
        <f>+'9.2 y 9.3'!B90</f>
        <v>1344378.6245076025</v>
      </c>
      <c r="N30" s="376">
        <v>2017</v>
      </c>
      <c r="O30" s="452">
        <f t="shared" si="3"/>
        <v>2915208.5748256738</v>
      </c>
      <c r="P30" s="452">
        <f t="shared" si="3"/>
        <v>1564489.591531737</v>
      </c>
      <c r="S30" s="371"/>
    </row>
    <row r="31" spans="2:20" ht="13" x14ac:dyDescent="0.3">
      <c r="B31" s="578">
        <v>2018</v>
      </c>
      <c r="C31" s="594">
        <f t="shared" si="9"/>
        <v>4732556.0865232972</v>
      </c>
      <c r="D31" s="369">
        <f t="shared" si="10"/>
        <v>3048268.389888139</v>
      </c>
      <c r="E31" s="371">
        <f t="shared" si="10"/>
        <v>1684287.6966351583</v>
      </c>
      <c r="F31" s="595">
        <f t="shared" si="11"/>
        <v>3262079.7526475927</v>
      </c>
      <c r="G31" s="369">
        <f>+'9.2 y 9.3'!H29</f>
        <v>3048268.389888139</v>
      </c>
      <c r="H31" s="371">
        <f>+'9.2 y 9.3'!C29</f>
        <v>213811.36275945383</v>
      </c>
      <c r="I31" s="372">
        <f t="shared" si="12"/>
        <v>1470476.3338757046</v>
      </c>
      <c r="J31" s="370"/>
      <c r="K31" s="407">
        <f>+'9.2 y 9.3'!B91</f>
        <v>1470476.3338757046</v>
      </c>
      <c r="N31" s="376">
        <v>2018</v>
      </c>
      <c r="O31" s="452">
        <f t="shared" si="3"/>
        <v>3048268.389888139</v>
      </c>
      <c r="P31" s="452">
        <f t="shared" si="3"/>
        <v>1684287.6966351583</v>
      </c>
      <c r="S31" s="371"/>
    </row>
    <row r="32" spans="2:20" ht="13" x14ac:dyDescent="0.3">
      <c r="B32" s="440">
        <v>2019</v>
      </c>
      <c r="C32" s="592">
        <f t="shared" si="9"/>
        <v>4932709.2370555904</v>
      </c>
      <c r="D32" s="364">
        <f t="shared" si="10"/>
        <v>3151419.0173609513</v>
      </c>
      <c r="E32" s="351">
        <f t="shared" si="10"/>
        <v>1781290.2196946391</v>
      </c>
      <c r="F32" s="593">
        <f t="shared" si="11"/>
        <v>3390349.5113747646</v>
      </c>
      <c r="G32" s="364">
        <f>+'9.2 y 9.3'!H30</f>
        <v>3151419.0173609513</v>
      </c>
      <c r="H32" s="351">
        <f>+'9.2 y 9.3'!C30</f>
        <v>238930.49401381344</v>
      </c>
      <c r="I32" s="349">
        <f t="shared" si="12"/>
        <v>1542359.7256808258</v>
      </c>
      <c r="J32" s="350"/>
      <c r="K32" s="395">
        <f>+'9.2 y 9.3'!B92</f>
        <v>1542359.7256808258</v>
      </c>
      <c r="N32" s="376">
        <v>2019</v>
      </c>
      <c r="O32" s="452">
        <f t="shared" si="3"/>
        <v>3151419.0173609513</v>
      </c>
      <c r="P32" s="452">
        <f t="shared" si="3"/>
        <v>1781290.2196946391</v>
      </c>
      <c r="S32" s="371"/>
    </row>
    <row r="33" spans="2:20" ht="13" x14ac:dyDescent="0.3">
      <c r="B33" s="578">
        <v>2020</v>
      </c>
      <c r="C33" s="594">
        <f t="shared" si="9"/>
        <v>4582046.4083593125</v>
      </c>
      <c r="D33" s="369">
        <f t="shared" si="10"/>
        <v>2963478.2963129096</v>
      </c>
      <c r="E33" s="371">
        <f t="shared" si="10"/>
        <v>1618568.1120464031</v>
      </c>
      <c r="F33" s="595">
        <f t="shared" si="11"/>
        <v>3177626.507886481</v>
      </c>
      <c r="G33" s="369">
        <f>+'9.2 y 9.3'!H31</f>
        <v>2963478.2963129096</v>
      </c>
      <c r="H33" s="371">
        <f>+'9.2 y 9.3'!C31</f>
        <v>214148.21157357129</v>
      </c>
      <c r="I33" s="372">
        <f t="shared" si="12"/>
        <v>1404419.9004728319</v>
      </c>
      <c r="J33" s="370"/>
      <c r="K33" s="407">
        <f>+'9.2 y 9.3'!B93</f>
        <v>1404419.9004728319</v>
      </c>
      <c r="N33" s="376">
        <v>2020</v>
      </c>
      <c r="O33" s="452">
        <f t="shared" si="3"/>
        <v>2963478.2963129096</v>
      </c>
      <c r="P33" s="452">
        <f t="shared" si="3"/>
        <v>1618568.1120464031</v>
      </c>
      <c r="S33" s="371"/>
    </row>
    <row r="34" spans="2:20" ht="13" x14ac:dyDescent="0.3">
      <c r="B34" s="440">
        <v>2021</v>
      </c>
      <c r="C34" s="592">
        <f t="shared" ref="C34" si="13">SUM(D34:E34)</f>
        <v>4782966.1135027306</v>
      </c>
      <c r="D34" s="364">
        <f t="shared" ref="D34" si="14">SUM(G34,J34)</f>
        <v>3007639.7849904932</v>
      </c>
      <c r="E34" s="351">
        <f t="shared" ref="E34" si="15">SUM(H34,K34)</f>
        <v>1775326.3285122374</v>
      </c>
      <c r="F34" s="593">
        <f t="shared" ref="F34" si="16">SUM(G34:H34)</f>
        <v>3247662.6154216672</v>
      </c>
      <c r="G34" s="364">
        <f>+'9.2 y 9.3'!H32</f>
        <v>3007639.7849904932</v>
      </c>
      <c r="H34" s="351">
        <f>+'9.2 y 9.3'!C32</f>
        <v>240022.83043117402</v>
      </c>
      <c r="I34" s="349">
        <f t="shared" ref="I34" si="17">SUM(J34:K34)</f>
        <v>1535303.4980810634</v>
      </c>
      <c r="J34" s="350"/>
      <c r="K34" s="395">
        <f>+'9.2 y 9.3'!B94</f>
        <v>1535303.4980810634</v>
      </c>
      <c r="N34" s="376">
        <v>2021</v>
      </c>
      <c r="O34" s="452">
        <f t="shared" ref="O34:O35" si="18">D34</f>
        <v>3007639.7849904932</v>
      </c>
      <c r="P34" s="452">
        <f t="shared" ref="P34:P35" si="19">E34</f>
        <v>1775326.3285122374</v>
      </c>
      <c r="S34" s="371"/>
    </row>
    <row r="35" spans="2:20" ht="13.5" thickBot="1" x14ac:dyDescent="0.35">
      <c r="B35" s="701">
        <v>2022</v>
      </c>
      <c r="C35" s="594">
        <f t="shared" si="9"/>
        <v>5509467.4900000002</v>
      </c>
      <c r="D35" s="369">
        <f>SUM(G35,J35)</f>
        <v>3398643.75</v>
      </c>
      <c r="E35" s="371">
        <f>SUM(H35,K35)</f>
        <v>2110823.7399999998</v>
      </c>
      <c r="F35" s="595">
        <f>SUM(G35:H35)</f>
        <v>3703282</v>
      </c>
      <c r="G35" s="369">
        <f>+'9.2 y 9.3'!H33</f>
        <v>3398643.75</v>
      </c>
      <c r="H35" s="371">
        <f>+'9.2 y 9.3'!C33</f>
        <v>304638.25000000006</v>
      </c>
      <c r="I35" s="372">
        <f t="shared" si="12"/>
        <v>1806185.4899999998</v>
      </c>
      <c r="J35" s="370"/>
      <c r="K35" s="407">
        <f>+'9.2 y 9.3'!B95</f>
        <v>1806185.4899999998</v>
      </c>
      <c r="N35" s="376">
        <v>2022</v>
      </c>
      <c r="O35" s="452">
        <f t="shared" si="18"/>
        <v>3398643.75</v>
      </c>
      <c r="P35" s="452">
        <f t="shared" si="19"/>
        <v>2110823.7399999998</v>
      </c>
      <c r="Q35" s="758"/>
      <c r="R35" s="671"/>
      <c r="S35" s="371"/>
    </row>
    <row r="36" spans="2:20" s="493" customFormat="1" ht="17.25" customHeight="1" x14ac:dyDescent="0.25">
      <c r="B36" s="740" t="s">
        <v>161</v>
      </c>
      <c r="C36" s="596">
        <f>(C35/C34)-1</f>
        <v>0.15189348183887241</v>
      </c>
      <c r="D36" s="597">
        <f t="shared" ref="D36:I36" si="20">(D35/D34)-1</f>
        <v>0.13000358851508631</v>
      </c>
      <c r="E36" s="598">
        <f t="shared" si="20"/>
        <v>0.18897788316411468</v>
      </c>
      <c r="F36" s="596">
        <f t="shared" si="20"/>
        <v>0.14029147683469478</v>
      </c>
      <c r="G36" s="597">
        <f t="shared" si="20"/>
        <v>0.13000358851508631</v>
      </c>
      <c r="H36" s="597">
        <f t="shared" si="20"/>
        <v>0.26920530623171013</v>
      </c>
      <c r="I36" s="599">
        <f t="shared" si="20"/>
        <v>0.17643546846438163</v>
      </c>
      <c r="J36" s="597"/>
      <c r="K36" s="598">
        <f t="shared" ref="K36" si="21">(K35/K34)-1</f>
        <v>0.17643546846438163</v>
      </c>
      <c r="O36" s="1201"/>
      <c r="P36" s="1200"/>
      <c r="R36" s="1200"/>
      <c r="S36" s="1200"/>
      <c r="T36" s="1200"/>
    </row>
    <row r="37" spans="2:20" s="493" customFormat="1" ht="17.25" customHeight="1" x14ac:dyDescent="0.25">
      <c r="B37" s="741" t="s">
        <v>162</v>
      </c>
      <c r="C37" s="600">
        <f>((C35/C30)^(1/5))-1</f>
        <v>4.2250649268013474E-2</v>
      </c>
      <c r="D37" s="601">
        <f t="shared" ref="D37:I37" si="22">((D35/D30)^(1/5))-1</f>
        <v>3.1162717074955548E-2</v>
      </c>
      <c r="E37" s="602">
        <f t="shared" si="22"/>
        <v>6.1734325956957603E-2</v>
      </c>
      <c r="F37" s="600">
        <f t="shared" si="22"/>
        <v>3.385824355215572E-2</v>
      </c>
      <c r="G37" s="601">
        <f t="shared" si="22"/>
        <v>3.1162717074955548E-2</v>
      </c>
      <c r="H37" s="601">
        <f t="shared" si="22"/>
        <v>6.7157571416001982E-2</v>
      </c>
      <c r="I37" s="603">
        <f t="shared" si="22"/>
        <v>6.0835757629902787E-2</v>
      </c>
      <c r="J37" s="601"/>
      <c r="K37" s="602">
        <f t="shared" ref="K37" si="23">((K35/K30)^(1/5))-1</f>
        <v>6.0835757629902787E-2</v>
      </c>
      <c r="O37" s="743"/>
      <c r="P37" s="1202"/>
    </row>
    <row r="38" spans="2:20" s="493" customFormat="1" ht="17.25" customHeight="1" x14ac:dyDescent="0.25">
      <c r="B38" s="742" t="s">
        <v>163</v>
      </c>
      <c r="C38" s="604">
        <f>(C35/C25)-1</f>
        <v>0.66997814757997909</v>
      </c>
      <c r="D38" s="605">
        <f t="shared" ref="D38:I38" si="24">(D35/D25)-1</f>
        <v>0.46893660872436582</v>
      </c>
      <c r="E38" s="606">
        <f t="shared" si="24"/>
        <v>1.1419913300092488</v>
      </c>
      <c r="F38" s="604">
        <f t="shared" si="24"/>
        <v>0.49655759721673398</v>
      </c>
      <c r="G38" s="605">
        <f t="shared" si="24"/>
        <v>0.46893660872436582</v>
      </c>
      <c r="H38" s="605">
        <f t="shared" si="24"/>
        <v>0.8938415402659321</v>
      </c>
      <c r="I38" s="607">
        <f t="shared" si="24"/>
        <v>1.1903991606457907</v>
      </c>
      <c r="J38" s="605"/>
      <c r="K38" s="606">
        <f t="shared" ref="K38" si="25">(K35/K25)-1</f>
        <v>1.1903991606457907</v>
      </c>
    </row>
    <row r="39" spans="2:20" s="493" customFormat="1" ht="17.25" customHeight="1" thickBot="1" x14ac:dyDescent="0.3">
      <c r="B39" s="868" t="s">
        <v>164</v>
      </c>
      <c r="C39" s="608">
        <f>((C35/C25)^(1/10))-1</f>
        <v>5.2618694519496412E-2</v>
      </c>
      <c r="D39" s="609">
        <f t="shared" ref="D39:I39" si="26">((D35/D25)^(1/10))-1</f>
        <v>3.9202793357328902E-2</v>
      </c>
      <c r="E39" s="610">
        <f t="shared" si="26"/>
        <v>7.9149890161335668E-2</v>
      </c>
      <c r="F39" s="608">
        <f t="shared" si="26"/>
        <v>4.1140506921289788E-2</v>
      </c>
      <c r="G39" s="609">
        <f t="shared" si="26"/>
        <v>3.9202793357328902E-2</v>
      </c>
      <c r="H39" s="609">
        <f t="shared" si="26"/>
        <v>6.5943937311213841E-2</v>
      </c>
      <c r="I39" s="611">
        <f t="shared" si="26"/>
        <v>8.156425687856661E-2</v>
      </c>
      <c r="J39" s="609"/>
      <c r="K39" s="610">
        <f t="shared" ref="K39" si="27">((K35/K25)^(1/10))-1</f>
        <v>8.156425687856661E-2</v>
      </c>
    </row>
    <row r="40" spans="2:20" x14ac:dyDescent="0.25">
      <c r="B40" s="382"/>
      <c r="C40" s="612"/>
    </row>
    <row r="41" spans="2:20" x14ac:dyDescent="0.25">
      <c r="B41" s="383"/>
      <c r="G41" s="371"/>
      <c r="I41" s="371"/>
      <c r="O41" s="315" t="s">
        <v>56</v>
      </c>
      <c r="P41" s="315" t="s">
        <v>54</v>
      </c>
    </row>
    <row r="42" spans="2:20" x14ac:dyDescent="0.25">
      <c r="G42" s="371"/>
      <c r="I42" s="371"/>
      <c r="O42" s="452"/>
      <c r="P42" s="452"/>
    </row>
    <row r="43" spans="2:20" x14ac:dyDescent="0.25">
      <c r="O43" s="452"/>
      <c r="P43" s="452"/>
      <c r="S43" s="315" t="s">
        <v>56</v>
      </c>
      <c r="T43" s="315" t="s">
        <v>54</v>
      </c>
    </row>
    <row r="44" spans="2:20" x14ac:dyDescent="0.25">
      <c r="N44" s="315">
        <v>1995</v>
      </c>
      <c r="O44" s="452">
        <f>F8</f>
        <v>776779.19139398972</v>
      </c>
      <c r="P44" s="452">
        <f>I8</f>
        <v>49896.810295752563</v>
      </c>
      <c r="R44" s="315">
        <f>+N44</f>
        <v>1995</v>
      </c>
      <c r="S44" s="822">
        <f>+O44</f>
        <v>776779.19139398972</v>
      </c>
      <c r="T44" s="822">
        <f>+P44</f>
        <v>49896.810295752563</v>
      </c>
    </row>
    <row r="45" spans="2:20" x14ac:dyDescent="0.25">
      <c r="N45" s="315">
        <v>1996</v>
      </c>
      <c r="O45" s="452">
        <f t="shared" ref="O45:O69" si="28">F9</f>
        <v>822460.27859264216</v>
      </c>
      <c r="P45" s="452">
        <f t="shared" ref="P45:P69" si="29">I9</f>
        <v>70910.116548175167</v>
      </c>
      <c r="R45" s="315">
        <f>+N49</f>
        <v>2000</v>
      </c>
      <c r="S45" s="132">
        <f>+O49</f>
        <v>866072.13672822504</v>
      </c>
      <c r="T45" s="132">
        <f>+P49</f>
        <v>246997.36354015436</v>
      </c>
    </row>
    <row r="46" spans="2:20" x14ac:dyDescent="0.25">
      <c r="N46" s="315">
        <v>1997</v>
      </c>
      <c r="O46" s="452">
        <f t="shared" si="28"/>
        <v>859351.67959043023</v>
      </c>
      <c r="P46" s="452">
        <f t="shared" si="29"/>
        <v>160185.85702650671</v>
      </c>
      <c r="R46" s="315">
        <f>+N54</f>
        <v>2005</v>
      </c>
      <c r="S46" s="132">
        <f>+O54</f>
        <v>1147775.8928376874</v>
      </c>
      <c r="T46" s="132">
        <f>+P54</f>
        <v>431433.37825869262</v>
      </c>
    </row>
    <row r="47" spans="2:20" x14ac:dyDescent="0.25">
      <c r="N47" s="315">
        <v>1998</v>
      </c>
      <c r="O47" s="452">
        <f t="shared" si="28"/>
        <v>786060.99965563859</v>
      </c>
      <c r="P47" s="452">
        <f t="shared" si="29"/>
        <v>202083.97088961289</v>
      </c>
      <c r="R47" s="315">
        <f t="shared" ref="R47:R59" si="30">+N59</f>
        <v>2010</v>
      </c>
      <c r="S47" s="132">
        <f t="shared" ref="S47:S59" si="31">+O59</f>
        <v>1841104.1163105767</v>
      </c>
      <c r="T47" s="132">
        <f t="shared" ref="T47:T59" si="32">+P59</f>
        <v>607430.91189238196</v>
      </c>
    </row>
    <row r="48" spans="2:20" x14ac:dyDescent="0.25">
      <c r="N48" s="315">
        <v>1999</v>
      </c>
      <c r="O48" s="452">
        <f t="shared" si="28"/>
        <v>778389.13985393988</v>
      </c>
      <c r="P48" s="452">
        <f t="shared" si="29"/>
        <v>213570.22841279037</v>
      </c>
      <c r="R48" s="315">
        <f t="shared" si="30"/>
        <v>2011</v>
      </c>
      <c r="S48" s="132">
        <f t="shared" si="31"/>
        <v>2130475.7425380684</v>
      </c>
      <c r="T48" s="132">
        <f t="shared" si="32"/>
        <v>729915.81282072805</v>
      </c>
    </row>
    <row r="49" spans="14:20" x14ac:dyDescent="0.25">
      <c r="N49" s="315">
        <v>2000</v>
      </c>
      <c r="O49" s="452">
        <f t="shared" si="28"/>
        <v>866072.13672822504</v>
      </c>
      <c r="P49" s="452">
        <f t="shared" si="29"/>
        <v>246997.36354015436</v>
      </c>
      <c r="R49" s="315">
        <f t="shared" si="30"/>
        <v>2012</v>
      </c>
      <c r="S49" s="132">
        <f t="shared" si="31"/>
        <v>2474533.5608113483</v>
      </c>
      <c r="T49" s="132">
        <f t="shared" si="32"/>
        <v>824591.93851566571</v>
      </c>
    </row>
    <row r="50" spans="14:20" x14ac:dyDescent="0.25">
      <c r="N50" s="315">
        <v>2001</v>
      </c>
      <c r="O50" s="452">
        <f t="shared" si="28"/>
        <v>862632.28368588316</v>
      </c>
      <c r="P50" s="452">
        <f t="shared" si="29"/>
        <v>276726.23015266506</v>
      </c>
      <c r="R50" s="315">
        <f t="shared" si="30"/>
        <v>2013</v>
      </c>
      <c r="S50" s="132">
        <f t="shared" si="31"/>
        <v>2617787.5623977226</v>
      </c>
      <c r="T50" s="132">
        <f t="shared" si="32"/>
        <v>918560.29170848709</v>
      </c>
    </row>
    <row r="51" spans="14:20" x14ac:dyDescent="0.25">
      <c r="N51" s="315">
        <v>2002</v>
      </c>
      <c r="O51" s="452">
        <f t="shared" si="28"/>
        <v>862228.11757443007</v>
      </c>
      <c r="P51" s="452">
        <f t="shared" si="29"/>
        <v>294839.04269330332</v>
      </c>
      <c r="R51" s="315">
        <f t="shared" si="30"/>
        <v>2014</v>
      </c>
      <c r="S51" s="132">
        <f t="shared" si="31"/>
        <v>2974057.6040994683</v>
      </c>
      <c r="T51" s="132">
        <f t="shared" si="32"/>
        <v>1051131.681803264</v>
      </c>
    </row>
    <row r="52" spans="14:20" x14ac:dyDescent="0.25">
      <c r="N52" s="315">
        <v>2003</v>
      </c>
      <c r="O52" s="452">
        <f t="shared" si="28"/>
        <v>901096.17241545301</v>
      </c>
      <c r="P52" s="452">
        <f t="shared" si="29"/>
        <v>316113.97125522856</v>
      </c>
      <c r="R52" s="315">
        <f t="shared" si="30"/>
        <v>2015</v>
      </c>
      <c r="S52" s="132">
        <f t="shared" si="31"/>
        <v>3054173.9700000049</v>
      </c>
      <c r="T52" s="132">
        <f t="shared" si="32"/>
        <v>1117237.42199206</v>
      </c>
    </row>
    <row r="53" spans="14:20" x14ac:dyDescent="0.25">
      <c r="N53" s="315">
        <v>2004</v>
      </c>
      <c r="O53" s="452">
        <f t="shared" si="28"/>
        <v>986870.11767828721</v>
      </c>
      <c r="P53" s="452">
        <f t="shared" si="29"/>
        <v>395429.89413182059</v>
      </c>
      <c r="R53" s="315">
        <f t="shared" si="30"/>
        <v>2016</v>
      </c>
      <c r="S53" s="132">
        <f t="shared" si="31"/>
        <v>3107945.2125680889</v>
      </c>
      <c r="T53" s="132">
        <f t="shared" si="32"/>
        <v>1341511.2429660808</v>
      </c>
    </row>
    <row r="54" spans="14:20" x14ac:dyDescent="0.25">
      <c r="N54" s="315">
        <v>2005</v>
      </c>
      <c r="O54" s="452">
        <f t="shared" si="28"/>
        <v>1147775.8928376874</v>
      </c>
      <c r="P54" s="452">
        <f t="shared" si="29"/>
        <v>431433.37825869262</v>
      </c>
      <c r="R54" s="315">
        <f t="shared" si="30"/>
        <v>2017</v>
      </c>
      <c r="S54" s="132">
        <f t="shared" si="31"/>
        <v>3135319.5418498083</v>
      </c>
      <c r="T54" s="132">
        <f t="shared" si="32"/>
        <v>1344378.6245076025</v>
      </c>
    </row>
    <row r="55" spans="14:20" x14ac:dyDescent="0.25">
      <c r="N55" s="376">
        <v>2006</v>
      </c>
      <c r="O55" s="452">
        <f t="shared" si="28"/>
        <v>1222413.6377595204</v>
      </c>
      <c r="P55" s="452">
        <f t="shared" si="29"/>
        <v>460755.2665463867</v>
      </c>
      <c r="R55" s="315">
        <f t="shared" si="30"/>
        <v>2018</v>
      </c>
      <c r="S55" s="132">
        <f t="shared" si="31"/>
        <v>3262079.7526475927</v>
      </c>
      <c r="T55" s="132">
        <f t="shared" si="32"/>
        <v>1470476.3338757046</v>
      </c>
    </row>
    <row r="56" spans="14:20" x14ac:dyDescent="0.25">
      <c r="N56" s="376">
        <v>2007</v>
      </c>
      <c r="O56" s="452">
        <f t="shared" si="28"/>
        <v>1305447.8754961956</v>
      </c>
      <c r="P56" s="452">
        <f t="shared" si="29"/>
        <v>525183.78793804673</v>
      </c>
      <c r="R56" s="315">
        <f t="shared" si="30"/>
        <v>2019</v>
      </c>
      <c r="S56" s="132">
        <f t="shared" si="31"/>
        <v>3390349.5113747646</v>
      </c>
      <c r="T56" s="132">
        <f t="shared" si="32"/>
        <v>1542359.7256808258</v>
      </c>
    </row>
    <row r="57" spans="14:20" x14ac:dyDescent="0.25">
      <c r="N57" s="376">
        <v>2008</v>
      </c>
      <c r="O57" s="452">
        <f t="shared" si="28"/>
        <v>1501002.7378177985</v>
      </c>
      <c r="P57" s="452">
        <f t="shared" si="29"/>
        <v>715097.23536556808</v>
      </c>
      <c r="R57" s="315">
        <f t="shared" si="30"/>
        <v>2020</v>
      </c>
      <c r="S57" s="132">
        <f t="shared" si="31"/>
        <v>3177626.507886481</v>
      </c>
      <c r="T57" s="132">
        <f t="shared" si="32"/>
        <v>1404419.9004728319</v>
      </c>
    </row>
    <row r="58" spans="14:20" x14ac:dyDescent="0.25">
      <c r="N58" s="376">
        <v>2009</v>
      </c>
      <c r="O58" s="452">
        <f t="shared" si="28"/>
        <v>1675664.7528214001</v>
      </c>
      <c r="P58" s="452">
        <f t="shared" si="29"/>
        <v>560393.40099600004</v>
      </c>
      <c r="R58" s="315">
        <f t="shared" si="30"/>
        <v>2021</v>
      </c>
      <c r="S58" s="132">
        <f t="shared" si="31"/>
        <v>3247662.6154216672</v>
      </c>
      <c r="T58" s="132">
        <f t="shared" si="32"/>
        <v>1535303.4980810634</v>
      </c>
    </row>
    <row r="59" spans="14:20" x14ac:dyDescent="0.25">
      <c r="N59" s="376">
        <v>2010</v>
      </c>
      <c r="O59" s="452">
        <f t="shared" si="28"/>
        <v>1841104.1163105767</v>
      </c>
      <c r="P59" s="452">
        <f t="shared" si="29"/>
        <v>607430.91189238196</v>
      </c>
      <c r="R59" s="315">
        <f t="shared" si="30"/>
        <v>2022</v>
      </c>
      <c r="S59" s="132">
        <f t="shared" si="31"/>
        <v>3703282</v>
      </c>
      <c r="T59" s="132">
        <f t="shared" si="32"/>
        <v>1806185.4899999998</v>
      </c>
    </row>
    <row r="60" spans="14:20" x14ac:dyDescent="0.25">
      <c r="N60" s="376">
        <v>2011</v>
      </c>
      <c r="O60" s="452">
        <f t="shared" si="28"/>
        <v>2130475.7425380684</v>
      </c>
      <c r="P60" s="452">
        <f t="shared" si="29"/>
        <v>729915.81282072805</v>
      </c>
    </row>
    <row r="61" spans="14:20" x14ac:dyDescent="0.25">
      <c r="N61" s="376">
        <v>2012</v>
      </c>
      <c r="O61" s="452">
        <f t="shared" si="28"/>
        <v>2474533.5608113483</v>
      </c>
      <c r="P61" s="452">
        <f t="shared" si="29"/>
        <v>824591.93851566571</v>
      </c>
    </row>
    <row r="62" spans="14:20" x14ac:dyDescent="0.25">
      <c r="N62" s="376">
        <v>2013</v>
      </c>
      <c r="O62" s="452">
        <f t="shared" si="28"/>
        <v>2617787.5623977226</v>
      </c>
      <c r="P62" s="452">
        <f t="shared" si="29"/>
        <v>918560.29170848709</v>
      </c>
    </row>
    <row r="63" spans="14:20" x14ac:dyDescent="0.25">
      <c r="N63" s="376">
        <v>2014</v>
      </c>
      <c r="O63" s="452">
        <f t="shared" si="28"/>
        <v>2974057.6040994683</v>
      </c>
      <c r="P63" s="452">
        <f t="shared" si="29"/>
        <v>1051131.681803264</v>
      </c>
    </row>
    <row r="64" spans="14:20" x14ac:dyDescent="0.25">
      <c r="N64" s="376">
        <v>2015</v>
      </c>
      <c r="O64" s="452">
        <f t="shared" si="28"/>
        <v>3054173.9700000049</v>
      </c>
      <c r="P64" s="452">
        <f t="shared" si="29"/>
        <v>1117237.42199206</v>
      </c>
    </row>
    <row r="65" spans="14:16" x14ac:dyDescent="0.25">
      <c r="N65" s="376">
        <v>2016</v>
      </c>
      <c r="O65" s="452">
        <f t="shared" si="28"/>
        <v>3107945.2125680889</v>
      </c>
      <c r="P65" s="452">
        <f t="shared" si="29"/>
        <v>1341511.2429660808</v>
      </c>
    </row>
    <row r="66" spans="14:16" x14ac:dyDescent="0.25">
      <c r="N66" s="376">
        <v>2017</v>
      </c>
      <c r="O66" s="452">
        <f t="shared" si="28"/>
        <v>3135319.5418498083</v>
      </c>
      <c r="P66" s="452">
        <f t="shared" si="29"/>
        <v>1344378.6245076025</v>
      </c>
    </row>
    <row r="67" spans="14:16" x14ac:dyDescent="0.25">
      <c r="N67" s="376">
        <v>2018</v>
      </c>
      <c r="O67" s="452">
        <f t="shared" si="28"/>
        <v>3262079.7526475927</v>
      </c>
      <c r="P67" s="452">
        <f t="shared" si="29"/>
        <v>1470476.3338757046</v>
      </c>
    </row>
    <row r="68" spans="14:16" x14ac:dyDescent="0.25">
      <c r="N68" s="376">
        <v>2019</v>
      </c>
      <c r="O68" s="452">
        <f t="shared" si="28"/>
        <v>3390349.5113747646</v>
      </c>
      <c r="P68" s="452">
        <f t="shared" si="29"/>
        <v>1542359.7256808258</v>
      </c>
    </row>
    <row r="69" spans="14:16" x14ac:dyDescent="0.25">
      <c r="N69" s="376">
        <v>2020</v>
      </c>
      <c r="O69" s="452">
        <f t="shared" si="28"/>
        <v>3177626.507886481</v>
      </c>
      <c r="P69" s="452">
        <f t="shared" si="29"/>
        <v>1404419.9004728319</v>
      </c>
    </row>
    <row r="70" spans="14:16" x14ac:dyDescent="0.25">
      <c r="N70" s="376">
        <v>2021</v>
      </c>
      <c r="O70" s="452">
        <f t="shared" ref="O70:O71" si="33">F34</f>
        <v>3247662.6154216672</v>
      </c>
      <c r="P70" s="452">
        <f t="shared" ref="P70:P71" si="34">I34</f>
        <v>1535303.4980810634</v>
      </c>
    </row>
    <row r="71" spans="14:16" x14ac:dyDescent="0.25">
      <c r="N71" s="376">
        <v>2022</v>
      </c>
      <c r="O71" s="452">
        <f t="shared" si="33"/>
        <v>3703282</v>
      </c>
      <c r="P71" s="452">
        <f t="shared" si="34"/>
        <v>1806185.4899999998</v>
      </c>
    </row>
  </sheetData>
  <mergeCells count="4">
    <mergeCell ref="B6:B7"/>
    <mergeCell ref="C6:E6"/>
    <mergeCell ref="F6:H6"/>
    <mergeCell ref="I6:K6"/>
  </mergeCells>
  <printOptions horizontalCentered="1" verticalCentered="1"/>
  <pageMargins left="0.55118110236220474" right="0.43307086614173229" top="0.98425196850393704" bottom="0.98425196850393704" header="0" footer="0"/>
  <pageSetup paperSize="9" scale="61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19"/>
  <sheetViews>
    <sheetView showGridLines="0" view="pageBreakPreview" zoomScale="90" zoomScaleNormal="80" zoomScaleSheetLayoutView="90" workbookViewId="0">
      <selection activeCell="J106" sqref="J106"/>
    </sheetView>
  </sheetViews>
  <sheetFormatPr baseColWidth="10" defaultColWidth="11.453125" defaultRowHeight="12.5" x14ac:dyDescent="0.25"/>
  <cols>
    <col min="1" max="1" width="27" style="315" customWidth="1"/>
    <col min="2" max="2" width="15.7265625" style="315" customWidth="1"/>
    <col min="3" max="3" width="14.26953125" style="315" customWidth="1"/>
    <col min="4" max="4" width="13.26953125" style="315" customWidth="1"/>
    <col min="5" max="5" width="16.54296875" style="315" customWidth="1"/>
    <col min="6" max="7" width="13.26953125" style="315" customWidth="1"/>
    <col min="8" max="8" width="15.453125" style="315" customWidth="1"/>
    <col min="9" max="11" width="13.54296875" style="315" customWidth="1"/>
    <col min="12" max="13" width="11.453125" style="315"/>
    <col min="14" max="14" width="12.81640625" style="315" bestFit="1" customWidth="1"/>
    <col min="15" max="16384" width="11.453125" style="315"/>
  </cols>
  <sheetData>
    <row r="1" spans="1:15" ht="15.5" x14ac:dyDescent="0.35">
      <c r="A1" s="613" t="s">
        <v>208</v>
      </c>
    </row>
    <row r="2" spans="1:15" x14ac:dyDescent="0.25">
      <c r="A2" s="383"/>
    </row>
    <row r="3" spans="1:15" ht="13" thickBot="1" x14ac:dyDescent="0.3"/>
    <row r="4" spans="1:15" s="493" customFormat="1" x14ac:dyDescent="0.25">
      <c r="A4" s="1582" t="s">
        <v>39</v>
      </c>
      <c r="B4" s="1514" t="s">
        <v>53</v>
      </c>
      <c r="C4" s="1578" t="s">
        <v>132</v>
      </c>
      <c r="D4" s="1571"/>
      <c r="E4" s="1571"/>
      <c r="F4" s="1571"/>
      <c r="G4" s="1571"/>
      <c r="H4" s="1579" t="s">
        <v>133</v>
      </c>
      <c r="I4" s="1580"/>
      <c r="J4" s="1580"/>
      <c r="K4" s="1580"/>
      <c r="L4" s="1581"/>
    </row>
    <row r="5" spans="1:15" s="493" customFormat="1" ht="13.5" thickBot="1" x14ac:dyDescent="0.3">
      <c r="A5" s="1583"/>
      <c r="B5" s="1515"/>
      <c r="C5" s="1107" t="s">
        <v>53</v>
      </c>
      <c r="D5" s="1120" t="s">
        <v>134</v>
      </c>
      <c r="E5" s="1106" t="s">
        <v>135</v>
      </c>
      <c r="F5" s="1104" t="s">
        <v>136</v>
      </c>
      <c r="G5" s="1106" t="s">
        <v>137</v>
      </c>
      <c r="H5" s="1107" t="s">
        <v>53</v>
      </c>
      <c r="I5" s="1104" t="s">
        <v>134</v>
      </c>
      <c r="J5" s="1106" t="s">
        <v>135</v>
      </c>
      <c r="K5" s="1104" t="s">
        <v>136</v>
      </c>
      <c r="L5" s="1108" t="s">
        <v>137</v>
      </c>
    </row>
    <row r="6" spans="1:15" ht="13" x14ac:dyDescent="0.3">
      <c r="A6" s="614">
        <v>1995</v>
      </c>
      <c r="B6" s="592">
        <f t="shared" ref="B6:B21" si="0">+H6+C6</f>
        <v>776779.19139398972</v>
      </c>
      <c r="C6" s="393">
        <f t="shared" ref="C6:C21" si="1">SUM(D6:G6)</f>
        <v>124184.48634359846</v>
      </c>
      <c r="D6" s="615">
        <v>25907.553817482101</v>
      </c>
      <c r="E6" s="616">
        <v>30717.330841467534</v>
      </c>
      <c r="F6" s="617">
        <v>67167.245346640717</v>
      </c>
      <c r="G6" s="616">
        <v>392.35633800810604</v>
      </c>
      <c r="H6" s="393">
        <f t="shared" ref="H6:H22" si="2">SUM(I6:L6)</f>
        <v>652594.70505039126</v>
      </c>
      <c r="I6" s="617"/>
      <c r="J6" s="616">
        <v>763.80306444000985</v>
      </c>
      <c r="K6" s="617">
        <v>94553.75013217071</v>
      </c>
      <c r="L6" s="618">
        <v>557277.1518537805</v>
      </c>
      <c r="N6" s="619"/>
      <c r="O6" s="371"/>
    </row>
    <row r="7" spans="1:15" ht="13" x14ac:dyDescent="0.3">
      <c r="A7" s="620">
        <v>1996</v>
      </c>
      <c r="B7" s="621">
        <f t="shared" si="0"/>
        <v>822460.27859264216</v>
      </c>
      <c r="C7" s="398">
        <f t="shared" si="1"/>
        <v>118518.19419908689</v>
      </c>
      <c r="D7" s="358">
        <v>15449.530851258085</v>
      </c>
      <c r="E7" s="425">
        <v>30833.104255366034</v>
      </c>
      <c r="F7" s="558">
        <v>71734.351036236141</v>
      </c>
      <c r="G7" s="425">
        <v>501.20805622663522</v>
      </c>
      <c r="H7" s="398">
        <f t="shared" si="2"/>
        <v>703942.0843935553</v>
      </c>
      <c r="I7" s="558"/>
      <c r="J7" s="425">
        <v>993.68555486760806</v>
      </c>
      <c r="K7" s="558">
        <v>105462.8523469872</v>
      </c>
      <c r="L7" s="559">
        <v>597485.54649170046</v>
      </c>
      <c r="N7" s="619"/>
      <c r="O7" s="371"/>
    </row>
    <row r="8" spans="1:15" ht="13" x14ac:dyDescent="0.3">
      <c r="A8" s="614">
        <v>1997</v>
      </c>
      <c r="B8" s="592">
        <f t="shared" si="0"/>
        <v>859351.67959043023</v>
      </c>
      <c r="C8" s="393">
        <f t="shared" si="1"/>
        <v>119469.61099105242</v>
      </c>
      <c r="D8" s="615">
        <v>16203.72755347064</v>
      </c>
      <c r="E8" s="616">
        <v>28692.072312231969</v>
      </c>
      <c r="F8" s="617">
        <v>74181.286990561202</v>
      </c>
      <c r="G8" s="616">
        <v>392.52413478861899</v>
      </c>
      <c r="H8" s="393">
        <f t="shared" si="2"/>
        <v>739882.06859937776</v>
      </c>
      <c r="I8" s="617"/>
      <c r="J8" s="616">
        <v>1196.3929321827632</v>
      </c>
      <c r="K8" s="617">
        <v>116462.02043283332</v>
      </c>
      <c r="L8" s="618">
        <v>622223.65523436165</v>
      </c>
      <c r="N8" s="619"/>
      <c r="O8" s="371"/>
    </row>
    <row r="9" spans="1:15" ht="13" x14ac:dyDescent="0.3">
      <c r="A9" s="620">
        <v>1998</v>
      </c>
      <c r="B9" s="621">
        <f t="shared" si="0"/>
        <v>786060.99965563859</v>
      </c>
      <c r="C9" s="398">
        <f t="shared" si="1"/>
        <v>107173.85069988419</v>
      </c>
      <c r="D9" s="358">
        <v>16061.939270334933</v>
      </c>
      <c r="E9" s="425">
        <v>27911.326174946436</v>
      </c>
      <c r="F9" s="558">
        <v>63200.207993220713</v>
      </c>
      <c r="G9" s="425">
        <v>0.37726138210288968</v>
      </c>
      <c r="H9" s="398">
        <f t="shared" si="2"/>
        <v>678887.14895575435</v>
      </c>
      <c r="I9" s="558"/>
      <c r="J9" s="425">
        <v>567.10199926505288</v>
      </c>
      <c r="K9" s="558">
        <v>106855.98447912202</v>
      </c>
      <c r="L9" s="559">
        <v>571464.06247736723</v>
      </c>
      <c r="N9" s="619"/>
      <c r="O9" s="371"/>
    </row>
    <row r="10" spans="1:15" ht="13" x14ac:dyDescent="0.3">
      <c r="A10" s="614">
        <v>1999</v>
      </c>
      <c r="B10" s="592">
        <f t="shared" si="0"/>
        <v>778389.13985393988</v>
      </c>
      <c r="C10" s="393">
        <f t="shared" si="1"/>
        <v>107879.16120478789</v>
      </c>
      <c r="D10" s="615">
        <v>15419.05743904313</v>
      </c>
      <c r="E10" s="616">
        <v>26357.711952965714</v>
      </c>
      <c r="F10" s="617">
        <v>66101.286155163092</v>
      </c>
      <c r="G10" s="616">
        <v>1.10565761594531</v>
      </c>
      <c r="H10" s="393">
        <f t="shared" si="2"/>
        <v>670509.97864915198</v>
      </c>
      <c r="I10" s="617"/>
      <c r="J10" s="616">
        <v>304.81641685889394</v>
      </c>
      <c r="K10" s="617">
        <v>113037.41192269779</v>
      </c>
      <c r="L10" s="618">
        <v>557167.75030959526</v>
      </c>
      <c r="N10" s="619"/>
      <c r="O10" s="371"/>
    </row>
    <row r="11" spans="1:15" ht="13" x14ac:dyDescent="0.3">
      <c r="A11" s="620">
        <v>2000</v>
      </c>
      <c r="B11" s="621">
        <f t="shared" si="0"/>
        <v>866072.13672822504</v>
      </c>
      <c r="C11" s="398">
        <f t="shared" si="1"/>
        <v>125742.6973683028</v>
      </c>
      <c r="D11" s="358">
        <v>17480.373733486416</v>
      </c>
      <c r="E11" s="425">
        <v>31943.38682911342</v>
      </c>
      <c r="F11" s="558">
        <v>76318.587485158496</v>
      </c>
      <c r="G11" s="425">
        <v>0.34932054447149935</v>
      </c>
      <c r="H11" s="398">
        <f t="shared" si="2"/>
        <v>740329.43935992219</v>
      </c>
      <c r="I11" s="558"/>
      <c r="J11" s="425">
        <v>356.35851458858718</v>
      </c>
      <c r="K11" s="558">
        <v>133233.19992662172</v>
      </c>
      <c r="L11" s="559">
        <v>606739.88091871189</v>
      </c>
      <c r="N11" s="619"/>
      <c r="O11" s="371"/>
    </row>
    <row r="12" spans="1:15" ht="13" x14ac:dyDescent="0.3">
      <c r="A12" s="614">
        <v>2001</v>
      </c>
      <c r="B12" s="592">
        <f t="shared" si="0"/>
        <v>862632.28368588316</v>
      </c>
      <c r="C12" s="393">
        <f t="shared" si="1"/>
        <v>101440.22575696744</v>
      </c>
      <c r="D12" s="615">
        <v>2970.6099071370977</v>
      </c>
      <c r="E12" s="616">
        <v>24206.749945621727</v>
      </c>
      <c r="F12" s="617">
        <v>74262.865904208622</v>
      </c>
      <c r="G12" s="616"/>
      <c r="H12" s="393">
        <f>SUM(I12:L12)</f>
        <v>761192.05792891572</v>
      </c>
      <c r="I12" s="617"/>
      <c r="J12" s="616">
        <v>370.99497996224608</v>
      </c>
      <c r="K12" s="617">
        <v>142500.84567090322</v>
      </c>
      <c r="L12" s="618">
        <v>618320.21727805026</v>
      </c>
      <c r="N12" s="619"/>
      <c r="O12" s="371"/>
    </row>
    <row r="13" spans="1:15" ht="13" x14ac:dyDescent="0.3">
      <c r="A13" s="620">
        <v>2002</v>
      </c>
      <c r="B13" s="621">
        <f t="shared" si="0"/>
        <v>862228.11757443007</v>
      </c>
      <c r="C13" s="398">
        <f t="shared" si="1"/>
        <v>97685.027246002166</v>
      </c>
      <c r="D13" s="358">
        <v>2899.5622299594179</v>
      </c>
      <c r="E13" s="341">
        <v>20776.196119793658</v>
      </c>
      <c r="F13" s="362">
        <v>74009.268896249094</v>
      </c>
      <c r="G13" s="341"/>
      <c r="H13" s="398">
        <f>SUM(I13:L13)</f>
        <v>764543.09032842796</v>
      </c>
      <c r="I13" s="362"/>
      <c r="J13" s="341">
        <v>340.76138043594131</v>
      </c>
      <c r="K13" s="362">
        <v>151870.41586342058</v>
      </c>
      <c r="L13" s="400">
        <v>612331.91308457148</v>
      </c>
      <c r="N13" s="619"/>
      <c r="O13" s="371"/>
    </row>
    <row r="14" spans="1:15" ht="13" x14ac:dyDescent="0.3">
      <c r="A14" s="614">
        <v>2003</v>
      </c>
      <c r="B14" s="592">
        <f>+H14+C14</f>
        <v>901096.17241545301</v>
      </c>
      <c r="C14" s="393">
        <f>SUM(D14:G14)</f>
        <v>89989.026017499913</v>
      </c>
      <c r="D14" s="615">
        <v>3287.7235874724447</v>
      </c>
      <c r="E14" s="616">
        <v>17961.788411639674</v>
      </c>
      <c r="F14" s="617">
        <v>68739.514018387796</v>
      </c>
      <c r="G14" s="616"/>
      <c r="H14" s="393">
        <f>SUM(I14:L14)</f>
        <v>811107.14639795315</v>
      </c>
      <c r="I14" s="617"/>
      <c r="J14" s="616">
        <v>311.67072032725486</v>
      </c>
      <c r="K14" s="617">
        <v>163826.11960203198</v>
      </c>
      <c r="L14" s="618">
        <v>646969.35607559397</v>
      </c>
      <c r="N14" s="619"/>
      <c r="O14" s="371"/>
    </row>
    <row r="15" spans="1:15" ht="13" x14ac:dyDescent="0.3">
      <c r="A15" s="620">
        <v>2004</v>
      </c>
      <c r="B15" s="621">
        <f t="shared" si="0"/>
        <v>986870.11767828721</v>
      </c>
      <c r="C15" s="398">
        <f t="shared" si="1"/>
        <v>88872.410827747721</v>
      </c>
      <c r="D15" s="358">
        <v>3683.5095223372091</v>
      </c>
      <c r="E15" s="341">
        <v>13977.946197316949</v>
      </c>
      <c r="F15" s="362">
        <v>71210.955108093563</v>
      </c>
      <c r="G15" s="341"/>
      <c r="H15" s="398">
        <f t="shared" si="2"/>
        <v>897997.70685053943</v>
      </c>
      <c r="I15" s="362"/>
      <c r="J15" s="341">
        <v>1242.8690940243323</v>
      </c>
      <c r="K15" s="362">
        <v>183802.05887898686</v>
      </c>
      <c r="L15" s="400">
        <v>712952.77887752827</v>
      </c>
      <c r="N15" s="619"/>
      <c r="O15" s="371"/>
    </row>
    <row r="16" spans="1:15" ht="13" x14ac:dyDescent="0.3">
      <c r="A16" s="614">
        <v>2005</v>
      </c>
      <c r="B16" s="592">
        <f t="shared" si="0"/>
        <v>1147775.8928376874</v>
      </c>
      <c r="C16" s="393">
        <f t="shared" si="1"/>
        <v>99638.871343217426</v>
      </c>
      <c r="D16" s="615">
        <v>4636.3948278779644</v>
      </c>
      <c r="E16" s="616">
        <v>15658.488919374646</v>
      </c>
      <c r="F16" s="617">
        <v>79343.98759596482</v>
      </c>
      <c r="G16" s="616"/>
      <c r="H16" s="393">
        <f t="shared" si="2"/>
        <v>1048137.0214944701</v>
      </c>
      <c r="I16" s="617"/>
      <c r="J16" s="616">
        <v>2905.8640836885861</v>
      </c>
      <c r="K16" s="617">
        <v>226268.1076778982</v>
      </c>
      <c r="L16" s="618">
        <v>818963.04973288323</v>
      </c>
      <c r="N16" s="619"/>
      <c r="O16" s="371"/>
    </row>
    <row r="17" spans="1:15" ht="13" x14ac:dyDescent="0.3">
      <c r="A17" s="620">
        <v>2006</v>
      </c>
      <c r="B17" s="621">
        <f t="shared" si="0"/>
        <v>1222413.6377595204</v>
      </c>
      <c r="C17" s="398">
        <f t="shared" si="1"/>
        <v>101892.57380962497</v>
      </c>
      <c r="D17" s="358">
        <v>5338.8389999683695</v>
      </c>
      <c r="E17" s="341">
        <v>15238.968382169845</v>
      </c>
      <c r="F17" s="362">
        <v>81314.766427486757</v>
      </c>
      <c r="G17" s="341"/>
      <c r="H17" s="398">
        <f t="shared" si="2"/>
        <v>1120521.0639498956</v>
      </c>
      <c r="I17" s="362"/>
      <c r="J17" s="341">
        <v>3140.3209144372004</v>
      </c>
      <c r="K17" s="362">
        <v>243797.53528287311</v>
      </c>
      <c r="L17" s="400">
        <v>873583.20775258518</v>
      </c>
      <c r="N17" s="619"/>
      <c r="O17" s="371"/>
    </row>
    <row r="18" spans="1:15" ht="13" x14ac:dyDescent="0.3">
      <c r="A18" s="614">
        <v>2007</v>
      </c>
      <c r="B18" s="592">
        <f t="shared" si="0"/>
        <v>1305447.8754961956</v>
      </c>
      <c r="C18" s="393">
        <f t="shared" si="1"/>
        <v>91758.397642161377</v>
      </c>
      <c r="D18" s="615">
        <v>5813.5422557263873</v>
      </c>
      <c r="E18" s="616">
        <v>7543.7139393363186</v>
      </c>
      <c r="F18" s="617">
        <v>78401.141447098678</v>
      </c>
      <c r="G18" s="616"/>
      <c r="H18" s="393">
        <f t="shared" si="2"/>
        <v>1213689.4778540342</v>
      </c>
      <c r="I18" s="617"/>
      <c r="J18" s="616">
        <v>4057.9086916543019</v>
      </c>
      <c r="K18" s="617">
        <v>271794.00017439784</v>
      </c>
      <c r="L18" s="618">
        <v>937837.568987982</v>
      </c>
      <c r="N18" s="619"/>
      <c r="O18" s="371"/>
    </row>
    <row r="19" spans="1:15" ht="13" x14ac:dyDescent="0.3">
      <c r="A19" s="620">
        <v>2008</v>
      </c>
      <c r="B19" s="621">
        <f t="shared" si="0"/>
        <v>1501002.7378177985</v>
      </c>
      <c r="C19" s="398">
        <f t="shared" si="1"/>
        <v>107608.88207387061</v>
      </c>
      <c r="D19" s="358">
        <v>5762.8709924165178</v>
      </c>
      <c r="E19" s="341">
        <v>8648.3074696217445</v>
      </c>
      <c r="F19" s="362">
        <v>93197.703611832345</v>
      </c>
      <c r="G19" s="341"/>
      <c r="H19" s="398">
        <f t="shared" si="2"/>
        <v>1393393.8557439279</v>
      </c>
      <c r="I19" s="362"/>
      <c r="J19" s="341">
        <v>4026.4673853664908</v>
      </c>
      <c r="K19" s="362">
        <v>318585.12070903782</v>
      </c>
      <c r="L19" s="400">
        <v>1070782.2676495234</v>
      </c>
      <c r="N19" s="619"/>
      <c r="O19" s="371"/>
    </row>
    <row r="20" spans="1:15" ht="13" x14ac:dyDescent="0.3">
      <c r="A20" s="614">
        <v>2009</v>
      </c>
      <c r="B20" s="592">
        <f t="shared" si="0"/>
        <v>1675664.7528214001</v>
      </c>
      <c r="C20" s="393">
        <f t="shared" si="1"/>
        <v>118749.05177280001</v>
      </c>
      <c r="D20" s="615">
        <v>6087.1697834999995</v>
      </c>
      <c r="E20" s="616">
        <v>13150.987824299998</v>
      </c>
      <c r="F20" s="617">
        <v>99510.894165000005</v>
      </c>
      <c r="G20" s="616"/>
      <c r="H20" s="393">
        <f t="shared" si="2"/>
        <v>1556915.7010486</v>
      </c>
      <c r="I20" s="617"/>
      <c r="J20" s="616">
        <v>3630.1733886000002</v>
      </c>
      <c r="K20" s="617">
        <v>371047.12976000004</v>
      </c>
      <c r="L20" s="618">
        <v>1182238.3979</v>
      </c>
      <c r="N20" s="619"/>
      <c r="O20" s="371"/>
    </row>
    <row r="21" spans="1:15" ht="13" x14ac:dyDescent="0.3">
      <c r="A21" s="622">
        <v>2010</v>
      </c>
      <c r="B21" s="594">
        <f t="shared" si="0"/>
        <v>1841104.1163105767</v>
      </c>
      <c r="C21" s="405">
        <f t="shared" si="1"/>
        <v>122514.81330417127</v>
      </c>
      <c r="D21" s="623">
        <v>695.18175194493529</v>
      </c>
      <c r="E21" s="371">
        <v>14232.305048435535</v>
      </c>
      <c r="F21" s="369">
        <v>107587.3265037908</v>
      </c>
      <c r="G21" s="371"/>
      <c r="H21" s="405">
        <f t="shared" si="2"/>
        <v>1718589.3030064055</v>
      </c>
      <c r="I21" s="369"/>
      <c r="J21" s="371">
        <v>4064.4831102501812</v>
      </c>
      <c r="K21" s="369">
        <v>424841.78563871951</v>
      </c>
      <c r="L21" s="407">
        <v>1289683.0342574357</v>
      </c>
      <c r="N21" s="619"/>
      <c r="O21" s="371"/>
    </row>
    <row r="22" spans="1:15" ht="13" x14ac:dyDescent="0.3">
      <c r="A22" s="614">
        <v>2011</v>
      </c>
      <c r="B22" s="592">
        <f>+H22+C22</f>
        <v>2130475.7425380684</v>
      </c>
      <c r="C22" s="393">
        <f>SUM(D22:G22)</f>
        <v>146073.32673288663</v>
      </c>
      <c r="D22" s="615">
        <v>1617.295989696222</v>
      </c>
      <c r="E22" s="616">
        <v>19895.69047478147</v>
      </c>
      <c r="F22" s="617">
        <v>124560.34026840894</v>
      </c>
      <c r="G22" s="616"/>
      <c r="H22" s="393">
        <f t="shared" si="2"/>
        <v>1984402.415805182</v>
      </c>
      <c r="I22" s="617">
        <v>19.739717035154086</v>
      </c>
      <c r="J22" s="616">
        <v>4565.9481917602752</v>
      </c>
      <c r="K22" s="617">
        <v>514699.09877337317</v>
      </c>
      <c r="L22" s="618">
        <v>1465117.6291230135</v>
      </c>
      <c r="N22" s="619"/>
      <c r="O22" s="371"/>
    </row>
    <row r="23" spans="1:15" ht="13" x14ac:dyDescent="0.3">
      <c r="A23" s="622">
        <v>2012</v>
      </c>
      <c r="B23" s="594">
        <f>+H23+C23</f>
        <v>2474533.5608113483</v>
      </c>
      <c r="C23" s="405">
        <f>SUM(D23:G23)</f>
        <v>160857.30697259019</v>
      </c>
      <c r="D23" s="623">
        <v>1728.861951200854</v>
      </c>
      <c r="E23" s="371">
        <v>29340.567985530346</v>
      </c>
      <c r="F23" s="369">
        <v>129787.87703585898</v>
      </c>
      <c r="G23" s="371"/>
      <c r="H23" s="405">
        <f>SUM(I23:L23)</f>
        <v>2313676.253838758</v>
      </c>
      <c r="I23" s="369">
        <v>142.07235007053396</v>
      </c>
      <c r="J23" s="371">
        <v>5458.6424975267764</v>
      </c>
      <c r="K23" s="369">
        <v>615710.61016465211</v>
      </c>
      <c r="L23" s="407">
        <v>1692364.9288265083</v>
      </c>
      <c r="N23" s="619"/>
      <c r="O23" s="371"/>
    </row>
    <row r="24" spans="1:15" ht="13" x14ac:dyDescent="0.3">
      <c r="A24" s="614">
        <v>2013</v>
      </c>
      <c r="B24" s="592">
        <f>+H24+C24</f>
        <v>2617787.5623977226</v>
      </c>
      <c r="C24" s="393">
        <f>SUM(D24:G24)</f>
        <v>185397.12191505037</v>
      </c>
      <c r="D24" s="615">
        <v>3120.485735538472</v>
      </c>
      <c r="E24" s="616">
        <v>34322.319666156247</v>
      </c>
      <c r="F24" s="617">
        <v>147954.31651335565</v>
      </c>
      <c r="G24" s="616"/>
      <c r="H24" s="393">
        <f>SUM(I24:L24)</f>
        <v>2432390.4404826723</v>
      </c>
      <c r="I24" s="617">
        <v>170.66162683205602</v>
      </c>
      <c r="J24" s="616">
        <v>3777.0219700719504</v>
      </c>
      <c r="K24" s="617">
        <v>656049.28906136623</v>
      </c>
      <c r="L24" s="618">
        <v>1772393.4678244018</v>
      </c>
      <c r="N24" s="619"/>
      <c r="O24" s="371"/>
    </row>
    <row r="25" spans="1:15" ht="13" x14ac:dyDescent="0.3">
      <c r="A25" s="622">
        <v>2014</v>
      </c>
      <c r="B25" s="594">
        <f>+H25+C25</f>
        <v>2974057.6040994683</v>
      </c>
      <c r="C25" s="405">
        <f>SUM(D25:G25)</f>
        <v>185561.58643291876</v>
      </c>
      <c r="D25" s="623">
        <v>4943.9865755482642</v>
      </c>
      <c r="E25" s="371">
        <v>37652.332031992395</v>
      </c>
      <c r="F25" s="369">
        <v>142965.26782537811</v>
      </c>
      <c r="G25" s="371"/>
      <c r="H25" s="405">
        <f>SUM(I25:L25)</f>
        <v>2788496.0176665494</v>
      </c>
      <c r="I25" s="369"/>
      <c r="J25" s="371">
        <v>4098.5171049087321</v>
      </c>
      <c r="K25" s="369">
        <v>763453.9583419835</v>
      </c>
      <c r="L25" s="407">
        <v>2020943.5422196575</v>
      </c>
      <c r="N25" s="619"/>
      <c r="O25" s="371"/>
    </row>
    <row r="26" spans="1:15" ht="13" x14ac:dyDescent="0.3">
      <c r="A26" s="614">
        <v>2015</v>
      </c>
      <c r="B26" s="592">
        <f t="shared" ref="B26:B33" si="3">+H26+C26</f>
        <v>3054173.9700000049</v>
      </c>
      <c r="C26" s="393">
        <f t="shared" ref="C26:C33" si="4">SUM(D26:G26)</f>
        <v>174080.91000000003</v>
      </c>
      <c r="D26" s="615">
        <v>2719.7200000000003</v>
      </c>
      <c r="E26" s="616">
        <v>31630.530000000002</v>
      </c>
      <c r="F26" s="617">
        <v>139730.66000000003</v>
      </c>
      <c r="G26" s="616"/>
      <c r="H26" s="393">
        <f t="shared" ref="H26:H33" si="5">SUM(I26:L26)</f>
        <v>2880093.0600000047</v>
      </c>
      <c r="I26" s="617">
        <v>168.17</v>
      </c>
      <c r="J26" s="616">
        <v>3000.2699999999995</v>
      </c>
      <c r="K26" s="617">
        <v>809344.16000000038</v>
      </c>
      <c r="L26" s="618">
        <v>2067580.4600000044</v>
      </c>
      <c r="N26" s="619"/>
      <c r="O26" s="371"/>
    </row>
    <row r="27" spans="1:15" ht="13" x14ac:dyDescent="0.3">
      <c r="A27" s="622">
        <v>2016</v>
      </c>
      <c r="B27" s="594">
        <f t="shared" si="3"/>
        <v>3107945.2125680889</v>
      </c>
      <c r="C27" s="405">
        <f t="shared" si="4"/>
        <v>160366.90832169791</v>
      </c>
      <c r="D27" s="623">
        <v>1149.6047984648749</v>
      </c>
      <c r="E27" s="371">
        <v>28688.968742493562</v>
      </c>
      <c r="F27" s="369">
        <v>130528.33478073946</v>
      </c>
      <c r="G27" s="371"/>
      <c r="H27" s="405">
        <f t="shared" si="5"/>
        <v>2947578.3042463912</v>
      </c>
      <c r="I27" s="369">
        <v>173.31628436618877</v>
      </c>
      <c r="J27" s="371">
        <v>3123.3250817723533</v>
      </c>
      <c r="K27" s="369">
        <v>747383.55766719859</v>
      </c>
      <c r="L27" s="407">
        <v>2196898.105213054</v>
      </c>
      <c r="N27" s="619"/>
      <c r="O27" s="371"/>
    </row>
    <row r="28" spans="1:15" ht="13" x14ac:dyDescent="0.3">
      <c r="A28" s="614">
        <v>2017</v>
      </c>
      <c r="B28" s="592">
        <f t="shared" si="3"/>
        <v>3135319.5418498083</v>
      </c>
      <c r="C28" s="393">
        <f t="shared" si="4"/>
        <v>220110.9670241345</v>
      </c>
      <c r="D28" s="615">
        <v>1216.08722995471</v>
      </c>
      <c r="E28" s="616">
        <v>15651.34103437345</v>
      </c>
      <c r="F28" s="617">
        <v>203243.53875980634</v>
      </c>
      <c r="G28" s="616"/>
      <c r="H28" s="393">
        <f t="shared" si="5"/>
        <v>2915208.5748256738</v>
      </c>
      <c r="I28" s="617">
        <v>169.92929485383564</v>
      </c>
      <c r="J28" s="616">
        <v>2384.1918412807545</v>
      </c>
      <c r="K28" s="617">
        <v>615015.98574152018</v>
      </c>
      <c r="L28" s="618">
        <v>2297638.467948019</v>
      </c>
      <c r="N28" s="619"/>
      <c r="O28" s="371"/>
    </row>
    <row r="29" spans="1:15" ht="13" x14ac:dyDescent="0.3">
      <c r="A29" s="622">
        <v>2018</v>
      </c>
      <c r="B29" s="594">
        <f t="shared" si="3"/>
        <v>3262079.7526475927</v>
      </c>
      <c r="C29" s="405">
        <f t="shared" si="4"/>
        <v>213811.36275945383</v>
      </c>
      <c r="D29" s="623">
        <v>1131.9512511238358</v>
      </c>
      <c r="E29" s="371">
        <v>16483.066759411304</v>
      </c>
      <c r="F29" s="369">
        <v>196090.51963891386</v>
      </c>
      <c r="G29" s="371">
        <v>105.82511000482769</v>
      </c>
      <c r="H29" s="405">
        <f t="shared" si="5"/>
        <v>3048268.389888139</v>
      </c>
      <c r="I29" s="369">
        <v>182.4067134196554</v>
      </c>
      <c r="J29" s="371">
        <v>1999.5790936664625</v>
      </c>
      <c r="K29" s="369">
        <v>568701.61095185042</v>
      </c>
      <c r="L29" s="407">
        <v>2477384.7931292024</v>
      </c>
      <c r="N29" s="619"/>
      <c r="O29" s="371"/>
    </row>
    <row r="30" spans="1:15" ht="13" x14ac:dyDescent="0.3">
      <c r="A30" s="614">
        <v>2019</v>
      </c>
      <c r="B30" s="592">
        <f t="shared" si="3"/>
        <v>3390349.5113747646</v>
      </c>
      <c r="C30" s="393">
        <f t="shared" si="4"/>
        <v>238930.49401381344</v>
      </c>
      <c r="D30" s="615">
        <v>1246.0443999082729</v>
      </c>
      <c r="E30" s="616">
        <v>19500.189964609814</v>
      </c>
      <c r="F30" s="617">
        <v>218115.90430181313</v>
      </c>
      <c r="G30" s="616">
        <v>68.35534748223931</v>
      </c>
      <c r="H30" s="393">
        <f t="shared" si="5"/>
        <v>3151419.0173609513</v>
      </c>
      <c r="I30" s="617">
        <v>174.07676622053586</v>
      </c>
      <c r="J30" s="616">
        <v>2036.0810363990856</v>
      </c>
      <c r="K30" s="617">
        <v>527315.98014093447</v>
      </c>
      <c r="L30" s="618">
        <v>2621892.8794173971</v>
      </c>
      <c r="N30" s="619"/>
      <c r="O30" s="371"/>
    </row>
    <row r="31" spans="1:15" ht="13" x14ac:dyDescent="0.3">
      <c r="A31" s="622">
        <v>2020</v>
      </c>
      <c r="B31" s="594">
        <f t="shared" si="3"/>
        <v>3177626.507886481</v>
      </c>
      <c r="C31" s="405">
        <f t="shared" si="4"/>
        <v>214148.21157357129</v>
      </c>
      <c r="D31" s="623">
        <v>1296.2071536085346</v>
      </c>
      <c r="E31" s="371">
        <v>17367.2708994247</v>
      </c>
      <c r="F31" s="369">
        <v>195431.55712895442</v>
      </c>
      <c r="G31" s="371">
        <v>53.176391583635699</v>
      </c>
      <c r="H31" s="405">
        <f t="shared" si="5"/>
        <v>2963478.2963129096</v>
      </c>
      <c r="I31" s="369">
        <v>119.09131097119791</v>
      </c>
      <c r="J31" s="371">
        <v>570.09865140874786</v>
      </c>
      <c r="K31" s="369">
        <v>438574.4341395949</v>
      </c>
      <c r="L31" s="407">
        <v>2524214.6722109346</v>
      </c>
      <c r="N31" s="619"/>
      <c r="O31" s="371"/>
    </row>
    <row r="32" spans="1:15" ht="13" x14ac:dyDescent="0.3">
      <c r="A32" s="614">
        <v>2021</v>
      </c>
      <c r="B32" s="592">
        <f t="shared" ref="B32" si="6">+H32+C32</f>
        <v>3247662.6154216672</v>
      </c>
      <c r="C32" s="393">
        <f t="shared" ref="C32" si="7">SUM(D32:G32)</f>
        <v>240022.83043117402</v>
      </c>
      <c r="D32" s="615">
        <v>1278.2425750999998</v>
      </c>
      <c r="E32" s="616">
        <v>19448.78380163524</v>
      </c>
      <c r="F32" s="617">
        <v>219055.28920466016</v>
      </c>
      <c r="G32" s="616">
        <v>240.51484977860565</v>
      </c>
      <c r="H32" s="393">
        <f t="shared" ref="H32" si="8">SUM(I32:L32)</f>
        <v>3007639.7849904932</v>
      </c>
      <c r="I32" s="617">
        <v>147.8648038</v>
      </c>
      <c r="J32" s="616">
        <v>297.53773780000006</v>
      </c>
      <c r="K32" s="617">
        <v>427897.4293376992</v>
      </c>
      <c r="L32" s="618">
        <v>2579296.9531111941</v>
      </c>
      <c r="N32" s="619"/>
      <c r="O32" s="371"/>
    </row>
    <row r="33" spans="1:16" ht="13.5" thickBot="1" x14ac:dyDescent="0.35">
      <c r="A33" s="700">
        <v>2022</v>
      </c>
      <c r="B33" s="594">
        <f t="shared" si="3"/>
        <v>3703282</v>
      </c>
      <c r="C33" s="405">
        <f t="shared" si="4"/>
        <v>304638.25000000006</v>
      </c>
      <c r="D33" s="623">
        <v>0</v>
      </c>
      <c r="E33" s="371">
        <v>23407.21</v>
      </c>
      <c r="F33" s="369">
        <v>280723.89</v>
      </c>
      <c r="G33" s="371">
        <v>507.15</v>
      </c>
      <c r="H33" s="405">
        <f t="shared" si="5"/>
        <v>3398643.75</v>
      </c>
      <c r="I33" s="369">
        <v>191.05</v>
      </c>
      <c r="J33" s="371">
        <v>330.86</v>
      </c>
      <c r="K33" s="369">
        <v>473631.42</v>
      </c>
      <c r="L33" s="407">
        <v>2924490.42</v>
      </c>
      <c r="M33" s="318"/>
      <c r="N33" s="619"/>
      <c r="O33" s="371"/>
    </row>
    <row r="34" spans="1:16" s="493" customFormat="1" ht="16.899999999999999" customHeight="1" x14ac:dyDescent="0.25">
      <c r="A34" s="545" t="s">
        <v>161</v>
      </c>
      <c r="B34" s="919">
        <f>(B33/B32)-1</f>
        <v>0.14029147683469478</v>
      </c>
      <c r="C34" s="920">
        <f>(C33/C32)-1</f>
        <v>0.26920530623171013</v>
      </c>
      <c r="D34" s="921"/>
      <c r="E34" s="920">
        <f>(E33/E32)-1</f>
        <v>0.20353078314500772</v>
      </c>
      <c r="F34" s="921">
        <f>(F33/F32)-1</f>
        <v>0.28152071113756016</v>
      </c>
      <c r="G34" s="922"/>
      <c r="H34" s="920">
        <f>(H33/H32)-1</f>
        <v>0.13000358851508631</v>
      </c>
      <c r="I34" s="921"/>
      <c r="J34" s="920">
        <f>(J33/J32)-1</f>
        <v>0.1119933976993488</v>
      </c>
      <c r="K34" s="921">
        <f>(K33/K32)-1</f>
        <v>0.10688073245284024</v>
      </c>
      <c r="L34" s="922">
        <f>(L33/L32)-1</f>
        <v>0.13383238656271335</v>
      </c>
    </row>
    <row r="35" spans="1:16" s="493" customFormat="1" ht="16.899999999999999" customHeight="1" x14ac:dyDescent="0.25">
      <c r="A35" s="546" t="s">
        <v>162</v>
      </c>
      <c r="B35" s="530">
        <f>((B33/B28)^(1/5))-1</f>
        <v>3.385824355215572E-2</v>
      </c>
      <c r="C35" s="414">
        <f>((C33/C28)^(1/5))-1</f>
        <v>6.7157571416001982E-2</v>
      </c>
      <c r="D35" s="923"/>
      <c r="E35" s="414">
        <f>((E33/E28)^(1/5))-1</f>
        <v>8.382613537196959E-2</v>
      </c>
      <c r="F35" s="923">
        <f>((F33/F28)^(1/5))-1</f>
        <v>6.672512680991538E-2</v>
      </c>
      <c r="G35" s="924"/>
      <c r="H35" s="414">
        <f>((H33/H28)^(1/5))-1</f>
        <v>3.1162717074955548E-2</v>
      </c>
      <c r="I35" s="923"/>
      <c r="J35" s="414">
        <f>((J33/J28)^(1/5))-1</f>
        <v>-0.3263092047038666</v>
      </c>
      <c r="K35" s="923">
        <f>((K33/K28)^(1/5))-1</f>
        <v>-5.0902520244630711E-2</v>
      </c>
      <c r="L35" s="924">
        <f>((L33/L28)^(1/5))-1</f>
        <v>4.9430547717281836E-2</v>
      </c>
    </row>
    <row r="36" spans="1:16" s="493" customFormat="1" ht="16.899999999999999" customHeight="1" x14ac:dyDescent="0.25">
      <c r="A36" s="547" t="s">
        <v>163</v>
      </c>
      <c r="B36" s="527">
        <f>(B33/B23)-1</f>
        <v>0.49655759721673398</v>
      </c>
      <c r="C36" s="417">
        <f>(C33/C23)-1</f>
        <v>0.8938415402659321</v>
      </c>
      <c r="D36" s="925"/>
      <c r="E36" s="417">
        <f>(E33/E23)-1</f>
        <v>-0.20222369207223434</v>
      </c>
      <c r="F36" s="925">
        <f>(F33/F23)-1</f>
        <v>1.1629438466154975</v>
      </c>
      <c r="G36" s="926"/>
      <c r="H36" s="417">
        <f>(H33/H23)-1</f>
        <v>0.46893660872436582</v>
      </c>
      <c r="I36" s="925"/>
      <c r="J36" s="417">
        <f>(J33/J23)-1</f>
        <v>-0.93938786059905788</v>
      </c>
      <c r="K36" s="925">
        <f>(K33/K23)-1</f>
        <v>-0.230756442749391</v>
      </c>
      <c r="L36" s="926">
        <f>(L33/L23)-1</f>
        <v>0.72804953009032847</v>
      </c>
    </row>
    <row r="37" spans="1:16" s="493" customFormat="1" ht="16.899999999999999" customHeight="1" thickBot="1" x14ac:dyDescent="0.3">
      <c r="A37" s="548" t="s">
        <v>164</v>
      </c>
      <c r="B37" s="927">
        <f>((B33/B23)^(1/10))-1</f>
        <v>4.1140506921289788E-2</v>
      </c>
      <c r="C37" s="421">
        <f>((C33/C23)^(1/10))-1</f>
        <v>6.5943937311213841E-2</v>
      </c>
      <c r="D37" s="928"/>
      <c r="E37" s="421">
        <f>((E33/E23)^(1/10))-1</f>
        <v>-2.2339399734243592E-2</v>
      </c>
      <c r="F37" s="928">
        <f>((F33/F23)^(1/10))-1</f>
        <v>8.0200874312819304E-2</v>
      </c>
      <c r="G37" s="929"/>
      <c r="H37" s="421">
        <f>((H33/H23)^(1/10))-1</f>
        <v>3.9202793357328902E-2</v>
      </c>
      <c r="I37" s="928"/>
      <c r="J37" s="421">
        <f>((J33/J23)^(1/10))-1</f>
        <v>-0.244462610371592</v>
      </c>
      <c r="K37" s="928">
        <f>((K33/K23)^(1/10))-1</f>
        <v>-2.5893622364033031E-2</v>
      </c>
      <c r="L37" s="929">
        <f>((L33/L23)^(1/10))-1</f>
        <v>5.6222995869563475E-2</v>
      </c>
    </row>
    <row r="38" spans="1:16" x14ac:dyDescent="0.25">
      <c r="A38" s="382"/>
      <c r="B38" s="333"/>
      <c r="C38" s="333"/>
      <c r="D38" s="333"/>
      <c r="E38" s="333"/>
      <c r="F38" s="333"/>
      <c r="H38" s="333"/>
      <c r="J38" s="333"/>
      <c r="K38" s="333"/>
      <c r="L38" s="333"/>
    </row>
    <row r="39" spans="1:16" x14ac:dyDescent="0.25">
      <c r="A39" s="383"/>
    </row>
    <row r="40" spans="1:16" x14ac:dyDescent="0.25">
      <c r="A40" s="383"/>
    </row>
    <row r="41" spans="1:16" x14ac:dyDescent="0.25">
      <c r="A41" s="383"/>
    </row>
    <row r="42" spans="1:16" x14ac:dyDescent="0.25">
      <c r="A42" s="383"/>
      <c r="O42" s="1283" t="s">
        <v>188</v>
      </c>
      <c r="P42" s="1283" t="s">
        <v>189</v>
      </c>
    </row>
    <row r="43" spans="1:16" x14ac:dyDescent="0.25">
      <c r="A43" s="383"/>
      <c r="N43" s="315">
        <v>1995</v>
      </c>
      <c r="O43" s="328">
        <f>+C6</f>
        <v>124184.48634359846</v>
      </c>
      <c r="P43" s="328">
        <f>+H6</f>
        <v>652594.70505039126</v>
      </c>
    </row>
    <row r="44" spans="1:16" x14ac:dyDescent="0.25">
      <c r="A44" s="383"/>
      <c r="N44" s="315">
        <v>2000</v>
      </c>
      <c r="O44" s="328">
        <f>+C11</f>
        <v>125742.6973683028</v>
      </c>
      <c r="P44" s="328">
        <f>+H11</f>
        <v>740329.43935992219</v>
      </c>
    </row>
    <row r="45" spans="1:16" x14ac:dyDescent="0.25">
      <c r="A45" s="383"/>
      <c r="N45" s="315">
        <v>2005</v>
      </c>
      <c r="O45" s="328">
        <f>+C16</f>
        <v>99638.871343217426</v>
      </c>
      <c r="P45" s="328">
        <f>+H16</f>
        <v>1048137.0214944701</v>
      </c>
    </row>
    <row r="46" spans="1:16" x14ac:dyDescent="0.25">
      <c r="A46" s="383"/>
      <c r="N46" s="315">
        <v>2010</v>
      </c>
      <c r="O46" s="328">
        <v>122514.81330417127</v>
      </c>
      <c r="P46" s="328">
        <v>1718589.3030064055</v>
      </c>
    </row>
    <row r="47" spans="1:16" x14ac:dyDescent="0.25">
      <c r="A47" s="383"/>
      <c r="N47" s="315">
        <v>2011</v>
      </c>
      <c r="O47" s="328">
        <v>146073.32673288663</v>
      </c>
      <c r="P47" s="328">
        <v>1984402.415805182</v>
      </c>
    </row>
    <row r="48" spans="1:16" x14ac:dyDescent="0.25">
      <c r="A48" s="383"/>
      <c r="N48" s="315">
        <v>2012</v>
      </c>
      <c r="O48" s="328">
        <v>160857.30697259019</v>
      </c>
      <c r="P48" s="328">
        <v>2313676.253838758</v>
      </c>
    </row>
    <row r="49" spans="1:16" x14ac:dyDescent="0.25">
      <c r="A49" s="383"/>
      <c r="N49" s="315">
        <v>2013</v>
      </c>
      <c r="O49" s="328">
        <v>185397.12191505037</v>
      </c>
      <c r="P49" s="328">
        <v>2432390.4404826723</v>
      </c>
    </row>
    <row r="50" spans="1:16" x14ac:dyDescent="0.25">
      <c r="A50" s="383"/>
      <c r="N50" s="315">
        <v>2014</v>
      </c>
      <c r="O50" s="328">
        <v>185561.58643291876</v>
      </c>
      <c r="P50" s="328">
        <v>2788496.0176665494</v>
      </c>
    </row>
    <row r="51" spans="1:16" x14ac:dyDescent="0.25">
      <c r="A51" s="383"/>
      <c r="N51" s="315">
        <v>2015</v>
      </c>
      <c r="O51" s="328">
        <v>174080.91000000003</v>
      </c>
      <c r="P51" s="328">
        <v>2880093.0600000047</v>
      </c>
    </row>
    <row r="52" spans="1:16" x14ac:dyDescent="0.25">
      <c r="A52" s="383"/>
      <c r="N52" s="315">
        <v>2016</v>
      </c>
      <c r="O52" s="328">
        <v>160366.90832169791</v>
      </c>
      <c r="P52" s="328">
        <v>2947578.3042463912</v>
      </c>
    </row>
    <row r="53" spans="1:16" x14ac:dyDescent="0.25">
      <c r="A53" s="383"/>
      <c r="N53" s="315">
        <v>2017</v>
      </c>
      <c r="O53" s="328">
        <v>220110.9670241345</v>
      </c>
      <c r="P53" s="328">
        <v>2915208.5748256738</v>
      </c>
    </row>
    <row r="54" spans="1:16" x14ac:dyDescent="0.25">
      <c r="A54" s="383"/>
      <c r="N54" s="315">
        <v>2018</v>
      </c>
      <c r="O54" s="328">
        <v>213811.36275945383</v>
      </c>
      <c r="P54" s="328">
        <v>3048268.389888139</v>
      </c>
    </row>
    <row r="55" spans="1:16" x14ac:dyDescent="0.25">
      <c r="A55" s="383"/>
      <c r="N55" s="315">
        <v>2019</v>
      </c>
      <c r="O55" s="328">
        <v>238930.49401381344</v>
      </c>
      <c r="P55" s="328">
        <v>3151419.0173609513</v>
      </c>
    </row>
    <row r="56" spans="1:16" x14ac:dyDescent="0.25">
      <c r="A56" s="383"/>
      <c r="N56" s="315">
        <v>2020</v>
      </c>
      <c r="O56" s="328">
        <v>214148.21157357129</v>
      </c>
      <c r="P56" s="328">
        <v>2963478.2963129096</v>
      </c>
    </row>
    <row r="57" spans="1:16" x14ac:dyDescent="0.25">
      <c r="A57" s="383"/>
      <c r="N57" s="315">
        <v>2021</v>
      </c>
      <c r="O57" s="328">
        <v>240022.83043117402</v>
      </c>
      <c r="P57" s="328">
        <v>3007639.7849904932</v>
      </c>
    </row>
    <row r="58" spans="1:16" x14ac:dyDescent="0.25">
      <c r="A58" s="383"/>
      <c r="N58" s="315">
        <v>2022</v>
      </c>
      <c r="O58" s="328">
        <v>304638.25000000006</v>
      </c>
      <c r="P58" s="328">
        <v>3398643.75</v>
      </c>
    </row>
    <row r="59" spans="1:16" x14ac:dyDescent="0.25">
      <c r="A59" s="383"/>
    </row>
    <row r="60" spans="1:16" x14ac:dyDescent="0.25">
      <c r="A60" s="383"/>
    </row>
    <row r="61" spans="1:16" x14ac:dyDescent="0.25">
      <c r="A61" s="383"/>
    </row>
    <row r="62" spans="1:16" x14ac:dyDescent="0.25">
      <c r="A62" s="383"/>
    </row>
    <row r="64" spans="1:16" ht="15.5" x14ac:dyDescent="0.35">
      <c r="A64" s="613" t="s">
        <v>209</v>
      </c>
    </row>
    <row r="65" spans="1:9" ht="13" thickBot="1" x14ac:dyDescent="0.3"/>
    <row r="66" spans="1:9" s="493" customFormat="1" x14ac:dyDescent="0.25">
      <c r="A66" s="1582" t="s">
        <v>39</v>
      </c>
      <c r="B66" s="1514" t="s">
        <v>53</v>
      </c>
      <c r="C66" s="1578" t="s">
        <v>132</v>
      </c>
      <c r="D66" s="1571"/>
      <c r="E66" s="1571"/>
      <c r="F66" s="1573"/>
    </row>
    <row r="67" spans="1:9" s="493" customFormat="1" ht="13.5" thickBot="1" x14ac:dyDescent="0.3">
      <c r="A67" s="1583"/>
      <c r="B67" s="1515"/>
      <c r="C67" s="1107" t="s">
        <v>134</v>
      </c>
      <c r="D67" s="1106" t="s">
        <v>135</v>
      </c>
      <c r="E67" s="1104" t="s">
        <v>136</v>
      </c>
      <c r="F67" s="1108" t="s">
        <v>137</v>
      </c>
    </row>
    <row r="68" spans="1:9" ht="13" x14ac:dyDescent="0.3">
      <c r="A68" s="614">
        <v>1995</v>
      </c>
      <c r="B68" s="624">
        <f>SUM(C68:F68)</f>
        <v>49896.810295752563</v>
      </c>
      <c r="C68" s="625">
        <v>10206.950517839286</v>
      </c>
      <c r="D68" s="351">
        <v>6478.0243058822589</v>
      </c>
      <c r="E68" s="364">
        <v>32742.70999491524</v>
      </c>
      <c r="F68" s="395">
        <v>469.12547711577855</v>
      </c>
      <c r="H68" s="371"/>
      <c r="I68" s="371"/>
    </row>
    <row r="69" spans="1:9" ht="13" x14ac:dyDescent="0.3">
      <c r="A69" s="620">
        <v>1996</v>
      </c>
      <c r="B69" s="626">
        <f t="shared" ref="B69:B84" si="9">SUM(C69:F69)</f>
        <v>70910.116548175167</v>
      </c>
      <c r="C69" s="627">
        <v>30680.104655908639</v>
      </c>
      <c r="D69" s="341">
        <v>10771.794070039641</v>
      </c>
      <c r="E69" s="362">
        <v>28763.339183339045</v>
      </c>
      <c r="F69" s="400">
        <v>694.87863888783386</v>
      </c>
      <c r="H69" s="371"/>
      <c r="I69" s="371"/>
    </row>
    <row r="70" spans="1:9" ht="13" x14ac:dyDescent="0.3">
      <c r="A70" s="614">
        <v>1997</v>
      </c>
      <c r="B70" s="624">
        <f t="shared" si="9"/>
        <v>160185.85702650671</v>
      </c>
      <c r="C70" s="625">
        <v>96382.239901073452</v>
      </c>
      <c r="D70" s="351">
        <v>24594.755824591579</v>
      </c>
      <c r="E70" s="364">
        <v>38571.498811829646</v>
      </c>
      <c r="F70" s="395">
        <v>637.36248901204374</v>
      </c>
      <c r="H70" s="371"/>
      <c r="I70" s="371"/>
    </row>
    <row r="71" spans="1:9" ht="13" x14ac:dyDescent="0.3">
      <c r="A71" s="620">
        <v>1998</v>
      </c>
      <c r="B71" s="626">
        <f t="shared" si="9"/>
        <v>202083.97088961289</v>
      </c>
      <c r="C71" s="627">
        <v>99252.955809907915</v>
      </c>
      <c r="D71" s="341">
        <v>45211.538682197286</v>
      </c>
      <c r="E71" s="362">
        <v>57391.371824413967</v>
      </c>
      <c r="F71" s="400">
        <v>228.10457309369593</v>
      </c>
      <c r="H71" s="371"/>
      <c r="I71" s="371"/>
    </row>
    <row r="72" spans="1:9" ht="13" x14ac:dyDescent="0.3">
      <c r="A72" s="614">
        <v>1999</v>
      </c>
      <c r="B72" s="624">
        <f t="shared" si="9"/>
        <v>213570.22841279037</v>
      </c>
      <c r="C72" s="625">
        <v>119194.54267203857</v>
      </c>
      <c r="D72" s="351">
        <v>48895.062977990012</v>
      </c>
      <c r="E72" s="364">
        <v>45480.62276276177</v>
      </c>
      <c r="F72" s="395"/>
      <c r="H72" s="371"/>
      <c r="I72" s="371"/>
    </row>
    <row r="73" spans="1:9" ht="13" x14ac:dyDescent="0.3">
      <c r="A73" s="620">
        <v>2000</v>
      </c>
      <c r="B73" s="626">
        <f t="shared" si="9"/>
        <v>246997.36354015436</v>
      </c>
      <c r="C73" s="627">
        <v>132207.31188690881</v>
      </c>
      <c r="D73" s="341">
        <v>55496.150192042784</v>
      </c>
      <c r="E73" s="362">
        <v>59293.901461202775</v>
      </c>
      <c r="F73" s="400"/>
      <c r="H73" s="371"/>
      <c r="I73" s="371"/>
    </row>
    <row r="74" spans="1:9" ht="13" x14ac:dyDescent="0.3">
      <c r="A74" s="614">
        <v>2001</v>
      </c>
      <c r="B74" s="624">
        <f t="shared" si="9"/>
        <v>276726.23015266506</v>
      </c>
      <c r="C74" s="625">
        <v>158436.99355516551</v>
      </c>
      <c r="D74" s="351">
        <v>61930.509964147124</v>
      </c>
      <c r="E74" s="364">
        <v>56358.726633352431</v>
      </c>
      <c r="F74" s="395"/>
      <c r="H74" s="371"/>
      <c r="I74" s="371"/>
    </row>
    <row r="75" spans="1:9" ht="13" x14ac:dyDescent="0.3">
      <c r="A75" s="620">
        <v>2002</v>
      </c>
      <c r="B75" s="626">
        <f t="shared" si="9"/>
        <v>294839.04269330332</v>
      </c>
      <c r="C75" s="627">
        <v>197213.13237481116</v>
      </c>
      <c r="D75" s="341">
        <v>50406.7309702645</v>
      </c>
      <c r="E75" s="362">
        <v>47219.179348227641</v>
      </c>
      <c r="F75" s="400"/>
      <c r="H75" s="371"/>
      <c r="I75" s="371"/>
    </row>
    <row r="76" spans="1:9" ht="13" x14ac:dyDescent="0.3">
      <c r="A76" s="614">
        <v>2003</v>
      </c>
      <c r="B76" s="624">
        <f t="shared" si="9"/>
        <v>316113.97125522856</v>
      </c>
      <c r="C76" s="625">
        <v>210982.06786323318</v>
      </c>
      <c r="D76" s="351">
        <v>49267.438299733047</v>
      </c>
      <c r="E76" s="364">
        <v>55864.465092262326</v>
      </c>
      <c r="F76" s="395"/>
      <c r="H76" s="371"/>
      <c r="I76" s="371"/>
    </row>
    <row r="77" spans="1:9" ht="13" x14ac:dyDescent="0.3">
      <c r="A77" s="620">
        <v>2004</v>
      </c>
      <c r="B77" s="626">
        <f t="shared" si="9"/>
        <v>395429.89413182059</v>
      </c>
      <c r="C77" s="627">
        <v>261255.98470504212</v>
      </c>
      <c r="D77" s="341">
        <v>61011.540167489453</v>
      </c>
      <c r="E77" s="362">
        <v>73162.369259288986</v>
      </c>
      <c r="F77" s="400"/>
      <c r="H77" s="371"/>
      <c r="I77" s="371"/>
    </row>
    <row r="78" spans="1:9" ht="13" x14ac:dyDescent="0.3">
      <c r="A78" s="614">
        <v>2005</v>
      </c>
      <c r="B78" s="624">
        <f t="shared" si="9"/>
        <v>431433.37825869262</v>
      </c>
      <c r="C78" s="625">
        <v>280004.19455672603</v>
      </c>
      <c r="D78" s="351">
        <v>63093.203619105887</v>
      </c>
      <c r="E78" s="364">
        <v>88335.980082860755</v>
      </c>
      <c r="F78" s="395"/>
      <c r="H78" s="371"/>
      <c r="I78" s="371"/>
    </row>
    <row r="79" spans="1:9" ht="13" x14ac:dyDescent="0.3">
      <c r="A79" s="620">
        <v>2006</v>
      </c>
      <c r="B79" s="626">
        <f t="shared" si="9"/>
        <v>460755.2665463867</v>
      </c>
      <c r="C79" s="627">
        <v>304813.86623914941</v>
      </c>
      <c r="D79" s="341">
        <v>74210.640254003127</v>
      </c>
      <c r="E79" s="362">
        <v>81730.76005323416</v>
      </c>
      <c r="F79" s="400"/>
      <c r="H79" s="371"/>
      <c r="I79" s="371"/>
    </row>
    <row r="80" spans="1:9" ht="13" x14ac:dyDescent="0.3">
      <c r="A80" s="614">
        <v>2007</v>
      </c>
      <c r="B80" s="624">
        <f t="shared" si="9"/>
        <v>525183.78793804673</v>
      </c>
      <c r="C80" s="625">
        <v>364077.87930127024</v>
      </c>
      <c r="D80" s="351">
        <v>78810.904199725235</v>
      </c>
      <c r="E80" s="364">
        <v>82295.004437051291</v>
      </c>
      <c r="F80" s="395"/>
      <c r="H80" s="371"/>
      <c r="I80" s="371"/>
    </row>
    <row r="81" spans="1:9" ht="13" x14ac:dyDescent="0.3">
      <c r="A81" s="620">
        <v>2008</v>
      </c>
      <c r="B81" s="626">
        <f t="shared" si="9"/>
        <v>715097.23536556808</v>
      </c>
      <c r="C81" s="627">
        <v>482734.09556550649</v>
      </c>
      <c r="D81" s="341">
        <v>109806.18431818418</v>
      </c>
      <c r="E81" s="362">
        <v>122556.95548187746</v>
      </c>
      <c r="F81" s="400"/>
      <c r="H81" s="371"/>
      <c r="I81" s="371"/>
    </row>
    <row r="82" spans="1:9" ht="13" x14ac:dyDescent="0.3">
      <c r="A82" s="614">
        <v>2009</v>
      </c>
      <c r="B82" s="624">
        <f t="shared" si="9"/>
        <v>560393.40099600004</v>
      </c>
      <c r="C82" s="625">
        <v>391283.16797000001</v>
      </c>
      <c r="D82" s="351">
        <v>74718.842819999991</v>
      </c>
      <c r="E82" s="364">
        <v>94391.390206000011</v>
      </c>
      <c r="F82" s="395"/>
      <c r="H82" s="371"/>
      <c r="I82" s="371"/>
    </row>
    <row r="83" spans="1:9" ht="13" x14ac:dyDescent="0.3">
      <c r="A83" s="622">
        <v>2010</v>
      </c>
      <c r="B83" s="628">
        <f t="shared" si="9"/>
        <v>607430.91189238196</v>
      </c>
      <c r="C83" s="629">
        <v>432611.91890698479</v>
      </c>
      <c r="D83" s="371">
        <v>68142.216057264406</v>
      </c>
      <c r="E83" s="369">
        <v>106676.77692813272</v>
      </c>
      <c r="F83" s="407"/>
      <c r="H83" s="371"/>
      <c r="I83" s="371"/>
    </row>
    <row r="84" spans="1:9" ht="13" x14ac:dyDescent="0.3">
      <c r="A84" s="614">
        <v>2011</v>
      </c>
      <c r="B84" s="624">
        <f t="shared" si="9"/>
        <v>729915.81282072805</v>
      </c>
      <c r="C84" s="625">
        <v>498129.39336155937</v>
      </c>
      <c r="D84" s="351">
        <v>95249.582749750451</v>
      </c>
      <c r="E84" s="364">
        <v>136536.83670941822</v>
      </c>
      <c r="F84" s="395"/>
      <c r="H84" s="371"/>
      <c r="I84" s="371"/>
    </row>
    <row r="85" spans="1:9" ht="13" x14ac:dyDescent="0.3">
      <c r="A85" s="622">
        <v>2012</v>
      </c>
      <c r="B85" s="628">
        <f>SUM(C85:F85)</f>
        <v>824591.93851566571</v>
      </c>
      <c r="C85" s="629">
        <v>576207.46184354858</v>
      </c>
      <c r="D85" s="371">
        <v>105280.54245758483</v>
      </c>
      <c r="E85" s="369">
        <v>143103.9342145322</v>
      </c>
      <c r="F85" s="407"/>
      <c r="H85" s="371"/>
      <c r="I85" s="371"/>
    </row>
    <row r="86" spans="1:9" ht="13" x14ac:dyDescent="0.3">
      <c r="A86" s="614">
        <v>2013</v>
      </c>
      <c r="B86" s="624">
        <f>SUM(C86:F86)</f>
        <v>918560.29170848709</v>
      </c>
      <c r="C86" s="625">
        <v>641136.23393060267</v>
      </c>
      <c r="D86" s="351">
        <v>152045.20672318857</v>
      </c>
      <c r="E86" s="364">
        <v>125378.85105469593</v>
      </c>
      <c r="F86" s="395"/>
      <c r="H86" s="371"/>
      <c r="I86" s="371"/>
    </row>
    <row r="87" spans="1:9" ht="13" x14ac:dyDescent="0.3">
      <c r="A87" s="622">
        <v>2014</v>
      </c>
      <c r="B87" s="628">
        <f t="shared" ref="B87:B95" si="10">SUM(C87:F87)</f>
        <v>1051131.681803264</v>
      </c>
      <c r="C87" s="629">
        <v>755021.812658221</v>
      </c>
      <c r="D87" s="371">
        <v>171604.57618886622</v>
      </c>
      <c r="E87" s="369">
        <v>124505.29295617678</v>
      </c>
      <c r="F87" s="407"/>
      <c r="H87" s="371"/>
      <c r="I87" s="371"/>
    </row>
    <row r="88" spans="1:9" ht="13" x14ac:dyDescent="0.3">
      <c r="A88" s="614">
        <v>2015</v>
      </c>
      <c r="B88" s="624">
        <f t="shared" si="10"/>
        <v>1117237.42199206</v>
      </c>
      <c r="C88" s="625">
        <v>807970.14642248303</v>
      </c>
      <c r="D88" s="351">
        <v>143442.07452695997</v>
      </c>
      <c r="E88" s="364">
        <v>165825.20104261689</v>
      </c>
      <c r="F88" s="395"/>
      <c r="H88" s="371"/>
      <c r="I88" s="371"/>
    </row>
    <row r="89" spans="1:9" ht="13" x14ac:dyDescent="0.3">
      <c r="A89" s="622">
        <v>2016</v>
      </c>
      <c r="B89" s="628">
        <f t="shared" si="10"/>
        <v>1341511.2429660808</v>
      </c>
      <c r="C89" s="629">
        <v>1021200.9272410147</v>
      </c>
      <c r="D89" s="371">
        <v>113676.42509861558</v>
      </c>
      <c r="E89" s="369">
        <v>206633.89062645048</v>
      </c>
      <c r="F89" s="407"/>
      <c r="H89" s="371"/>
      <c r="I89" s="371"/>
    </row>
    <row r="90" spans="1:9" ht="13" x14ac:dyDescent="0.3">
      <c r="A90" s="614">
        <v>2017</v>
      </c>
      <c r="B90" s="624">
        <f t="shared" si="10"/>
        <v>1344378.6245076025</v>
      </c>
      <c r="C90" s="625">
        <v>967422.86480716243</v>
      </c>
      <c r="D90" s="351">
        <v>126205.91152786385</v>
      </c>
      <c r="E90" s="364">
        <v>250749.84817257614</v>
      </c>
      <c r="F90" s="395"/>
      <c r="H90" s="371"/>
      <c r="I90" s="371"/>
    </row>
    <row r="91" spans="1:9" ht="13" x14ac:dyDescent="0.3">
      <c r="A91" s="622">
        <v>2018</v>
      </c>
      <c r="B91" s="628">
        <f t="shared" si="10"/>
        <v>1470476.3338757046</v>
      </c>
      <c r="C91" s="629">
        <v>995595.10675497772</v>
      </c>
      <c r="D91" s="371">
        <v>105793.64866467747</v>
      </c>
      <c r="E91" s="369">
        <v>369087.5784560492</v>
      </c>
      <c r="F91" s="407"/>
      <c r="H91" s="371"/>
      <c r="I91" s="371"/>
    </row>
    <row r="92" spans="1:9" ht="13" x14ac:dyDescent="0.3">
      <c r="A92" s="614">
        <v>2019</v>
      </c>
      <c r="B92" s="624">
        <f t="shared" si="10"/>
        <v>1542359.7256808258</v>
      </c>
      <c r="C92" s="625">
        <v>1010626.2148831042</v>
      </c>
      <c r="D92" s="351">
        <v>104416.45510818147</v>
      </c>
      <c r="E92" s="364">
        <v>427317.05568953993</v>
      </c>
      <c r="F92" s="395"/>
      <c r="H92" s="371"/>
      <c r="I92" s="371"/>
    </row>
    <row r="93" spans="1:9" ht="13" x14ac:dyDescent="0.3">
      <c r="A93" s="622">
        <v>2020</v>
      </c>
      <c r="B93" s="628">
        <f t="shared" si="10"/>
        <v>1404419.9004728319</v>
      </c>
      <c r="C93" s="629">
        <v>927447.70372889342</v>
      </c>
      <c r="D93" s="371">
        <v>86109.415302025693</v>
      </c>
      <c r="E93" s="369">
        <v>390862.7814419127</v>
      </c>
      <c r="F93" s="407"/>
      <c r="H93" s="371"/>
      <c r="I93" s="371"/>
    </row>
    <row r="94" spans="1:9" ht="13" x14ac:dyDescent="0.3">
      <c r="A94" s="614">
        <v>2021</v>
      </c>
      <c r="B94" s="624">
        <f t="shared" ref="B94" si="11">SUM(C94:F94)</f>
        <v>1535303.4980810634</v>
      </c>
      <c r="C94" s="625">
        <v>995182.43243251473</v>
      </c>
      <c r="D94" s="351">
        <v>104745.93706547214</v>
      </c>
      <c r="E94" s="364">
        <v>435375.12858307653</v>
      </c>
      <c r="F94" s="395"/>
      <c r="H94" s="371"/>
      <c r="I94" s="371"/>
    </row>
    <row r="95" spans="1:9" ht="13.5" thickBot="1" x14ac:dyDescent="0.35">
      <c r="A95" s="700">
        <v>2022</v>
      </c>
      <c r="B95" s="628">
        <f t="shared" si="10"/>
        <v>1806185.4899999998</v>
      </c>
      <c r="C95" s="629">
        <v>1176889.69</v>
      </c>
      <c r="D95" s="371">
        <v>128666.38</v>
      </c>
      <c r="E95" s="369">
        <v>500629.42</v>
      </c>
      <c r="F95" s="407"/>
      <c r="G95" s="318"/>
      <c r="H95" s="371"/>
      <c r="I95" s="371"/>
    </row>
    <row r="96" spans="1:9" s="493" customFormat="1" ht="18.75" customHeight="1" x14ac:dyDescent="0.25">
      <c r="A96" s="903" t="s">
        <v>161</v>
      </c>
      <c r="B96" s="930">
        <f>(B95/B94)-1</f>
        <v>0.17643546846438163</v>
      </c>
      <c r="C96" s="931">
        <f t="shared" ref="C96:E96" si="12">(C95/C94)-1</f>
        <v>0.18258688220946584</v>
      </c>
      <c r="D96" s="932">
        <f t="shared" si="12"/>
        <v>0.22836630808483038</v>
      </c>
      <c r="E96" s="932">
        <f t="shared" si="12"/>
        <v>0.14988061359704408</v>
      </c>
      <c r="F96" s="933"/>
    </row>
    <row r="97" spans="1:15" s="493" customFormat="1" ht="18.75" customHeight="1" x14ac:dyDescent="0.25">
      <c r="A97" s="904" t="s">
        <v>162</v>
      </c>
      <c r="B97" s="934">
        <f>((B95/B90)^(1/5))-1</f>
        <v>6.0835757629902787E-2</v>
      </c>
      <c r="C97" s="935">
        <f t="shared" ref="C97:E97" si="13">((C95/C90)^(1/5))-1</f>
        <v>3.9977353279009087E-2</v>
      </c>
      <c r="D97" s="1199">
        <f t="shared" si="13"/>
        <v>3.8690778853682772E-3</v>
      </c>
      <c r="E97" s="936">
        <f t="shared" si="13"/>
        <v>0.14829939976049733</v>
      </c>
      <c r="F97" s="937"/>
    </row>
    <row r="98" spans="1:15" s="493" customFormat="1" ht="18.75" customHeight="1" x14ac:dyDescent="0.25">
      <c r="A98" s="905" t="s">
        <v>163</v>
      </c>
      <c r="B98" s="938">
        <f>(B95/B85)-1</f>
        <v>1.1903991606457907</v>
      </c>
      <c r="C98" s="939">
        <f t="shared" ref="C98:E98" si="14">(C95/C85)-1</f>
        <v>1.0424756150060901</v>
      </c>
      <c r="D98" s="940">
        <f t="shared" si="14"/>
        <v>0.22212877134287945</v>
      </c>
      <c r="E98" s="940">
        <f t="shared" si="14"/>
        <v>2.4983623807958248</v>
      </c>
      <c r="F98" s="937"/>
    </row>
    <row r="99" spans="1:15" s="493" customFormat="1" ht="16.5" customHeight="1" thickBot="1" x14ac:dyDescent="0.3">
      <c r="A99" s="906" t="s">
        <v>164</v>
      </c>
      <c r="B99" s="941">
        <f>((B95/B85)^(1/10))-1</f>
        <v>8.156425687856661E-2</v>
      </c>
      <c r="C99" s="942">
        <f t="shared" ref="C99:E99" si="15">((C95/C85)^(1/10))-1</f>
        <v>7.4028208767420889E-2</v>
      </c>
      <c r="D99" s="943">
        <f t="shared" si="15"/>
        <v>2.0261965530619319E-2</v>
      </c>
      <c r="E99" s="943">
        <f t="shared" si="15"/>
        <v>0.13340853683099763</v>
      </c>
    </row>
    <row r="100" spans="1:15" ht="15" customHeight="1" x14ac:dyDescent="0.25">
      <c r="A100" s="382"/>
    </row>
    <row r="101" spans="1:15" x14ac:dyDescent="0.25">
      <c r="A101" s="382"/>
    </row>
    <row r="104" spans="1:15" x14ac:dyDescent="0.25">
      <c r="K104" s="315">
        <v>1995</v>
      </c>
      <c r="L104" s="328">
        <f>+C68</f>
        <v>10206.950517839286</v>
      </c>
      <c r="M104" s="328">
        <f t="shared" ref="M104:N104" si="16">+D68</f>
        <v>6478.0243058822589</v>
      </c>
      <c r="N104" s="328">
        <f t="shared" si="16"/>
        <v>32742.70999491524</v>
      </c>
      <c r="O104" s="328">
        <f>+F68</f>
        <v>469.12547711577855</v>
      </c>
    </row>
    <row r="105" spans="1:15" x14ac:dyDescent="0.25">
      <c r="J105" s="630"/>
      <c r="K105" s="315">
        <v>2000</v>
      </c>
      <c r="L105" s="328">
        <f>+C73</f>
        <v>132207.31188690881</v>
      </c>
      <c r="M105" s="328">
        <f t="shared" ref="M105:N105" si="17">+D73</f>
        <v>55496.150192042784</v>
      </c>
      <c r="N105" s="328">
        <f t="shared" si="17"/>
        <v>59293.901461202775</v>
      </c>
      <c r="O105" s="328"/>
    </row>
    <row r="106" spans="1:15" x14ac:dyDescent="0.25">
      <c r="J106" s="630"/>
      <c r="K106" s="315">
        <v>2005</v>
      </c>
      <c r="L106" s="328">
        <f>+C78</f>
        <v>280004.19455672603</v>
      </c>
      <c r="M106" s="328">
        <f t="shared" ref="M106:N106" si="18">+D78</f>
        <v>63093.203619105887</v>
      </c>
      <c r="N106" s="328">
        <f t="shared" si="18"/>
        <v>88335.980082860755</v>
      </c>
      <c r="O106" s="328"/>
    </row>
    <row r="107" spans="1:15" x14ac:dyDescent="0.25">
      <c r="J107" s="630"/>
      <c r="K107" s="315">
        <v>2010</v>
      </c>
      <c r="L107" s="328">
        <v>432611.91890698479</v>
      </c>
      <c r="M107" s="328">
        <v>68142.216057264406</v>
      </c>
      <c r="N107" s="328">
        <v>106676.77692813272</v>
      </c>
      <c r="O107" s="328"/>
    </row>
    <row r="108" spans="1:15" x14ac:dyDescent="0.25">
      <c r="J108" s="630"/>
      <c r="K108" s="315">
        <v>2011</v>
      </c>
      <c r="L108" s="328">
        <v>498129.39336155937</v>
      </c>
      <c r="M108" s="328">
        <v>95249.582749750451</v>
      </c>
      <c r="N108" s="328">
        <v>136536.83670941822</v>
      </c>
      <c r="O108" s="328"/>
    </row>
    <row r="109" spans="1:15" x14ac:dyDescent="0.25">
      <c r="J109" s="630"/>
      <c r="K109" s="315">
        <v>2012</v>
      </c>
      <c r="L109" s="328">
        <v>576207.46184354858</v>
      </c>
      <c r="M109" s="328">
        <v>105280.54245758483</v>
      </c>
      <c r="N109" s="328">
        <v>143103.9342145322</v>
      </c>
      <c r="O109" s="328"/>
    </row>
    <row r="110" spans="1:15" x14ac:dyDescent="0.25">
      <c r="K110" s="315">
        <v>2013</v>
      </c>
      <c r="L110" s="328">
        <v>641136.23393060267</v>
      </c>
      <c r="M110" s="328">
        <v>152045.20672318857</v>
      </c>
      <c r="N110" s="328">
        <v>125378.85105469593</v>
      </c>
      <c r="O110" s="328"/>
    </row>
    <row r="111" spans="1:15" x14ac:dyDescent="0.25">
      <c r="K111" s="315">
        <v>2014</v>
      </c>
      <c r="L111" s="328">
        <v>755021.812658221</v>
      </c>
      <c r="M111" s="328">
        <v>171604.57618886622</v>
      </c>
      <c r="N111" s="328">
        <v>124505.29295617678</v>
      </c>
      <c r="O111" s="328"/>
    </row>
    <row r="112" spans="1:15" x14ac:dyDescent="0.25">
      <c r="K112" s="315">
        <v>2015</v>
      </c>
      <c r="L112" s="328">
        <v>807970.14642248303</v>
      </c>
      <c r="M112" s="328">
        <v>143442.07452695997</v>
      </c>
      <c r="N112" s="328">
        <v>165825.20104261689</v>
      </c>
      <c r="O112" s="328"/>
    </row>
    <row r="113" spans="11:15" x14ac:dyDescent="0.25">
      <c r="K113" s="315">
        <v>2016</v>
      </c>
      <c r="L113" s="328">
        <v>1021200.9272410147</v>
      </c>
      <c r="M113" s="328">
        <v>113676.42509861558</v>
      </c>
      <c r="N113" s="328">
        <v>206633.89062645048</v>
      </c>
      <c r="O113" s="328"/>
    </row>
    <row r="114" spans="11:15" x14ac:dyDescent="0.25">
      <c r="K114" s="315">
        <v>2017</v>
      </c>
      <c r="L114" s="328">
        <v>967422.86480716243</v>
      </c>
      <c r="M114" s="328">
        <v>126205.91152786385</v>
      </c>
      <c r="N114" s="328">
        <v>250749.84817257614</v>
      </c>
      <c r="O114" s="328"/>
    </row>
    <row r="115" spans="11:15" x14ac:dyDescent="0.25">
      <c r="K115" s="315">
        <v>2018</v>
      </c>
      <c r="L115" s="328">
        <v>995595.10675497772</v>
      </c>
      <c r="M115" s="328">
        <v>105793.64866467747</v>
      </c>
      <c r="N115" s="328">
        <v>369087.5784560492</v>
      </c>
      <c r="O115" s="328"/>
    </row>
    <row r="116" spans="11:15" x14ac:dyDescent="0.25">
      <c r="K116" s="315">
        <v>2019</v>
      </c>
      <c r="L116" s="328">
        <v>1010626.2148831042</v>
      </c>
      <c r="M116" s="328">
        <v>104416.45510818147</v>
      </c>
      <c r="N116" s="328">
        <v>427317.05568953993</v>
      </c>
      <c r="O116" s="328"/>
    </row>
    <row r="117" spans="11:15" x14ac:dyDescent="0.25">
      <c r="K117" s="315">
        <v>2020</v>
      </c>
      <c r="L117" s="328">
        <v>927447.70372889342</v>
      </c>
      <c r="M117" s="328">
        <v>86109.415302025693</v>
      </c>
      <c r="N117" s="328">
        <v>390862.7814419127</v>
      </c>
      <c r="O117" s="328"/>
    </row>
    <row r="118" spans="11:15" x14ac:dyDescent="0.25">
      <c r="K118" s="315">
        <v>2021</v>
      </c>
      <c r="L118" s="328">
        <v>995182.43243251473</v>
      </c>
      <c r="M118" s="328">
        <v>104745.93706547214</v>
      </c>
      <c r="N118" s="328">
        <v>435375.12858307653</v>
      </c>
      <c r="O118" s="328"/>
    </row>
    <row r="119" spans="11:15" x14ac:dyDescent="0.25">
      <c r="K119" s="315">
        <v>2022</v>
      </c>
      <c r="L119" s="328">
        <v>1176889.69</v>
      </c>
      <c r="M119" s="328">
        <v>128666.38</v>
      </c>
      <c r="N119" s="328">
        <v>500629.42</v>
      </c>
      <c r="O119" s="328"/>
    </row>
  </sheetData>
  <mergeCells count="7">
    <mergeCell ref="C4:G4"/>
    <mergeCell ref="H4:L4"/>
    <mergeCell ref="C66:F66"/>
    <mergeCell ref="A4:A5"/>
    <mergeCell ref="B4:B5"/>
    <mergeCell ref="A66:A67"/>
    <mergeCell ref="B66:B67"/>
  </mergeCells>
  <printOptions horizontalCentered="1"/>
  <pageMargins left="0.39370078740157483" right="0.11811023622047245" top="0.62992125984251968" bottom="0.39370078740157483" header="0" footer="0"/>
  <pageSetup paperSize="9" scale="54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88"/>
  <sheetViews>
    <sheetView view="pageBreakPreview" zoomScaleNormal="85" zoomScaleSheetLayoutView="100" workbookViewId="0">
      <selection activeCell="A2" sqref="A2"/>
    </sheetView>
  </sheetViews>
  <sheetFormatPr baseColWidth="10" defaultColWidth="11.453125" defaultRowHeight="12.5" x14ac:dyDescent="0.25"/>
  <cols>
    <col min="1" max="1" width="4.453125" style="333" customWidth="1"/>
    <col min="2" max="2" width="22.1796875" style="315" customWidth="1"/>
    <col min="3" max="3" width="15" style="315" customWidth="1"/>
    <col min="4" max="4" width="13.26953125" style="315" customWidth="1"/>
    <col min="5" max="5" width="14.453125" style="315" customWidth="1"/>
    <col min="6" max="6" width="14" style="315" customWidth="1"/>
    <col min="7" max="7" width="11" style="315" customWidth="1"/>
    <col min="8" max="8" width="12.453125" style="315" customWidth="1"/>
    <col min="9" max="9" width="11.7265625" style="315" customWidth="1"/>
    <col min="10" max="10" width="11" style="315" customWidth="1"/>
    <col min="11" max="11" width="12.26953125" style="315" customWidth="1"/>
    <col min="12" max="21" width="11.453125" style="315"/>
    <col min="22" max="23" width="4.54296875" style="315" bestFit="1" customWidth="1"/>
    <col min="24" max="24" width="3.54296875" style="315" bestFit="1" customWidth="1"/>
    <col min="25" max="26" width="4.54296875" style="315" bestFit="1" customWidth="1"/>
    <col min="27" max="28" width="3.54296875" style="315" bestFit="1" customWidth="1"/>
    <col min="29" max="29" width="11.453125" style="315"/>
    <col min="30" max="30" width="3.54296875" style="315" bestFit="1" customWidth="1"/>
    <col min="31" max="37" width="5.7265625" style="315" bestFit="1" customWidth="1"/>
    <col min="38" max="38" width="4.7265625" style="315" bestFit="1" customWidth="1"/>
    <col min="39" max="39" width="5.7265625" style="315" bestFit="1" customWidth="1"/>
    <col min="40" max="16384" width="11.453125" style="315"/>
  </cols>
  <sheetData>
    <row r="1" spans="1:39" s="333" customFormat="1" ht="18" x14ac:dyDescent="0.4">
      <c r="A1" s="330" t="s">
        <v>230</v>
      </c>
    </row>
    <row r="2" spans="1:39" s="333" customFormat="1" x14ac:dyDescent="0.25"/>
    <row r="3" spans="1:39" s="333" customFormat="1" ht="14" x14ac:dyDescent="0.3">
      <c r="C3" s="331"/>
      <c r="D3" s="331"/>
      <c r="E3" s="331"/>
      <c r="F3" s="331"/>
      <c r="G3" s="331"/>
      <c r="H3" s="332"/>
      <c r="I3" s="332"/>
      <c r="J3" s="332"/>
      <c r="K3" s="332"/>
    </row>
    <row r="4" spans="1:39" s="333" customFormat="1" ht="15.5" x14ac:dyDescent="0.35">
      <c r="B4" s="391" t="s">
        <v>229</v>
      </c>
      <c r="F4" s="391"/>
    </row>
    <row r="5" spans="1:39" s="333" customFormat="1" x14ac:dyDescent="0.25"/>
    <row r="6" spans="1:39" ht="13" x14ac:dyDescent="0.25">
      <c r="B6" s="1566" t="s">
        <v>39</v>
      </c>
      <c r="C6" s="1567" t="s">
        <v>138</v>
      </c>
      <c r="D6" s="1568"/>
      <c r="E6" s="1568"/>
      <c r="F6" s="1567" t="s">
        <v>56</v>
      </c>
      <c r="G6" s="1568"/>
      <c r="H6" s="1568"/>
      <c r="I6" s="1577" t="s">
        <v>54</v>
      </c>
      <c r="J6" s="1568"/>
      <c r="K6" s="1569"/>
    </row>
    <row r="7" spans="1:39" ht="13" x14ac:dyDescent="0.25">
      <c r="B7" s="1553"/>
      <c r="C7" s="1109" t="s">
        <v>53</v>
      </c>
      <c r="D7" s="1110" t="s">
        <v>129</v>
      </c>
      <c r="E7" s="1113" t="s">
        <v>130</v>
      </c>
      <c r="F7" s="1112" t="s">
        <v>131</v>
      </c>
      <c r="G7" s="1110" t="s">
        <v>129</v>
      </c>
      <c r="H7" s="1113" t="s">
        <v>130</v>
      </c>
      <c r="I7" s="1130" t="s">
        <v>53</v>
      </c>
      <c r="J7" s="1110" t="s">
        <v>129</v>
      </c>
      <c r="K7" s="1111" t="s">
        <v>130</v>
      </c>
      <c r="O7" s="315" t="s">
        <v>139</v>
      </c>
      <c r="P7" s="315" t="s">
        <v>140</v>
      </c>
      <c r="R7" s="1311"/>
      <c r="S7" s="315" t="s">
        <v>139</v>
      </c>
      <c r="T7" s="315" t="s">
        <v>140</v>
      </c>
    </row>
    <row r="8" spans="1:39" ht="13" x14ac:dyDescent="0.3">
      <c r="B8" s="440">
        <v>1995</v>
      </c>
      <c r="C8" s="631">
        <v>8.3932836241269282</v>
      </c>
      <c r="D8" s="632">
        <v>10.148610371781364</v>
      </c>
      <c r="E8" s="633">
        <v>5.0917768788358657</v>
      </c>
      <c r="F8" s="634">
        <v>8.9555606852646115</v>
      </c>
      <c r="G8" s="632">
        <v>10.148610371781364</v>
      </c>
      <c r="H8" s="633">
        <v>5.5357375593344766</v>
      </c>
      <c r="I8" s="635">
        <v>4.2445573090579085</v>
      </c>
      <c r="J8" s="632"/>
      <c r="K8" s="636">
        <v>4.2445573090579085</v>
      </c>
      <c r="M8" s="371"/>
      <c r="N8" s="315">
        <v>1995</v>
      </c>
      <c r="O8" s="452">
        <f>+D8</f>
        <v>10.148610371781364</v>
      </c>
      <c r="P8" s="452">
        <f>+E8</f>
        <v>5.0917768788358657</v>
      </c>
      <c r="R8" s="315">
        <f>+N8</f>
        <v>1995</v>
      </c>
      <c r="S8" s="822">
        <f>+O8</f>
        <v>10.148610371781364</v>
      </c>
      <c r="T8" s="822">
        <f>+P8</f>
        <v>5.0917768788358657</v>
      </c>
      <c r="V8" s="375">
        <f>+'9.1'!C8/'8.1'!C8/10</f>
        <v>8.3932836241269282</v>
      </c>
      <c r="W8" s="375">
        <f>+'9.1'!D8/'8.1'!D8/10</f>
        <v>10.148610371781364</v>
      </c>
      <c r="X8" s="375">
        <f>+'9.1'!E8/'8.1'!E8/10</f>
        <v>5.0917768788358657</v>
      </c>
      <c r="Y8" s="375">
        <f>+'9.1'!F8/'8.1'!F8/10</f>
        <v>8.9555606852646115</v>
      </c>
      <c r="Z8" s="375">
        <f>+'9.1'!G8/'8.1'!G8/10</f>
        <v>10.148610371781364</v>
      </c>
      <c r="AA8" s="375">
        <f>+'9.1'!H8/'8.1'!H8/10</f>
        <v>5.5357375593344766</v>
      </c>
      <c r="AB8" s="375">
        <f>+'9.1'!I8/'8.1'!I8/10</f>
        <v>4.2445573090579085</v>
      </c>
      <c r="AC8" s="375"/>
      <c r="AD8" s="375">
        <f>+'9.1'!K8/'8.1'!K8/10</f>
        <v>4.2445573090579085</v>
      </c>
      <c r="AE8" s="767">
        <f t="shared" ref="AE8:AM8" si="0">+V8-C8</f>
        <v>0</v>
      </c>
      <c r="AF8" s="767">
        <f t="shared" si="0"/>
        <v>0</v>
      </c>
      <c r="AG8" s="767">
        <f t="shared" si="0"/>
        <v>0</v>
      </c>
      <c r="AH8" s="767">
        <f t="shared" si="0"/>
        <v>0</v>
      </c>
      <c r="AI8" s="767">
        <f t="shared" si="0"/>
        <v>0</v>
      </c>
      <c r="AJ8" s="767">
        <f t="shared" si="0"/>
        <v>0</v>
      </c>
      <c r="AK8" s="767">
        <f t="shared" si="0"/>
        <v>0</v>
      </c>
      <c r="AL8" s="767">
        <f t="shared" si="0"/>
        <v>0</v>
      </c>
      <c r="AM8" s="767">
        <f t="shared" si="0"/>
        <v>0</v>
      </c>
    </row>
    <row r="9" spans="1:39" ht="13" x14ac:dyDescent="0.3">
      <c r="B9" s="446">
        <v>1996</v>
      </c>
      <c r="C9" s="637">
        <v>8.647606873247458</v>
      </c>
      <c r="D9" s="638">
        <v>10.37984664865154</v>
      </c>
      <c r="E9" s="639">
        <v>5.3374765504742943</v>
      </c>
      <c r="F9" s="640">
        <v>9.3774573213785253</v>
      </c>
      <c r="G9" s="638">
        <v>10.37984664865154</v>
      </c>
      <c r="H9" s="639">
        <v>5.9592969871676909</v>
      </c>
      <c r="I9" s="641">
        <v>4.5448535324028105</v>
      </c>
      <c r="J9" s="638"/>
      <c r="K9" s="642">
        <v>4.5448535324028105</v>
      </c>
      <c r="M9" s="371"/>
      <c r="N9" s="315">
        <v>1996</v>
      </c>
      <c r="O9" s="452">
        <f t="shared" ref="O9:P33" si="1">+D9</f>
        <v>10.37984664865154</v>
      </c>
      <c r="P9" s="452">
        <f t="shared" si="1"/>
        <v>5.3374765504742943</v>
      </c>
      <c r="R9" s="315">
        <f>+N13</f>
        <v>2000</v>
      </c>
      <c r="S9" s="132">
        <f>+O13</f>
        <v>8.8063395358146757</v>
      </c>
      <c r="T9" s="132">
        <f>+P13</f>
        <v>5.2213140505014408</v>
      </c>
      <c r="V9" s="375">
        <f>+'9.1'!C9/'8.1'!C9/10</f>
        <v>8.647606873247458</v>
      </c>
      <c r="W9" s="375">
        <f>+'9.1'!D9/'8.1'!D9/10</f>
        <v>10.37984664865154</v>
      </c>
      <c r="X9" s="375">
        <f>+'9.1'!E9/'8.1'!E9/10</f>
        <v>5.3374765504742943</v>
      </c>
      <c r="Y9" s="375">
        <f>+'9.1'!F9/'8.1'!F9/10</f>
        <v>9.3774573213785253</v>
      </c>
      <c r="Z9" s="375">
        <f>+'9.1'!G9/'8.1'!G9/10</f>
        <v>10.37984664865154</v>
      </c>
      <c r="AA9" s="375">
        <f>+'9.1'!H9/'8.1'!H9/10</f>
        <v>5.9592969871676909</v>
      </c>
      <c r="AB9" s="375">
        <f>+'9.1'!I9/'8.1'!I9/10</f>
        <v>4.5448535324028105</v>
      </c>
      <c r="AC9" s="375"/>
      <c r="AD9" s="375">
        <f>+'9.1'!K9/'8.1'!K9/10</f>
        <v>4.5448535324028105</v>
      </c>
      <c r="AE9" s="767">
        <f t="shared" ref="AE9:AE26" si="2">+V9-C9</f>
        <v>0</v>
      </c>
      <c r="AF9" s="767">
        <f t="shared" ref="AF9:AF27" si="3">+W9-D9</f>
        <v>0</v>
      </c>
      <c r="AG9" s="767">
        <f t="shared" ref="AG9:AG27" si="4">+X9-E9</f>
        <v>0</v>
      </c>
      <c r="AH9" s="767">
        <f t="shared" ref="AH9:AH27" si="5">+Y9-F9</f>
        <v>0</v>
      </c>
      <c r="AI9" s="767">
        <f t="shared" ref="AI9:AI27" si="6">+Z9-G9</f>
        <v>0</v>
      </c>
      <c r="AJ9" s="767">
        <f t="shared" ref="AJ9:AJ27" si="7">+AA9-H9</f>
        <v>0</v>
      </c>
      <c r="AK9" s="767">
        <f t="shared" ref="AK9:AK27" si="8">+AB9-I9</f>
        <v>0</v>
      </c>
      <c r="AL9" s="767">
        <f t="shared" ref="AL9:AL27" si="9">+AC9-J9</f>
        <v>0</v>
      </c>
      <c r="AM9" s="767">
        <f t="shared" ref="AM9:AM26" si="10">+AD9-K9</f>
        <v>0</v>
      </c>
    </row>
    <row r="10" spans="1:39" ht="13" x14ac:dyDescent="0.3">
      <c r="B10" s="440">
        <v>1997</v>
      </c>
      <c r="C10" s="631">
        <v>8.1882474543939985</v>
      </c>
      <c r="D10" s="632">
        <v>10.146978053246057</v>
      </c>
      <c r="E10" s="633">
        <v>5.4201200311090698</v>
      </c>
      <c r="F10" s="634">
        <v>9.1635885122824927</v>
      </c>
      <c r="G10" s="632">
        <v>10.146978053246057</v>
      </c>
      <c r="H10" s="633">
        <v>5.7265372648894912</v>
      </c>
      <c r="I10" s="635">
        <v>5.2121175208150961</v>
      </c>
      <c r="J10" s="632"/>
      <c r="K10" s="636">
        <v>5.2121175208150961</v>
      </c>
      <c r="M10" s="371"/>
      <c r="N10" s="315">
        <v>1997</v>
      </c>
      <c r="O10" s="452">
        <f t="shared" si="1"/>
        <v>10.146978053246057</v>
      </c>
      <c r="P10" s="452">
        <f t="shared" si="1"/>
        <v>5.4201200311090698</v>
      </c>
      <c r="R10" s="315">
        <f>+N18</f>
        <v>2005</v>
      </c>
      <c r="S10" s="132">
        <f>+O18</f>
        <v>9.4007778088619069</v>
      </c>
      <c r="T10" s="132">
        <f>+P18</f>
        <v>5.5617579225654694</v>
      </c>
      <c r="V10" s="375">
        <f>+'9.1'!C10/'8.1'!C10/10</f>
        <v>8.1882474543939967</v>
      </c>
      <c r="W10" s="375">
        <f>+'9.1'!D10/'8.1'!D10/10</f>
        <v>10.146978053246057</v>
      </c>
      <c r="X10" s="375">
        <f>+'9.1'!E10/'8.1'!E10/10</f>
        <v>5.4201200311090698</v>
      </c>
      <c r="Y10" s="375">
        <f>+'9.1'!F10/'8.1'!F10/10</f>
        <v>9.1635885122824927</v>
      </c>
      <c r="Z10" s="375">
        <f>+'9.1'!G10/'8.1'!G10/10</f>
        <v>10.146978053246057</v>
      </c>
      <c r="AA10" s="375">
        <f>+'9.1'!H10/'8.1'!H10/10</f>
        <v>5.7265372648894912</v>
      </c>
      <c r="AB10" s="375">
        <f>+'9.1'!I10/'8.1'!I10/10</f>
        <v>5.2121175208150961</v>
      </c>
      <c r="AC10" s="375"/>
      <c r="AD10" s="375">
        <f>+'9.1'!K10/'8.1'!K10/10</f>
        <v>5.2121175208150961</v>
      </c>
      <c r="AE10" s="767">
        <f t="shared" si="2"/>
        <v>0</v>
      </c>
      <c r="AF10" s="767">
        <f t="shared" si="3"/>
        <v>0</v>
      </c>
      <c r="AG10" s="767">
        <f t="shared" si="4"/>
        <v>0</v>
      </c>
      <c r="AH10" s="767">
        <f t="shared" si="5"/>
        <v>0</v>
      </c>
      <c r="AI10" s="767">
        <f t="shared" si="6"/>
        <v>0</v>
      </c>
      <c r="AJ10" s="767">
        <f t="shared" si="7"/>
        <v>0</v>
      </c>
      <c r="AK10" s="767">
        <f t="shared" si="8"/>
        <v>0</v>
      </c>
      <c r="AL10" s="767">
        <f t="shared" si="9"/>
        <v>0</v>
      </c>
      <c r="AM10" s="767">
        <f t="shared" si="10"/>
        <v>0</v>
      </c>
    </row>
    <row r="11" spans="1:39" ht="13" x14ac:dyDescent="0.3">
      <c r="B11" s="446">
        <v>1998</v>
      </c>
      <c r="C11" s="637">
        <v>7.0538569551395423</v>
      </c>
      <c r="D11" s="638">
        <v>8.753240333635766</v>
      </c>
      <c r="E11" s="639">
        <v>4.9459578496514798</v>
      </c>
      <c r="F11" s="640">
        <v>7.9571609356886182</v>
      </c>
      <c r="G11" s="638">
        <v>8.753240333635766</v>
      </c>
      <c r="H11" s="639">
        <v>5.0486463977806757</v>
      </c>
      <c r="I11" s="641">
        <v>4.8931747664703975</v>
      </c>
      <c r="J11" s="638"/>
      <c r="K11" s="642">
        <v>4.8931747664703975</v>
      </c>
      <c r="M11" s="371"/>
      <c r="N11" s="315">
        <v>1998</v>
      </c>
      <c r="O11" s="452">
        <f t="shared" si="1"/>
        <v>8.753240333635766</v>
      </c>
      <c r="P11" s="452">
        <f t="shared" si="1"/>
        <v>4.9459578496514798</v>
      </c>
      <c r="R11" s="315">
        <f t="shared" ref="R11:R23" si="11">+N23</f>
        <v>2010</v>
      </c>
      <c r="S11" s="132">
        <f t="shared" ref="S11:S23" si="12">+O23</f>
        <v>10.459527312900395</v>
      </c>
      <c r="T11" s="132">
        <f t="shared" ref="T11:T23" si="13">+P23</f>
        <v>5.6126682737488451</v>
      </c>
      <c r="V11" s="375">
        <f>+'9.1'!C11/'8.1'!C11/10</f>
        <v>7.0538569551395423</v>
      </c>
      <c r="W11" s="375">
        <f>+'9.1'!D11/'8.1'!D11/10</f>
        <v>8.753240333635766</v>
      </c>
      <c r="X11" s="375">
        <f>+'9.1'!E11/'8.1'!E11/10</f>
        <v>4.9459578496514798</v>
      </c>
      <c r="Y11" s="375">
        <f>+'9.1'!F11/'8.1'!F11/10</f>
        <v>7.9571609356886182</v>
      </c>
      <c r="Z11" s="375">
        <f>+'9.1'!G11/'8.1'!G11/10</f>
        <v>8.753240333635766</v>
      </c>
      <c r="AA11" s="375">
        <f>+'9.1'!H11/'8.1'!H11/10</f>
        <v>5.0486463977806757</v>
      </c>
      <c r="AB11" s="375">
        <f>+'9.1'!I11/'8.1'!I11/10</f>
        <v>4.8931747664703975</v>
      </c>
      <c r="AC11" s="375"/>
      <c r="AD11" s="375">
        <f>+'9.1'!K11/'8.1'!K11/10</f>
        <v>4.8931747664703975</v>
      </c>
      <c r="AE11" s="767">
        <f t="shared" si="2"/>
        <v>0</v>
      </c>
      <c r="AF11" s="767">
        <f t="shared" si="3"/>
        <v>0</v>
      </c>
      <c r="AG11" s="767">
        <f t="shared" si="4"/>
        <v>0</v>
      </c>
      <c r="AH11" s="767">
        <f t="shared" si="5"/>
        <v>0</v>
      </c>
      <c r="AI11" s="767">
        <f t="shared" si="6"/>
        <v>0</v>
      </c>
      <c r="AJ11" s="767">
        <f t="shared" si="7"/>
        <v>0</v>
      </c>
      <c r="AK11" s="767">
        <f t="shared" si="8"/>
        <v>0</v>
      </c>
      <c r="AL11" s="767">
        <f t="shared" si="9"/>
        <v>0</v>
      </c>
      <c r="AM11" s="767">
        <f t="shared" si="10"/>
        <v>0</v>
      </c>
    </row>
    <row r="12" spans="1:39" ht="13" x14ac:dyDescent="0.3">
      <c r="B12" s="440">
        <v>1999</v>
      </c>
      <c r="C12" s="631">
        <v>6.7979710943220208</v>
      </c>
      <c r="D12" s="632">
        <v>8.3066426364644457</v>
      </c>
      <c r="E12" s="633">
        <v>4.9301915818936246</v>
      </c>
      <c r="F12" s="634">
        <v>7.6320210282889089</v>
      </c>
      <c r="G12" s="632">
        <v>8.3066426364644457</v>
      </c>
      <c r="H12" s="633">
        <v>5.0718506766791807</v>
      </c>
      <c r="I12" s="635">
        <v>4.8616026075361827</v>
      </c>
      <c r="J12" s="632"/>
      <c r="K12" s="636">
        <v>4.8616026075361827</v>
      </c>
      <c r="M12" s="371"/>
      <c r="N12" s="315">
        <v>1999</v>
      </c>
      <c r="O12" s="452">
        <f t="shared" si="1"/>
        <v>8.3066426364644457</v>
      </c>
      <c r="P12" s="452">
        <f t="shared" si="1"/>
        <v>4.9301915818936246</v>
      </c>
      <c r="R12" s="315">
        <f t="shared" si="11"/>
        <v>2011</v>
      </c>
      <c r="S12" s="132">
        <f t="shared" si="12"/>
        <v>11.091278800848533</v>
      </c>
      <c r="T12" s="132">
        <f t="shared" si="13"/>
        <v>6.2890521736374838</v>
      </c>
      <c r="V12" s="375">
        <f>+'9.1'!C12/'8.1'!C12/10</f>
        <v>6.7980176816411984</v>
      </c>
      <c r="W12" s="375">
        <f>+'9.1'!D12/'8.1'!D12/10</f>
        <v>8.3067455449503917</v>
      </c>
      <c r="X12" s="375">
        <f>+'9.1'!E12/'8.1'!E12/10</f>
        <v>4.9301915818936255</v>
      </c>
      <c r="Y12" s="375">
        <f>+'9.1'!F12/'8.1'!F12/10</f>
        <v>7.6320958601604145</v>
      </c>
      <c r="Z12" s="375">
        <f>+'9.1'!G12/'8.1'!G12/10</f>
        <v>8.3067455449503917</v>
      </c>
      <c r="AA12" s="375">
        <f>+'9.1'!H12/'8.1'!H12/10</f>
        <v>5.0718506766791807</v>
      </c>
      <c r="AB12" s="375">
        <f>+'9.1'!I12/'8.1'!I12/10</f>
        <v>4.8616026075361827</v>
      </c>
      <c r="AC12" s="375"/>
      <c r="AD12" s="375">
        <f>+'9.1'!K12/'8.1'!K12/10</f>
        <v>4.8616026075361827</v>
      </c>
      <c r="AE12" s="767">
        <f t="shared" si="2"/>
        <v>4.6587319177504583E-5</v>
      </c>
      <c r="AF12" s="767">
        <f t="shared" si="3"/>
        <v>1.0290848594607382E-4</v>
      </c>
      <c r="AG12" s="767">
        <f t="shared" si="4"/>
        <v>0</v>
      </c>
      <c r="AH12" s="767">
        <f t="shared" si="5"/>
        <v>7.4831871505587344E-5</v>
      </c>
      <c r="AI12" s="767">
        <f t="shared" si="6"/>
        <v>1.0290848594607382E-4</v>
      </c>
      <c r="AJ12" s="767">
        <f t="shared" si="7"/>
        <v>0</v>
      </c>
      <c r="AK12" s="767">
        <f t="shared" si="8"/>
        <v>0</v>
      </c>
      <c r="AL12" s="767">
        <f t="shared" si="9"/>
        <v>0</v>
      </c>
      <c r="AM12" s="767">
        <f t="shared" si="10"/>
        <v>0</v>
      </c>
    </row>
    <row r="13" spans="1:39" ht="13" x14ac:dyDescent="0.3">
      <c r="B13" s="446">
        <v>2000</v>
      </c>
      <c r="C13" s="637">
        <v>7.1600313284956645</v>
      </c>
      <c r="D13" s="638">
        <v>8.8063395358146757</v>
      </c>
      <c r="E13" s="639">
        <v>5.2213140505014408</v>
      </c>
      <c r="F13" s="640">
        <v>8.0465527241033001</v>
      </c>
      <c r="G13" s="638">
        <v>8.8063395358146757</v>
      </c>
      <c r="H13" s="639">
        <v>5.3360143471179855</v>
      </c>
      <c r="I13" s="641">
        <v>5.1647954842633439</v>
      </c>
      <c r="J13" s="643"/>
      <c r="K13" s="642">
        <v>5.1647954842633439</v>
      </c>
      <c r="M13" s="371"/>
      <c r="N13" s="315">
        <v>2000</v>
      </c>
      <c r="O13" s="452">
        <f t="shared" si="1"/>
        <v>8.8063395358146757</v>
      </c>
      <c r="P13" s="452">
        <f t="shared" si="1"/>
        <v>5.2213140505014408</v>
      </c>
      <c r="R13" s="315">
        <f t="shared" si="11"/>
        <v>2012</v>
      </c>
      <c r="S13" s="132">
        <f t="shared" si="12"/>
        <v>12.201537385477197</v>
      </c>
      <c r="T13" s="132">
        <f t="shared" si="13"/>
        <v>6.7101196509343106</v>
      </c>
      <c r="V13" s="375">
        <f>+'9.1'!C13/'8.1'!C13/10</f>
        <v>7.1600313284956645</v>
      </c>
      <c r="W13" s="375">
        <f>+'9.1'!D13/'8.1'!D13/10</f>
        <v>8.8063395358146757</v>
      </c>
      <c r="X13" s="375">
        <f>+'9.1'!E13/'8.1'!E13/10</f>
        <v>5.2213140505014399</v>
      </c>
      <c r="Y13" s="375">
        <f>+'9.1'!F13/'8.1'!F13/10</f>
        <v>8.0465527241033001</v>
      </c>
      <c r="Z13" s="375">
        <f>+'9.1'!G13/'8.1'!G13/10</f>
        <v>8.8063395358146757</v>
      </c>
      <c r="AA13" s="375">
        <f>+'9.1'!H13/'8.1'!H13/10</f>
        <v>5.3360143471179855</v>
      </c>
      <c r="AB13" s="375">
        <f>+'9.1'!I13/'8.1'!I13/10</f>
        <v>5.1647954842633439</v>
      </c>
      <c r="AC13" s="375"/>
      <c r="AD13" s="375">
        <f>+'9.1'!K13/'8.1'!K13/10</f>
        <v>5.1647954842633439</v>
      </c>
      <c r="AE13" s="767">
        <f t="shared" si="2"/>
        <v>0</v>
      </c>
      <c r="AF13" s="767">
        <f t="shared" si="3"/>
        <v>0</v>
      </c>
      <c r="AG13" s="767">
        <f t="shared" si="4"/>
        <v>0</v>
      </c>
      <c r="AH13" s="767">
        <f t="shared" si="5"/>
        <v>0</v>
      </c>
      <c r="AI13" s="767">
        <f t="shared" si="6"/>
        <v>0</v>
      </c>
      <c r="AJ13" s="767">
        <f t="shared" si="7"/>
        <v>0</v>
      </c>
      <c r="AK13" s="767">
        <f t="shared" si="8"/>
        <v>0</v>
      </c>
      <c r="AL13" s="767">
        <f t="shared" si="9"/>
        <v>0</v>
      </c>
      <c r="AM13" s="767">
        <f t="shared" si="10"/>
        <v>0</v>
      </c>
    </row>
    <row r="14" spans="1:39" ht="13" x14ac:dyDescent="0.3">
      <c r="B14" s="440">
        <v>2001</v>
      </c>
      <c r="C14" s="631">
        <v>6.8517181867515884</v>
      </c>
      <c r="D14" s="632">
        <v>8.7949736111824013</v>
      </c>
      <c r="E14" s="633">
        <v>4.7425532789429576</v>
      </c>
      <c r="F14" s="634">
        <v>8.1980760639170676</v>
      </c>
      <c r="G14" s="632">
        <v>8.7949736111824013</v>
      </c>
      <c r="H14" s="633">
        <v>5.4318103535360782</v>
      </c>
      <c r="I14" s="635">
        <v>4.5317559390314024</v>
      </c>
      <c r="J14" s="644"/>
      <c r="K14" s="636">
        <v>4.5317559390314024</v>
      </c>
      <c r="M14" s="371"/>
      <c r="N14" s="315">
        <v>2001</v>
      </c>
      <c r="O14" s="452">
        <f t="shared" si="1"/>
        <v>8.7949736111824013</v>
      </c>
      <c r="P14" s="452">
        <f t="shared" si="1"/>
        <v>4.7425532789429576</v>
      </c>
      <c r="R14" s="315">
        <f t="shared" si="11"/>
        <v>2013</v>
      </c>
      <c r="S14" s="132">
        <f t="shared" si="12"/>
        <v>12.233886288512146</v>
      </c>
      <c r="T14" s="132">
        <f t="shared" si="13"/>
        <v>7.018399935430935</v>
      </c>
      <c r="V14" s="375">
        <f>+'9.1'!C14/'8.1'!C14/10</f>
        <v>6.8517369160466428</v>
      </c>
      <c r="W14" s="375">
        <f>+'9.1'!D14/'8.1'!D14/10</f>
        <v>8.7949736111824013</v>
      </c>
      <c r="X14" s="375">
        <f>+'9.1'!E14/'8.1'!E14/10</f>
        <v>4.7425524986185392</v>
      </c>
      <c r="Y14" s="375">
        <f>+'9.1'!F14/'8.1'!F14/10</f>
        <v>8.1980760639170676</v>
      </c>
      <c r="Z14" s="375">
        <f>+'9.1'!G14/'8.1'!G14/10</f>
        <v>8.7949736111824013</v>
      </c>
      <c r="AA14" s="375">
        <f>+'9.1'!H14/'8.1'!H14/10</f>
        <v>5.4318103535360782</v>
      </c>
      <c r="AB14" s="375">
        <f>+'9.1'!I14/'8.1'!I14/10</f>
        <v>4.5317559390314024</v>
      </c>
      <c r="AC14" s="375"/>
      <c r="AD14" s="375">
        <f>+'9.1'!K14/'8.1'!K14/10</f>
        <v>4.5317559390314024</v>
      </c>
      <c r="AE14" s="767">
        <f t="shared" si="2"/>
        <v>1.8729295054420447E-5</v>
      </c>
      <c r="AF14" s="767">
        <f t="shared" si="3"/>
        <v>0</v>
      </c>
      <c r="AG14" s="767">
        <f t="shared" si="4"/>
        <v>-7.8032441841457967E-7</v>
      </c>
      <c r="AH14" s="767">
        <f t="shared" si="5"/>
        <v>0</v>
      </c>
      <c r="AI14" s="767">
        <f t="shared" si="6"/>
        <v>0</v>
      </c>
      <c r="AJ14" s="767">
        <f t="shared" si="7"/>
        <v>0</v>
      </c>
      <c r="AK14" s="767">
        <f t="shared" si="8"/>
        <v>0</v>
      </c>
      <c r="AL14" s="767">
        <f t="shared" si="9"/>
        <v>0</v>
      </c>
      <c r="AM14" s="767">
        <f t="shared" si="10"/>
        <v>0</v>
      </c>
    </row>
    <row r="15" spans="1:39" ht="13" x14ac:dyDescent="0.3">
      <c r="B15" s="446">
        <v>2002</v>
      </c>
      <c r="C15" s="637">
        <v>6.5722564065548337</v>
      </c>
      <c r="D15" s="638">
        <v>8.2905260118522683</v>
      </c>
      <c r="E15" s="639">
        <v>4.6821377072021297</v>
      </c>
      <c r="F15" s="640">
        <v>7.758352080828165</v>
      </c>
      <c r="G15" s="638">
        <v>8.2905260118522683</v>
      </c>
      <c r="H15" s="639">
        <v>5.1639888849993891</v>
      </c>
      <c r="I15" s="641">
        <v>4.5417296862557039</v>
      </c>
      <c r="J15" s="643"/>
      <c r="K15" s="642">
        <v>4.5417296862557039</v>
      </c>
      <c r="M15" s="371"/>
      <c r="N15" s="315">
        <v>2002</v>
      </c>
      <c r="O15" s="452">
        <f t="shared" si="1"/>
        <v>8.2905260118522683</v>
      </c>
      <c r="P15" s="452">
        <f t="shared" si="1"/>
        <v>4.6821377072021297</v>
      </c>
      <c r="R15" s="315">
        <f t="shared" si="11"/>
        <v>2014</v>
      </c>
      <c r="S15" s="132">
        <f t="shared" si="12"/>
        <v>13.430770769915773</v>
      </c>
      <c r="T15" s="132">
        <f t="shared" si="13"/>
        <v>7.4662387275736695</v>
      </c>
      <c r="V15" s="375">
        <f>+'9.1'!C15/'8.1'!C15/10</f>
        <v>6.5722564065548337</v>
      </c>
      <c r="W15" s="375">
        <f>+'9.1'!D15/'8.1'!D15/10</f>
        <v>8.2905260118522683</v>
      </c>
      <c r="X15" s="375">
        <f>+'9.1'!E15/'8.1'!E15/10</f>
        <v>4.6821377072021297</v>
      </c>
      <c r="Y15" s="375">
        <f>+'9.1'!F15/'8.1'!F15/10</f>
        <v>7.758352080828165</v>
      </c>
      <c r="Z15" s="375">
        <f>+'9.1'!G15/'8.1'!G15/10</f>
        <v>8.2905260118522683</v>
      </c>
      <c r="AA15" s="375">
        <f>+'9.1'!H15/'8.1'!H15/10</f>
        <v>5.1639888849993891</v>
      </c>
      <c r="AB15" s="375">
        <f>+'9.1'!I15/'8.1'!I15/10</f>
        <v>4.5417296862557039</v>
      </c>
      <c r="AC15" s="375"/>
      <c r="AD15" s="375">
        <f>+'9.1'!K15/'8.1'!K15/10</f>
        <v>4.5417296862557039</v>
      </c>
      <c r="AE15" s="767">
        <f t="shared" si="2"/>
        <v>0</v>
      </c>
      <c r="AF15" s="767">
        <f t="shared" si="3"/>
        <v>0</v>
      </c>
      <c r="AG15" s="767">
        <f t="shared" si="4"/>
        <v>0</v>
      </c>
      <c r="AH15" s="767">
        <f t="shared" si="5"/>
        <v>0</v>
      </c>
      <c r="AI15" s="767">
        <f t="shared" si="6"/>
        <v>0</v>
      </c>
      <c r="AJ15" s="767">
        <f t="shared" si="7"/>
        <v>0</v>
      </c>
      <c r="AK15" s="767">
        <f t="shared" si="8"/>
        <v>0</v>
      </c>
      <c r="AL15" s="767">
        <f t="shared" si="9"/>
        <v>0</v>
      </c>
      <c r="AM15" s="767">
        <f t="shared" si="10"/>
        <v>0</v>
      </c>
    </row>
    <row r="16" spans="1:39" ht="13" x14ac:dyDescent="0.3">
      <c r="B16" s="440">
        <v>2003</v>
      </c>
      <c r="C16" s="631">
        <v>6.6241519760682381</v>
      </c>
      <c r="D16" s="632">
        <v>8.4395468219330851</v>
      </c>
      <c r="E16" s="633">
        <v>4.6334748884993324</v>
      </c>
      <c r="F16" s="634">
        <v>7.971753161907678</v>
      </c>
      <c r="G16" s="632">
        <v>8.4395468219330851</v>
      </c>
      <c r="H16" s="633">
        <v>5.315913767730283</v>
      </c>
      <c r="I16" s="635">
        <v>4.4701131993241967</v>
      </c>
      <c r="J16" s="644"/>
      <c r="K16" s="636">
        <v>4.4701131993241967</v>
      </c>
      <c r="M16" s="371"/>
      <c r="N16" s="315">
        <v>2003</v>
      </c>
      <c r="O16" s="452">
        <f t="shared" si="1"/>
        <v>8.4395468219330851</v>
      </c>
      <c r="P16" s="452">
        <f t="shared" si="1"/>
        <v>4.6334748884993324</v>
      </c>
      <c r="R16" s="315">
        <f t="shared" si="11"/>
        <v>2015</v>
      </c>
      <c r="S16" s="132">
        <f t="shared" si="12"/>
        <v>13.400105420992441</v>
      </c>
      <c r="T16" s="132">
        <f t="shared" si="13"/>
        <v>7.0634526891124212</v>
      </c>
      <c r="V16" s="375">
        <f>+'9.1'!C16/'8.1'!C16/10</f>
        <v>6.6241519760682381</v>
      </c>
      <c r="W16" s="375">
        <f>+'9.1'!D16/'8.1'!D16/10</f>
        <v>8.4395468219330851</v>
      </c>
      <c r="X16" s="375">
        <f>+'9.1'!E16/'8.1'!E16/10</f>
        <v>4.6334748884993324</v>
      </c>
      <c r="Y16" s="375">
        <f>+'9.1'!F16/'8.1'!F16/10</f>
        <v>7.971753161907678</v>
      </c>
      <c r="Z16" s="375">
        <f>+'9.1'!G16/'8.1'!G16/10</f>
        <v>8.4395468219330851</v>
      </c>
      <c r="AA16" s="375">
        <f>+'9.1'!H16/'8.1'!H16/10</f>
        <v>5.315913767730283</v>
      </c>
      <c r="AB16" s="375">
        <f>+'9.1'!I16/'8.1'!I16/10</f>
        <v>4.4701131993241967</v>
      </c>
      <c r="AC16" s="375"/>
      <c r="AD16" s="375">
        <f>+'9.1'!K16/'8.1'!K16/10</f>
        <v>4.4701131993241967</v>
      </c>
      <c r="AE16" s="767">
        <f t="shared" si="2"/>
        <v>0</v>
      </c>
      <c r="AF16" s="767">
        <f t="shared" si="3"/>
        <v>0</v>
      </c>
      <c r="AG16" s="767">
        <f t="shared" si="4"/>
        <v>0</v>
      </c>
      <c r="AH16" s="767">
        <f t="shared" si="5"/>
        <v>0</v>
      </c>
      <c r="AI16" s="767">
        <f t="shared" si="6"/>
        <v>0</v>
      </c>
      <c r="AJ16" s="767">
        <f t="shared" si="7"/>
        <v>0</v>
      </c>
      <c r="AK16" s="767">
        <f t="shared" si="8"/>
        <v>0</v>
      </c>
      <c r="AL16" s="767">
        <f t="shared" si="9"/>
        <v>0</v>
      </c>
      <c r="AM16" s="767">
        <f t="shared" si="10"/>
        <v>0</v>
      </c>
    </row>
    <row r="17" spans="1:39" ht="13" x14ac:dyDescent="0.3">
      <c r="B17" s="446">
        <v>2004</v>
      </c>
      <c r="C17" s="637">
        <v>7.0379541088956712</v>
      </c>
      <c r="D17" s="638">
        <v>8.6742016054190874</v>
      </c>
      <c r="E17" s="639">
        <v>5.2142013164260836</v>
      </c>
      <c r="F17" s="640">
        <v>8.2230231770089492</v>
      </c>
      <c r="G17" s="638">
        <v>8.6742016054190874</v>
      </c>
      <c r="H17" s="639">
        <v>5.3901465775055355</v>
      </c>
      <c r="I17" s="641">
        <v>5.1762271900611463</v>
      </c>
      <c r="J17" s="643"/>
      <c r="K17" s="642">
        <v>5.1762271900611463</v>
      </c>
      <c r="M17" s="371"/>
      <c r="N17" s="315">
        <v>2004</v>
      </c>
      <c r="O17" s="452">
        <f t="shared" si="1"/>
        <v>8.6742016054190874</v>
      </c>
      <c r="P17" s="452">
        <f t="shared" si="1"/>
        <v>5.2142013164260836</v>
      </c>
      <c r="R17" s="315">
        <f t="shared" si="11"/>
        <v>2016</v>
      </c>
      <c r="S17" s="132">
        <f t="shared" si="12"/>
        <v>14.126765809264077</v>
      </c>
      <c r="T17" s="132">
        <f t="shared" si="13"/>
        <v>6.6744810766796219</v>
      </c>
      <c r="V17" s="375">
        <f>+'9.1'!C17/'8.1'!C17/10</f>
        <v>7.0379541088956685</v>
      </c>
      <c r="W17" s="375">
        <f>+'9.1'!D17/'8.1'!D17/10</f>
        <v>8.6742016054190856</v>
      </c>
      <c r="X17" s="375">
        <f>+'9.1'!E17/'8.1'!E17/10</f>
        <v>5.2142013164260836</v>
      </c>
      <c r="Y17" s="375">
        <f>+'9.1'!F17/'8.1'!F17/10</f>
        <v>8.2230231770089492</v>
      </c>
      <c r="Z17" s="375">
        <f>+'9.1'!G17/'8.1'!G17/10</f>
        <v>8.6742016054190856</v>
      </c>
      <c r="AA17" s="375">
        <f>+'9.1'!H17/'8.1'!H17/10</f>
        <v>5.3901465775055346</v>
      </c>
      <c r="AB17" s="375">
        <f>+'9.1'!I17/'8.1'!I17/10</f>
        <v>5.1762271900611463</v>
      </c>
      <c r="AC17" s="375"/>
      <c r="AD17" s="375">
        <f>+'9.1'!K17/'8.1'!K17/10</f>
        <v>5.1762271900611463</v>
      </c>
      <c r="AE17" s="767">
        <f t="shared" si="2"/>
        <v>0</v>
      </c>
      <c r="AF17" s="767">
        <f t="shared" si="3"/>
        <v>0</v>
      </c>
      <c r="AG17" s="767">
        <f t="shared" si="4"/>
        <v>0</v>
      </c>
      <c r="AH17" s="767">
        <f t="shared" si="5"/>
        <v>0</v>
      </c>
      <c r="AI17" s="767">
        <f t="shared" si="6"/>
        <v>0</v>
      </c>
      <c r="AJ17" s="767">
        <f t="shared" si="7"/>
        <v>0</v>
      </c>
      <c r="AK17" s="767">
        <f t="shared" si="8"/>
        <v>0</v>
      </c>
      <c r="AL17" s="767">
        <f t="shared" si="9"/>
        <v>0</v>
      </c>
      <c r="AM17" s="767">
        <f t="shared" si="10"/>
        <v>0</v>
      </c>
    </row>
    <row r="18" spans="1:39" ht="13" x14ac:dyDescent="0.3">
      <c r="B18" s="440">
        <v>2005</v>
      </c>
      <c r="C18" s="631">
        <v>7.6295174613677208</v>
      </c>
      <c r="D18" s="632">
        <v>9.4007778088619069</v>
      </c>
      <c r="E18" s="633">
        <v>5.5617579225654694</v>
      </c>
      <c r="F18" s="634">
        <v>8.8884914595819442</v>
      </c>
      <c r="G18" s="632">
        <v>9.4007778088619069</v>
      </c>
      <c r="H18" s="633">
        <v>5.650701414642656</v>
      </c>
      <c r="I18" s="635">
        <v>5.5416076080909722</v>
      </c>
      <c r="J18" s="644"/>
      <c r="K18" s="636">
        <v>5.5416076080909722</v>
      </c>
      <c r="M18" s="371"/>
      <c r="N18" s="315">
        <v>2005</v>
      </c>
      <c r="O18" s="452">
        <f t="shared" si="1"/>
        <v>9.4007778088619069</v>
      </c>
      <c r="P18" s="452">
        <f t="shared" si="1"/>
        <v>5.5617579225654694</v>
      </c>
      <c r="R18" s="315">
        <f t="shared" si="11"/>
        <v>2017</v>
      </c>
      <c r="S18" s="132">
        <f t="shared" si="12"/>
        <v>14.975888443120288</v>
      </c>
      <c r="T18" s="132">
        <f t="shared" si="13"/>
        <v>6.3193218652866925</v>
      </c>
      <c r="V18" s="375">
        <f>+'9.1'!C18/'8.1'!C18/10</f>
        <v>7.6285206656659241</v>
      </c>
      <c r="W18" s="375">
        <f>+'9.1'!D18/'8.1'!D18/10</f>
        <v>9.4002419523862262</v>
      </c>
      <c r="X18" s="375">
        <f>+'9.1'!E18/'8.1'!E18/10</f>
        <v>5.5602230289590011</v>
      </c>
      <c r="Y18" s="375">
        <f>+'9.1'!F18/'8.1'!F18/10</f>
        <v>8.8876437523557215</v>
      </c>
      <c r="Z18" s="375">
        <f>+'9.1'!G18/'8.1'!G18/10</f>
        <v>9.4002419523862262</v>
      </c>
      <c r="AA18" s="375">
        <f>+'9.1'!H18/'8.1'!H18/10</f>
        <v>5.6478827252557124</v>
      </c>
      <c r="AB18" s="375">
        <f>+'9.1'!I18/'8.1'!I18/10</f>
        <v>5.5403635608195572</v>
      </c>
      <c r="AC18" s="375"/>
      <c r="AD18" s="375">
        <f>+'9.1'!K18/'8.1'!K18/10</f>
        <v>5.5403635608195572</v>
      </c>
      <c r="AE18" s="767">
        <f t="shared" si="2"/>
        <v>-9.967957017966711E-4</v>
      </c>
      <c r="AF18" s="767">
        <f t="shared" si="3"/>
        <v>-5.3585647568077377E-4</v>
      </c>
      <c r="AG18" s="767">
        <f t="shared" si="4"/>
        <v>-1.5348936064683016E-3</v>
      </c>
      <c r="AH18" s="767">
        <f t="shared" si="5"/>
        <v>-8.4770722622273809E-4</v>
      </c>
      <c r="AI18" s="767">
        <f t="shared" si="6"/>
        <v>-5.3585647568077377E-4</v>
      </c>
      <c r="AJ18" s="767">
        <f t="shared" si="7"/>
        <v>-2.8186893869435181E-3</v>
      </c>
      <c r="AK18" s="767">
        <f t="shared" si="8"/>
        <v>-1.2440472714150275E-3</v>
      </c>
      <c r="AL18" s="767">
        <f t="shared" si="9"/>
        <v>0</v>
      </c>
      <c r="AM18" s="767">
        <f t="shared" si="10"/>
        <v>-1.2440472714150275E-3</v>
      </c>
    </row>
    <row r="19" spans="1:39" ht="13" x14ac:dyDescent="0.3">
      <c r="B19" s="446">
        <v>2006</v>
      </c>
      <c r="C19" s="637">
        <v>7.5512081046012351</v>
      </c>
      <c r="D19" s="638">
        <v>9.2076066273685662</v>
      </c>
      <c r="E19" s="639">
        <v>5.5594612030138508</v>
      </c>
      <c r="F19" s="640">
        <v>8.7043941840152215</v>
      </c>
      <c r="G19" s="638">
        <v>9.2076066273685662</v>
      </c>
      <c r="H19" s="639">
        <v>5.4368124536342881</v>
      </c>
      <c r="I19" s="641">
        <v>5.5873349726099386</v>
      </c>
      <c r="J19" s="643"/>
      <c r="K19" s="642">
        <v>5.5873349726099386</v>
      </c>
      <c r="M19" s="371"/>
      <c r="N19" s="315">
        <v>2006</v>
      </c>
      <c r="O19" s="452">
        <f t="shared" si="1"/>
        <v>9.2076066273685662</v>
      </c>
      <c r="P19" s="452">
        <f t="shared" si="1"/>
        <v>5.5594612030138508</v>
      </c>
      <c r="R19" s="315">
        <f t="shared" si="11"/>
        <v>2018</v>
      </c>
      <c r="S19" s="132">
        <f t="shared" si="12"/>
        <v>15.917877337998695</v>
      </c>
      <c r="T19" s="132">
        <f t="shared" si="13"/>
        <v>6.3039862385552148</v>
      </c>
      <c r="V19" s="375">
        <f>+'9.1'!C19/'8.1'!C19/10</f>
        <v>7.5512081046012351</v>
      </c>
      <c r="W19" s="375">
        <f>+'9.1'!D19/'8.1'!D19/10</f>
        <v>9.2076066273685662</v>
      </c>
      <c r="X19" s="375">
        <f>+'9.1'!E19/'8.1'!E19/10</f>
        <v>5.5594612030138508</v>
      </c>
      <c r="Y19" s="375">
        <f>+'9.1'!F19/'8.1'!F19/10</f>
        <v>8.7043941840152215</v>
      </c>
      <c r="Z19" s="375">
        <f>+'9.1'!G19/'8.1'!G19/10</f>
        <v>9.2076066273685662</v>
      </c>
      <c r="AA19" s="375">
        <f>+'9.1'!H19/'8.1'!H19/10</f>
        <v>5.4368124536342881</v>
      </c>
      <c r="AB19" s="375">
        <f>+'9.1'!I19/'8.1'!I19/10</f>
        <v>5.5873349726099386</v>
      </c>
      <c r="AC19" s="375"/>
      <c r="AD19" s="375">
        <f>+'9.1'!K19/'8.1'!K19/10</f>
        <v>5.5873349726099386</v>
      </c>
      <c r="AE19" s="767">
        <f t="shared" si="2"/>
        <v>0</v>
      </c>
      <c r="AF19" s="767">
        <f t="shared" si="3"/>
        <v>0</v>
      </c>
      <c r="AG19" s="767">
        <f t="shared" si="4"/>
        <v>0</v>
      </c>
      <c r="AH19" s="767">
        <f t="shared" si="5"/>
        <v>0</v>
      </c>
      <c r="AI19" s="767">
        <f t="shared" si="6"/>
        <v>0</v>
      </c>
      <c r="AJ19" s="767">
        <f t="shared" si="7"/>
        <v>0</v>
      </c>
      <c r="AK19" s="767">
        <f t="shared" si="8"/>
        <v>0</v>
      </c>
      <c r="AL19" s="767">
        <f t="shared" si="9"/>
        <v>0</v>
      </c>
      <c r="AM19" s="767">
        <f t="shared" si="10"/>
        <v>0</v>
      </c>
    </row>
    <row r="20" spans="1:39" ht="13" x14ac:dyDescent="0.3">
      <c r="B20" s="440">
        <v>2007</v>
      </c>
      <c r="C20" s="631">
        <v>7.4049441102825799</v>
      </c>
      <c r="D20" s="632">
        <v>9.0939060573690185</v>
      </c>
      <c r="E20" s="633">
        <v>5.4233986202754707</v>
      </c>
      <c r="F20" s="634">
        <v>8.6843545064319656</v>
      </c>
      <c r="G20" s="632">
        <v>9.0939060573690185</v>
      </c>
      <c r="H20" s="633">
        <v>5.4423840053332935</v>
      </c>
      <c r="I20" s="635">
        <v>5.4200951405339648</v>
      </c>
      <c r="J20" s="644"/>
      <c r="K20" s="636">
        <v>5.4200951405339648</v>
      </c>
      <c r="M20" s="371"/>
      <c r="N20" s="376">
        <v>2007</v>
      </c>
      <c r="O20" s="452">
        <f t="shared" si="1"/>
        <v>9.0939060573690185</v>
      </c>
      <c r="P20" s="452">
        <f t="shared" si="1"/>
        <v>5.4233986202754707</v>
      </c>
      <c r="R20" s="315">
        <f t="shared" si="11"/>
        <v>2019</v>
      </c>
      <c r="S20" s="132">
        <f t="shared" si="12"/>
        <v>16.466857229914666</v>
      </c>
      <c r="T20" s="132">
        <f t="shared" si="13"/>
        <v>6.2981424195116817</v>
      </c>
      <c r="V20" s="375">
        <f>+'9.1'!C20/'8.1'!C20/10</f>
        <v>7.4049441102825799</v>
      </c>
      <c r="W20" s="375">
        <f>+'9.1'!D20/'8.1'!D20/10</f>
        <v>9.0939060573690185</v>
      </c>
      <c r="X20" s="375">
        <f>+'9.1'!E20/'8.1'!E20/10</f>
        <v>5.4233986202754707</v>
      </c>
      <c r="Y20" s="375">
        <f>+'9.1'!F20/'8.1'!F20/10</f>
        <v>8.6843545064319656</v>
      </c>
      <c r="Z20" s="375">
        <f>+'9.1'!G20/'8.1'!G20/10</f>
        <v>9.0939060573690185</v>
      </c>
      <c r="AA20" s="375">
        <f>+'9.1'!H20/'8.1'!H20/10</f>
        <v>5.4423840053332935</v>
      </c>
      <c r="AB20" s="375">
        <f>+'9.1'!I20/'8.1'!I20/10</f>
        <v>5.4200951405339648</v>
      </c>
      <c r="AC20" s="375"/>
      <c r="AD20" s="375">
        <f>+'9.1'!K20/'8.1'!K20/10</f>
        <v>5.4200951405339648</v>
      </c>
      <c r="AE20" s="767">
        <f t="shared" si="2"/>
        <v>0</v>
      </c>
      <c r="AF20" s="767">
        <f t="shared" si="3"/>
        <v>0</v>
      </c>
      <c r="AG20" s="767">
        <f t="shared" si="4"/>
        <v>0</v>
      </c>
      <c r="AH20" s="767">
        <f t="shared" si="5"/>
        <v>0</v>
      </c>
      <c r="AI20" s="767">
        <f t="shared" si="6"/>
        <v>0</v>
      </c>
      <c r="AJ20" s="767">
        <f t="shared" si="7"/>
        <v>0</v>
      </c>
      <c r="AK20" s="767">
        <f t="shared" si="8"/>
        <v>0</v>
      </c>
      <c r="AL20" s="767">
        <f t="shared" si="9"/>
        <v>0</v>
      </c>
      <c r="AM20" s="767">
        <f t="shared" si="10"/>
        <v>0</v>
      </c>
    </row>
    <row r="21" spans="1:39" ht="13" x14ac:dyDescent="0.3">
      <c r="B21" s="446">
        <v>2008</v>
      </c>
      <c r="C21" s="637">
        <v>8.2186096245238396</v>
      </c>
      <c r="D21" s="638">
        <v>9.5638093579048657</v>
      </c>
      <c r="E21" s="639">
        <v>6.63741891099464</v>
      </c>
      <c r="F21" s="640">
        <v>9.2102011270063144</v>
      </c>
      <c r="G21" s="638">
        <v>9.5638093579048657</v>
      </c>
      <c r="H21" s="639">
        <v>6.2283301309714529</v>
      </c>
      <c r="I21" s="641">
        <v>6.703677483775019</v>
      </c>
      <c r="J21" s="643"/>
      <c r="K21" s="642">
        <v>6.703677483775019</v>
      </c>
      <c r="M21" s="371"/>
      <c r="N21" s="376">
        <v>2008</v>
      </c>
      <c r="O21" s="452">
        <f t="shared" si="1"/>
        <v>9.5638093579048657</v>
      </c>
      <c r="P21" s="452">
        <f t="shared" si="1"/>
        <v>6.63741891099464</v>
      </c>
      <c r="R21" s="315">
        <f t="shared" si="11"/>
        <v>2020</v>
      </c>
      <c r="S21" s="132">
        <f t="shared" si="12"/>
        <v>16.561452481763062</v>
      </c>
      <c r="T21" s="132">
        <f t="shared" si="13"/>
        <v>6.2596325281027401</v>
      </c>
      <c r="V21" s="375">
        <f>+'9.1'!C21/'8.1'!C21/10</f>
        <v>8.2186096245238378</v>
      </c>
      <c r="W21" s="375">
        <f>+'9.1'!D21/'8.1'!D21/10</f>
        <v>9.563809357904864</v>
      </c>
      <c r="X21" s="375">
        <f>+'9.1'!E21/'8.1'!E21/10</f>
        <v>6.6374189109946373</v>
      </c>
      <c r="Y21" s="375">
        <f>+'9.1'!F21/'8.1'!F21/10</f>
        <v>9.2102011270063127</v>
      </c>
      <c r="Z21" s="375">
        <f>+'9.1'!G21/'8.1'!G21/10</f>
        <v>9.563809357904864</v>
      </c>
      <c r="AA21" s="375">
        <f>+'9.1'!H21/'8.1'!H21/10</f>
        <v>6.228330130971452</v>
      </c>
      <c r="AB21" s="375">
        <f>+'9.1'!I21/'8.1'!I21/10</f>
        <v>6.7036774837750173</v>
      </c>
      <c r="AC21" s="375"/>
      <c r="AD21" s="375">
        <f>+'9.1'!K21/'8.1'!K21/10</f>
        <v>6.7036774837750173</v>
      </c>
      <c r="AE21" s="767">
        <f t="shared" si="2"/>
        <v>0</v>
      </c>
      <c r="AF21" s="767">
        <f t="shared" si="3"/>
        <v>0</v>
      </c>
      <c r="AG21" s="767">
        <f t="shared" si="4"/>
        <v>0</v>
      </c>
      <c r="AH21" s="767">
        <f t="shared" si="5"/>
        <v>0</v>
      </c>
      <c r="AI21" s="767">
        <f t="shared" si="6"/>
        <v>0</v>
      </c>
      <c r="AJ21" s="767">
        <f t="shared" si="7"/>
        <v>0</v>
      </c>
      <c r="AK21" s="767">
        <f t="shared" si="8"/>
        <v>0</v>
      </c>
      <c r="AL21" s="767">
        <f t="shared" si="9"/>
        <v>0</v>
      </c>
      <c r="AM21" s="767">
        <f t="shared" si="10"/>
        <v>0</v>
      </c>
    </row>
    <row r="22" spans="1:39" ht="13" x14ac:dyDescent="0.3">
      <c r="B22" s="440">
        <v>2009</v>
      </c>
      <c r="C22" s="631">
        <v>8.2550953480287319</v>
      </c>
      <c r="D22" s="632">
        <v>10.2396970174371</v>
      </c>
      <c r="E22" s="633">
        <v>5.7155802776164411</v>
      </c>
      <c r="F22" s="634">
        <v>9.8564664211322821</v>
      </c>
      <c r="G22" s="632">
        <v>10.2396970174371</v>
      </c>
      <c r="H22" s="633">
        <v>6.6120121400318581</v>
      </c>
      <c r="I22" s="635">
        <v>5.5559629193809172</v>
      </c>
      <c r="J22" s="644"/>
      <c r="K22" s="636">
        <v>5.5559629193809172</v>
      </c>
      <c r="M22" s="371"/>
      <c r="N22" s="376">
        <v>2009</v>
      </c>
      <c r="O22" s="452">
        <f t="shared" si="1"/>
        <v>10.2396970174371</v>
      </c>
      <c r="P22" s="452">
        <f t="shared" si="1"/>
        <v>5.7155802776164411</v>
      </c>
      <c r="R22" s="315">
        <f t="shared" si="11"/>
        <v>2021</v>
      </c>
      <c r="S22" s="132">
        <f t="shared" si="12"/>
        <v>16.370746357516783</v>
      </c>
      <c r="T22" s="132">
        <f t="shared" si="13"/>
        <v>5.9812139664453019</v>
      </c>
      <c r="V22" s="375">
        <f>+'9.1'!C22/'8.1'!C22/10</f>
        <v>8.2550953480287319</v>
      </c>
      <c r="W22" s="375">
        <f>+'9.1'!D22/'8.1'!D22/10</f>
        <v>10.2396970174371</v>
      </c>
      <c r="X22" s="375">
        <f>+'9.1'!E22/'8.1'!E22/10</f>
        <v>5.7155802776164411</v>
      </c>
      <c r="Y22" s="375">
        <f>+'9.1'!F22/'8.1'!F22/10</f>
        <v>9.8564664211322821</v>
      </c>
      <c r="Z22" s="375">
        <f>+'9.1'!G22/'8.1'!G22/10</f>
        <v>10.2396970174371</v>
      </c>
      <c r="AA22" s="375">
        <f>+'9.1'!H22/'8.1'!H22/10</f>
        <v>6.6120121400318581</v>
      </c>
      <c r="AB22" s="375">
        <f>+'9.1'!I22/'8.1'!I22/10</f>
        <v>5.5559629193809172</v>
      </c>
      <c r="AC22" s="375"/>
      <c r="AD22" s="375">
        <f>+'9.1'!K22/'8.1'!K22/10</f>
        <v>5.5559629193809172</v>
      </c>
      <c r="AE22" s="767">
        <f t="shared" si="2"/>
        <v>0</v>
      </c>
      <c r="AF22" s="767">
        <f t="shared" si="3"/>
        <v>0</v>
      </c>
      <c r="AG22" s="767">
        <f t="shared" si="4"/>
        <v>0</v>
      </c>
      <c r="AH22" s="767">
        <f t="shared" si="5"/>
        <v>0</v>
      </c>
      <c r="AI22" s="767">
        <f t="shared" si="6"/>
        <v>0</v>
      </c>
      <c r="AJ22" s="767">
        <f t="shared" si="7"/>
        <v>0</v>
      </c>
      <c r="AK22" s="767">
        <f t="shared" si="8"/>
        <v>0</v>
      </c>
      <c r="AL22" s="767">
        <f t="shared" si="9"/>
        <v>0</v>
      </c>
      <c r="AM22" s="767">
        <f t="shared" si="10"/>
        <v>0</v>
      </c>
    </row>
    <row r="23" spans="1:39" ht="13" x14ac:dyDescent="0.3">
      <c r="B23" s="446">
        <v>2010</v>
      </c>
      <c r="C23" s="637">
        <v>8.3181154409106988</v>
      </c>
      <c r="D23" s="638">
        <v>10.459527312900395</v>
      </c>
      <c r="E23" s="639">
        <v>5.6126682737488451</v>
      </c>
      <c r="F23" s="640">
        <v>10.118555763056673</v>
      </c>
      <c r="G23" s="638">
        <v>10.459527312900395</v>
      </c>
      <c r="H23" s="639">
        <v>6.9434163707427059</v>
      </c>
      <c r="I23" s="641">
        <v>5.4037809461686521</v>
      </c>
      <c r="J23" s="643"/>
      <c r="K23" s="642">
        <v>5.4037809461686521</v>
      </c>
      <c r="M23" s="371"/>
      <c r="N23" s="376">
        <v>2010</v>
      </c>
      <c r="O23" s="452">
        <f t="shared" si="1"/>
        <v>10.459527312900395</v>
      </c>
      <c r="P23" s="452">
        <f t="shared" si="1"/>
        <v>5.6126682737488451</v>
      </c>
      <c r="R23" s="315">
        <f t="shared" si="11"/>
        <v>2022</v>
      </c>
      <c r="S23" s="132">
        <f t="shared" si="12"/>
        <v>18.234818418721542</v>
      </c>
      <c r="T23" s="132">
        <f t="shared" si="13"/>
        <v>6.6388814925175037</v>
      </c>
      <c r="V23" s="375">
        <f>+'9.1'!C23/'8.1'!C23/10</f>
        <v>8.3181154409107005</v>
      </c>
      <c r="W23" s="375">
        <f>+'9.1'!D23/'8.1'!D23/10</f>
        <v>10.459527312900397</v>
      </c>
      <c r="X23" s="375">
        <f>+'9.1'!E23/'8.1'!E23/10</f>
        <v>5.6126682737488469</v>
      </c>
      <c r="Y23" s="375">
        <f>+'9.1'!F23/'8.1'!F23/10</f>
        <v>10.118555763056674</v>
      </c>
      <c r="Z23" s="375">
        <f>+'9.1'!G23/'8.1'!G23/10</f>
        <v>10.459527312900397</v>
      </c>
      <c r="AA23" s="375">
        <f>+'9.1'!H23/'8.1'!H23/10</f>
        <v>6.9434163707427059</v>
      </c>
      <c r="AB23" s="375">
        <f>+'9.1'!I23/'8.1'!I23/10</f>
        <v>5.4037809461686521</v>
      </c>
      <c r="AC23" s="375"/>
      <c r="AD23" s="375">
        <f>+'9.1'!K23/'8.1'!K23/10</f>
        <v>5.4037809461686521</v>
      </c>
      <c r="AE23" s="767">
        <f t="shared" si="2"/>
        <v>0</v>
      </c>
      <c r="AF23" s="767">
        <f t="shared" si="3"/>
        <v>0</v>
      </c>
      <c r="AG23" s="767">
        <f t="shared" si="4"/>
        <v>0</v>
      </c>
      <c r="AH23" s="767">
        <f t="shared" si="5"/>
        <v>0</v>
      </c>
      <c r="AI23" s="767">
        <f t="shared" si="6"/>
        <v>0</v>
      </c>
      <c r="AJ23" s="767">
        <f t="shared" si="7"/>
        <v>0</v>
      </c>
      <c r="AK23" s="767">
        <f t="shared" si="8"/>
        <v>0</v>
      </c>
      <c r="AL23" s="767">
        <f t="shared" si="9"/>
        <v>0</v>
      </c>
      <c r="AM23" s="767">
        <f t="shared" si="10"/>
        <v>0</v>
      </c>
    </row>
    <row r="24" spans="1:39" ht="13" x14ac:dyDescent="0.3">
      <c r="B24" s="440">
        <v>2011</v>
      </c>
      <c r="C24" s="631">
        <v>8.989189254591011</v>
      </c>
      <c r="D24" s="632">
        <v>11.091278800848533</v>
      </c>
      <c r="E24" s="633">
        <v>6.2890521736374838</v>
      </c>
      <c r="F24" s="634">
        <v>10.785558411402899</v>
      </c>
      <c r="G24" s="632">
        <v>11.091278800848533</v>
      </c>
      <c r="H24" s="633">
        <v>7.8471430858597868</v>
      </c>
      <c r="I24" s="635">
        <v>6.048703533336055</v>
      </c>
      <c r="J24" s="644"/>
      <c r="K24" s="636">
        <v>6.048703533336055</v>
      </c>
      <c r="M24" s="371"/>
      <c r="N24" s="376">
        <v>2011</v>
      </c>
      <c r="O24" s="452">
        <f t="shared" si="1"/>
        <v>11.091278800848533</v>
      </c>
      <c r="P24" s="452">
        <f t="shared" si="1"/>
        <v>6.2890521736374838</v>
      </c>
      <c r="V24" s="375">
        <f>+'9.1'!C24/'8.1'!C24/10</f>
        <v>8.9891892545910128</v>
      </c>
      <c r="W24" s="375">
        <f>+'9.1'!D24/'8.1'!D24/10</f>
        <v>11.091278800848531</v>
      </c>
      <c r="X24" s="375">
        <f>+'9.1'!E24/'8.1'!E24/10</f>
        <v>6.2890521736374847</v>
      </c>
      <c r="Y24" s="375">
        <f>+'9.1'!F24/'8.1'!F24/10</f>
        <v>10.785558411402944</v>
      </c>
      <c r="Z24" s="375">
        <f>+'9.1'!G24/'8.1'!G24/10</f>
        <v>11.091278800848531</v>
      </c>
      <c r="AA24" s="375">
        <f>+'9.1'!H24/'8.1'!H24/10</f>
        <v>7.8471430858597886</v>
      </c>
      <c r="AB24" s="375">
        <f>+'9.1'!I24/'8.1'!I24/10</f>
        <v>6.0487035333360568</v>
      </c>
      <c r="AC24" s="375"/>
      <c r="AD24" s="375">
        <f>+'9.1'!K24/'8.1'!K24/10</f>
        <v>6.0487035333360568</v>
      </c>
      <c r="AE24" s="767">
        <f t="shared" si="2"/>
        <v>0</v>
      </c>
      <c r="AF24" s="767">
        <f t="shared" si="3"/>
        <v>0</v>
      </c>
      <c r="AG24" s="767">
        <f t="shared" si="4"/>
        <v>0</v>
      </c>
      <c r="AH24" s="767">
        <f t="shared" si="5"/>
        <v>4.4408920985006262E-14</v>
      </c>
      <c r="AI24" s="767">
        <f t="shared" si="6"/>
        <v>0</v>
      </c>
      <c r="AJ24" s="767">
        <f t="shared" si="7"/>
        <v>0</v>
      </c>
      <c r="AK24" s="767">
        <f t="shared" si="8"/>
        <v>0</v>
      </c>
      <c r="AL24" s="767">
        <f t="shared" si="9"/>
        <v>0</v>
      </c>
      <c r="AM24" s="767">
        <f t="shared" si="10"/>
        <v>0</v>
      </c>
    </row>
    <row r="25" spans="1:39" ht="13" x14ac:dyDescent="0.3">
      <c r="B25" s="446">
        <v>2012</v>
      </c>
      <c r="C25" s="637">
        <v>9.8047648265499703</v>
      </c>
      <c r="D25" s="638">
        <v>12.201537385477197</v>
      </c>
      <c r="E25" s="639">
        <v>6.7101196509343106</v>
      </c>
      <c r="F25" s="640">
        <v>11.813141103914758</v>
      </c>
      <c r="G25" s="645">
        <v>12.201537385477197</v>
      </c>
      <c r="H25" s="646">
        <v>8.1031305793669972</v>
      </c>
      <c r="I25" s="641">
        <v>6.4923946475231222</v>
      </c>
      <c r="J25" s="643"/>
      <c r="K25" s="642">
        <v>6.4923946475231222</v>
      </c>
      <c r="M25" s="371"/>
      <c r="N25" s="376">
        <v>2012</v>
      </c>
      <c r="O25" s="452">
        <f t="shared" si="1"/>
        <v>12.201537385477197</v>
      </c>
      <c r="P25" s="452">
        <f t="shared" si="1"/>
        <v>6.7101196509343106</v>
      </c>
      <c r="V25" s="375">
        <f>+'9.1'!C25/'8.1'!C25/10</f>
        <v>9.8047648277155321</v>
      </c>
      <c r="W25" s="375">
        <f>+'9.1'!D25/'8.1'!D25/10</f>
        <v>12.2015373854772</v>
      </c>
      <c r="X25" s="375">
        <f>+'9.1'!E25/'8.1'!E25/10</f>
        <v>6.7101196527619322</v>
      </c>
      <c r="Y25" s="375">
        <f>+'9.1'!F25/'8.1'!F25/10</f>
        <v>11.813141103914756</v>
      </c>
      <c r="Z25" s="375">
        <f>+'9.1'!G25/'8.1'!G25/10</f>
        <v>12.2015373854772</v>
      </c>
      <c r="AA25" s="375">
        <f>+'9.1'!H25/'8.1'!H25/10</f>
        <v>8.1031305793669972</v>
      </c>
      <c r="AB25" s="375">
        <f>+'9.1'!I25/'8.1'!I25/10</f>
        <v>6.4923946495678262</v>
      </c>
      <c r="AC25" s="375"/>
      <c r="AD25" s="375">
        <f>+'9.1'!K25/'8.1'!K25/10</f>
        <v>6.4923946495678262</v>
      </c>
      <c r="AE25" s="767">
        <f t="shared" si="2"/>
        <v>1.1655618692429925E-9</v>
      </c>
      <c r="AF25" s="767">
        <f t="shared" si="3"/>
        <v>0</v>
      </c>
      <c r="AG25" s="767">
        <f t="shared" si="4"/>
        <v>1.827621609606922E-9</v>
      </c>
      <c r="AH25" s="767">
        <f t="shared" si="5"/>
        <v>0</v>
      </c>
      <c r="AI25" s="767">
        <f t="shared" si="6"/>
        <v>0</v>
      </c>
      <c r="AJ25" s="767">
        <f t="shared" si="7"/>
        <v>0</v>
      </c>
      <c r="AK25" s="767">
        <f t="shared" si="8"/>
        <v>2.0447039617010887E-9</v>
      </c>
      <c r="AL25" s="767">
        <f t="shared" si="9"/>
        <v>0</v>
      </c>
      <c r="AM25" s="767">
        <f t="shared" si="10"/>
        <v>2.0447039617010887E-9</v>
      </c>
    </row>
    <row r="26" spans="1:39" ht="13" x14ac:dyDescent="0.3">
      <c r="B26" s="647">
        <v>2013</v>
      </c>
      <c r="C26" s="648">
        <v>9.9304791574495219</v>
      </c>
      <c r="D26" s="649">
        <v>12.233886288512146</v>
      </c>
      <c r="E26" s="650">
        <v>7.018399935430935</v>
      </c>
      <c r="F26" s="651">
        <v>11.933029674417638</v>
      </c>
      <c r="G26" s="649">
        <v>12.233886288512146</v>
      </c>
      <c r="H26" s="650">
        <v>9.0206498419619479</v>
      </c>
      <c r="I26" s="652">
        <v>6.7174837111051282</v>
      </c>
      <c r="J26" s="653"/>
      <c r="K26" s="654">
        <v>6.7174837111051282</v>
      </c>
      <c r="L26" s="371"/>
      <c r="M26" s="371"/>
      <c r="N26" s="376">
        <v>2013</v>
      </c>
      <c r="O26" s="452">
        <f t="shared" si="1"/>
        <v>12.233886288512146</v>
      </c>
      <c r="P26" s="452">
        <f t="shared" si="1"/>
        <v>7.018399935430935</v>
      </c>
      <c r="V26" s="375">
        <f>+'9.1'!C26/'8.1'!C26/10</f>
        <v>9.930004811033065</v>
      </c>
      <c r="W26" s="375">
        <f>+'9.1'!D26/'8.1'!D26/10</f>
        <v>12.233348243552168</v>
      </c>
      <c r="X26" s="375">
        <f>+'9.1'!E26/'8.1'!E26/10</f>
        <v>7.018399935430935</v>
      </c>
      <c r="Y26" s="375">
        <f>+'9.1'!F26/'8.1'!F26/10</f>
        <v>11.932348167600413</v>
      </c>
      <c r="Z26" s="375">
        <f>+'9.1'!G26/'8.1'!G26/10</f>
        <v>12.233348243552168</v>
      </c>
      <c r="AA26" s="375">
        <f>+'9.1'!H26/'8.1'!H26/10</f>
        <v>9.0204318197884348</v>
      </c>
      <c r="AB26" s="375">
        <f>+'9.1'!I26/'8.1'!I26/10</f>
        <v>6.7174837111051291</v>
      </c>
      <c r="AC26" s="375"/>
      <c r="AD26" s="375">
        <f>+'9.1'!K26/'8.1'!K26/10</f>
        <v>6.7174837111051291</v>
      </c>
      <c r="AE26" s="767">
        <f t="shared" si="2"/>
        <v>-4.7434641645693887E-4</v>
      </c>
      <c r="AF26" s="767">
        <f t="shared" si="3"/>
        <v>-5.3804495997766821E-4</v>
      </c>
      <c r="AG26" s="767">
        <f t="shared" si="4"/>
        <v>0</v>
      </c>
      <c r="AH26" s="767">
        <f t="shared" si="5"/>
        <v>-6.8150681722478623E-4</v>
      </c>
      <c r="AI26" s="767">
        <f t="shared" si="6"/>
        <v>-5.3804495997766821E-4</v>
      </c>
      <c r="AJ26" s="767">
        <f t="shared" si="7"/>
        <v>-2.1802217351307718E-4</v>
      </c>
      <c r="AK26" s="767">
        <f t="shared" si="8"/>
        <v>0</v>
      </c>
      <c r="AL26" s="767">
        <f t="shared" si="9"/>
        <v>0</v>
      </c>
      <c r="AM26" s="767">
        <f t="shared" si="10"/>
        <v>0</v>
      </c>
    </row>
    <row r="27" spans="1:39" ht="13" x14ac:dyDescent="0.3">
      <c r="A27" s="315"/>
      <c r="B27" s="578">
        <v>2014</v>
      </c>
      <c r="C27" s="660">
        <v>10.783932753718148</v>
      </c>
      <c r="D27" s="645">
        <v>13.430770769915773</v>
      </c>
      <c r="E27" s="646">
        <v>7.4662387275736695</v>
      </c>
      <c r="F27" s="689">
        <v>13.055566807850985</v>
      </c>
      <c r="G27" s="645">
        <v>13.430770769915773</v>
      </c>
      <c r="H27" s="646">
        <v>9.1953187125424662</v>
      </c>
      <c r="I27" s="690">
        <v>7.2263562019802494</v>
      </c>
      <c r="J27" s="691"/>
      <c r="K27" s="663">
        <v>7.2263562019802494</v>
      </c>
      <c r="L27" s="371"/>
      <c r="M27" s="371"/>
      <c r="N27" s="376">
        <v>2014</v>
      </c>
      <c r="O27" s="452">
        <f t="shared" si="1"/>
        <v>13.430770769915773</v>
      </c>
      <c r="P27" s="452">
        <f t="shared" si="1"/>
        <v>7.4662387275736695</v>
      </c>
      <c r="V27" s="375">
        <f>+'9.1'!C27/'8.1'!C27/10</f>
        <v>10.783932753718148</v>
      </c>
      <c r="W27" s="375">
        <f>+'9.1'!D27/'8.1'!D27/10</f>
        <v>13.430770769915773</v>
      </c>
      <c r="X27" s="375">
        <f>+'9.1'!E27/'8.1'!E27/10</f>
        <v>7.4662387275736695</v>
      </c>
      <c r="Y27" s="375">
        <f>+'9.1'!F27/'8.1'!F27/10</f>
        <v>13.055566807850985</v>
      </c>
      <c r="Z27" s="375">
        <f>+'9.1'!G27/'8.1'!G27/10</f>
        <v>13.430770769915773</v>
      </c>
      <c r="AA27" s="375">
        <f>+'9.1'!H27/'8.1'!H27/10</f>
        <v>9.1953187125424662</v>
      </c>
      <c r="AB27" s="375">
        <f>+'9.1'!I27/'8.1'!I27/10</f>
        <v>7.2263562019802494</v>
      </c>
      <c r="AC27" s="375"/>
      <c r="AD27" s="375">
        <f>+'9.1'!K27/'8.1'!K27/10</f>
        <v>7.2263562019802494</v>
      </c>
      <c r="AE27" s="768">
        <f>+V27-C27</f>
        <v>0</v>
      </c>
      <c r="AF27" s="768">
        <f t="shared" si="3"/>
        <v>0</v>
      </c>
      <c r="AG27" s="768">
        <f t="shared" si="4"/>
        <v>0</v>
      </c>
      <c r="AH27" s="768">
        <f t="shared" si="5"/>
        <v>0</v>
      </c>
      <c r="AI27" s="768">
        <f t="shared" si="6"/>
        <v>0</v>
      </c>
      <c r="AJ27" s="768">
        <f t="shared" si="7"/>
        <v>0</v>
      </c>
      <c r="AK27" s="768">
        <f t="shared" si="8"/>
        <v>0</v>
      </c>
      <c r="AL27" s="768">
        <f t="shared" si="9"/>
        <v>0</v>
      </c>
      <c r="AM27" s="768">
        <f>+AD27-K27</f>
        <v>0</v>
      </c>
    </row>
    <row r="28" spans="1:39" ht="13" x14ac:dyDescent="0.3">
      <c r="B28" s="647">
        <v>2015</v>
      </c>
      <c r="C28" s="648">
        <v>10.487586707134374</v>
      </c>
      <c r="D28" s="649">
        <v>13.400105420992441</v>
      </c>
      <c r="E28" s="650">
        <v>7.0634526891124212</v>
      </c>
      <c r="F28" s="651">
        <v>12.999782664016829</v>
      </c>
      <c r="G28" s="649">
        <v>13.400105420992441</v>
      </c>
      <c r="H28" s="650">
        <v>8.699799997601172</v>
      </c>
      <c r="I28" s="652">
        <v>6.8623379076341848</v>
      </c>
      <c r="J28" s="653"/>
      <c r="K28" s="654">
        <v>6.8623379076341848</v>
      </c>
      <c r="L28" s="371"/>
      <c r="M28" s="371"/>
      <c r="N28" s="376">
        <v>2015</v>
      </c>
      <c r="O28" s="452">
        <f t="shared" si="1"/>
        <v>13.400105420992441</v>
      </c>
      <c r="P28" s="452">
        <f t="shared" si="1"/>
        <v>7.0634526891124212</v>
      </c>
      <c r="V28" s="375">
        <f>+'9.1'!C28/'8.1'!C28/10</f>
        <v>10.487586707134374</v>
      </c>
      <c r="W28" s="375">
        <f>+'9.1'!D28/'8.1'!D28/10</f>
        <v>13.400105420992441</v>
      </c>
      <c r="X28" s="375">
        <f>+'9.1'!E28/'8.1'!E28/10</f>
        <v>7.0634526891124212</v>
      </c>
      <c r="Y28" s="375">
        <f>+'9.1'!F28/'8.1'!F28/10</f>
        <v>12.999782664016829</v>
      </c>
      <c r="Z28" s="375">
        <f>+'9.1'!G28/'8.1'!G28/10</f>
        <v>13.400105420992441</v>
      </c>
      <c r="AA28" s="375">
        <f>+'9.1'!H28/'8.1'!H28/10</f>
        <v>8.699799997601172</v>
      </c>
      <c r="AB28" s="375">
        <f>+'9.1'!I28/'8.1'!I28/10</f>
        <v>6.8623379076341848</v>
      </c>
      <c r="AC28" s="375"/>
      <c r="AD28" s="375">
        <f>+'9.1'!K28/'8.1'!K28/10</f>
        <v>6.8623379076341848</v>
      </c>
      <c r="AE28" s="767">
        <f t="shared" ref="AE28:AE33" si="14">+V28-C28</f>
        <v>0</v>
      </c>
      <c r="AF28" s="767">
        <f t="shared" ref="AF28:AF33" si="15">+W28-D28</f>
        <v>0</v>
      </c>
      <c r="AG28" s="767">
        <f t="shared" ref="AG28:AG33" si="16">+X28-E28</f>
        <v>0</v>
      </c>
      <c r="AH28" s="767">
        <f t="shared" ref="AH28:AH33" si="17">+Y28-F28</f>
        <v>0</v>
      </c>
      <c r="AI28" s="767">
        <f t="shared" ref="AI28:AI33" si="18">+Z28-G28</f>
        <v>0</v>
      </c>
      <c r="AJ28" s="767">
        <f t="shared" ref="AJ28:AJ33" si="19">+AA28-H28</f>
        <v>0</v>
      </c>
      <c r="AK28" s="767">
        <f t="shared" ref="AK28:AK33" si="20">+AB28-I28</f>
        <v>0</v>
      </c>
      <c r="AL28" s="767">
        <f t="shared" ref="AL28:AL33" si="21">+AC28-J28</f>
        <v>0</v>
      </c>
      <c r="AM28" s="767">
        <f t="shared" ref="AM28:AM33" si="22">+AD28-K28</f>
        <v>0</v>
      </c>
    </row>
    <row r="29" spans="1:39" ht="13" x14ac:dyDescent="0.3">
      <c r="B29" s="446">
        <v>2016</v>
      </c>
      <c r="C29" s="637">
        <v>10.260005411433577</v>
      </c>
      <c r="D29" s="638">
        <v>14.126765809264077</v>
      </c>
      <c r="E29" s="639">
        <v>6.6744810766796219</v>
      </c>
      <c r="F29" s="640">
        <v>13.579918199627537</v>
      </c>
      <c r="G29" s="645">
        <v>14.126765809264077</v>
      </c>
      <c r="H29" s="646">
        <v>7.9345181325819754</v>
      </c>
      <c r="I29" s="641">
        <v>6.5501346167219952</v>
      </c>
      <c r="J29" s="643"/>
      <c r="K29" s="642">
        <v>6.5501346167219952</v>
      </c>
      <c r="L29" s="371"/>
      <c r="M29" s="371"/>
      <c r="N29" s="376">
        <v>2016</v>
      </c>
      <c r="O29" s="452">
        <f t="shared" si="1"/>
        <v>14.126765809264077</v>
      </c>
      <c r="P29" s="452">
        <f t="shared" si="1"/>
        <v>6.6744810766796219</v>
      </c>
      <c r="V29" s="375">
        <f>+'9.1'!C29/'8.1'!C29/10</f>
        <v>10.260005411433577</v>
      </c>
      <c r="W29" s="375">
        <f>+'9.1'!D29/'8.1'!D29/10</f>
        <v>14.126765809264077</v>
      </c>
      <c r="X29" s="375">
        <f>+'9.1'!E29/'8.1'!E29/10</f>
        <v>6.6744810766796219</v>
      </c>
      <c r="Y29" s="375">
        <f>+'9.1'!F29/'8.1'!F29/10</f>
        <v>13.579918199627537</v>
      </c>
      <c r="Z29" s="375">
        <f>+'9.1'!G29/'8.1'!G29/10</f>
        <v>14.126765809264077</v>
      </c>
      <c r="AA29" s="375">
        <f>+'9.1'!H29/'8.1'!H29/10</f>
        <v>7.9345181325819754</v>
      </c>
      <c r="AB29" s="375">
        <f>+'9.1'!I29/'8.1'!I29/10</f>
        <v>6.5501346167219952</v>
      </c>
      <c r="AC29" s="375"/>
      <c r="AD29" s="375">
        <f>+'9.1'!K29/'8.1'!K29/10</f>
        <v>6.5501346167219952</v>
      </c>
      <c r="AE29" s="767">
        <f t="shared" si="14"/>
        <v>0</v>
      </c>
      <c r="AF29" s="767">
        <f t="shared" si="15"/>
        <v>0</v>
      </c>
      <c r="AG29" s="767">
        <f t="shared" si="16"/>
        <v>0</v>
      </c>
      <c r="AH29" s="767">
        <f t="shared" si="17"/>
        <v>0</v>
      </c>
      <c r="AI29" s="767">
        <f t="shared" si="18"/>
        <v>0</v>
      </c>
      <c r="AJ29" s="767">
        <f t="shared" si="19"/>
        <v>0</v>
      </c>
      <c r="AK29" s="767">
        <f t="shared" si="20"/>
        <v>0</v>
      </c>
      <c r="AL29" s="767">
        <f t="shared" si="21"/>
        <v>0</v>
      </c>
      <c r="AM29" s="767">
        <f t="shared" si="22"/>
        <v>0</v>
      </c>
    </row>
    <row r="30" spans="1:39" ht="13" x14ac:dyDescent="0.3">
      <c r="B30" s="647">
        <v>2017</v>
      </c>
      <c r="C30" s="648">
        <v>10.129734655357586</v>
      </c>
      <c r="D30" s="649">
        <v>14.975888443120288</v>
      </c>
      <c r="E30" s="650">
        <v>6.3193218652866925</v>
      </c>
      <c r="F30" s="651">
        <v>13.997247654672242</v>
      </c>
      <c r="G30" s="649">
        <v>14.975888443120288</v>
      </c>
      <c r="H30" s="650">
        <v>7.5032824093331625</v>
      </c>
      <c r="I30" s="652">
        <v>6.1601746495097016</v>
      </c>
      <c r="J30" s="653"/>
      <c r="K30" s="654">
        <v>6.1601746495097016</v>
      </c>
      <c r="L30" s="371"/>
      <c r="M30" s="371"/>
      <c r="N30" s="376">
        <v>2017</v>
      </c>
      <c r="O30" s="452">
        <f t="shared" si="1"/>
        <v>14.975888443120288</v>
      </c>
      <c r="P30" s="452">
        <f t="shared" si="1"/>
        <v>6.3193218652866925</v>
      </c>
      <c r="V30" s="375">
        <f>+'9.1'!C30/'8.1'!C30/10</f>
        <v>10.129734655357586</v>
      </c>
      <c r="W30" s="375">
        <f>+'9.1'!D30/'8.1'!D30/10</f>
        <v>14.975888443120288</v>
      </c>
      <c r="X30" s="375">
        <f>+'9.1'!E30/'8.1'!E30/10</f>
        <v>6.3193218652866925</v>
      </c>
      <c r="Y30" s="375">
        <f>+'9.1'!F30/'8.1'!F30/10</f>
        <v>13.997247654672242</v>
      </c>
      <c r="Z30" s="375">
        <f>+'9.1'!G30/'8.1'!G30/10</f>
        <v>14.975888443120288</v>
      </c>
      <c r="AA30" s="375">
        <f>+'9.1'!H30/'8.1'!H30/10</f>
        <v>7.5032824093331625</v>
      </c>
      <c r="AB30" s="375">
        <f>+'9.1'!I30/'8.1'!I30/10</f>
        <v>6.1601746495097016</v>
      </c>
      <c r="AC30" s="375"/>
      <c r="AD30" s="375">
        <f>+'9.1'!K30/'8.1'!K30/10</f>
        <v>6.1601746495097016</v>
      </c>
      <c r="AE30" s="767">
        <f t="shared" si="14"/>
        <v>0</v>
      </c>
      <c r="AF30" s="767">
        <f t="shared" si="15"/>
        <v>0</v>
      </c>
      <c r="AG30" s="767">
        <f t="shared" si="16"/>
        <v>0</v>
      </c>
      <c r="AH30" s="767">
        <f t="shared" si="17"/>
        <v>0</v>
      </c>
      <c r="AI30" s="767">
        <f t="shared" si="18"/>
        <v>0</v>
      </c>
      <c r="AJ30" s="767">
        <f t="shared" si="19"/>
        <v>0</v>
      </c>
      <c r="AK30" s="767">
        <f t="shared" si="20"/>
        <v>0</v>
      </c>
      <c r="AL30" s="767">
        <f t="shared" si="21"/>
        <v>0</v>
      </c>
      <c r="AM30" s="767">
        <f t="shared" si="22"/>
        <v>0</v>
      </c>
    </row>
    <row r="31" spans="1:39" ht="13" x14ac:dyDescent="0.3">
      <c r="B31" s="446">
        <v>2018</v>
      </c>
      <c r="C31" s="637">
        <v>10.317820651839243</v>
      </c>
      <c r="D31" s="638">
        <v>15.917877337998695</v>
      </c>
      <c r="E31" s="639">
        <v>6.3039862385552148</v>
      </c>
      <c r="F31" s="640">
        <v>14.778011489254931</v>
      </c>
      <c r="G31" s="645">
        <v>15.917877337998695</v>
      </c>
      <c r="H31" s="646">
        <v>7.3125227943033808</v>
      </c>
      <c r="I31" s="641">
        <v>6.1800525650170997</v>
      </c>
      <c r="J31" s="643"/>
      <c r="K31" s="642">
        <v>6.1800525650170997</v>
      </c>
      <c r="L31" s="371"/>
      <c r="M31" s="371"/>
      <c r="N31" s="376">
        <v>2018</v>
      </c>
      <c r="O31" s="452">
        <f t="shared" si="1"/>
        <v>15.917877337998695</v>
      </c>
      <c r="P31" s="452">
        <f t="shared" si="1"/>
        <v>6.3039862385552148</v>
      </c>
      <c r="V31" s="375">
        <f>+'9.1'!C31/'8.1'!C31/10</f>
        <v>10.317820651839243</v>
      </c>
      <c r="W31" s="375">
        <f>+'9.1'!D31/'8.1'!D31/10</f>
        <v>15.917877337998695</v>
      </c>
      <c r="X31" s="375">
        <f>+'9.1'!E31/'8.1'!E31/10</f>
        <v>6.3039862385552148</v>
      </c>
      <c r="Y31" s="375">
        <f>+'9.1'!F31/'8.1'!F31/10</f>
        <v>14.778011489254931</v>
      </c>
      <c r="Z31" s="375">
        <f>+'9.1'!G31/'8.1'!G31/10</f>
        <v>15.917877337998695</v>
      </c>
      <c r="AA31" s="375">
        <f>+'9.1'!H31/'8.1'!H31/10</f>
        <v>7.3125227943033808</v>
      </c>
      <c r="AB31" s="375">
        <f>+'9.1'!I31/'8.1'!I31/10</f>
        <v>6.1800525650170997</v>
      </c>
      <c r="AC31" s="375"/>
      <c r="AD31" s="375">
        <f>+'9.1'!K31/'8.1'!K31/10</f>
        <v>6.1800525650170997</v>
      </c>
      <c r="AE31" s="767">
        <f t="shared" si="14"/>
        <v>0</v>
      </c>
      <c r="AF31" s="767">
        <f t="shared" si="15"/>
        <v>0</v>
      </c>
      <c r="AG31" s="767">
        <f t="shared" si="16"/>
        <v>0</v>
      </c>
      <c r="AH31" s="767">
        <f t="shared" si="17"/>
        <v>0</v>
      </c>
      <c r="AI31" s="767">
        <f t="shared" si="18"/>
        <v>0</v>
      </c>
      <c r="AJ31" s="767">
        <f t="shared" si="19"/>
        <v>0</v>
      </c>
      <c r="AK31" s="767">
        <f t="shared" si="20"/>
        <v>0</v>
      </c>
      <c r="AL31" s="767">
        <f t="shared" si="21"/>
        <v>0</v>
      </c>
      <c r="AM31" s="767">
        <f t="shared" si="22"/>
        <v>0</v>
      </c>
    </row>
    <row r="32" spans="1:39" ht="13" x14ac:dyDescent="0.3">
      <c r="B32" s="647">
        <v>2019</v>
      </c>
      <c r="C32" s="648">
        <v>10.40200860113838</v>
      </c>
      <c r="D32" s="649">
        <v>16.466857229914666</v>
      </c>
      <c r="E32" s="650">
        <v>6.2981424195116817</v>
      </c>
      <c r="F32" s="651">
        <v>15.165939479888857</v>
      </c>
      <c r="G32" s="649">
        <v>16.466857229914666</v>
      </c>
      <c r="H32" s="650">
        <v>7.426950580423096</v>
      </c>
      <c r="I32" s="652">
        <v>6.1532648604060309</v>
      </c>
      <c r="J32" s="653"/>
      <c r="K32" s="654">
        <v>6.1532648604060309</v>
      </c>
      <c r="L32" s="371"/>
      <c r="M32" s="371"/>
      <c r="N32" s="376">
        <v>2019</v>
      </c>
      <c r="O32" s="452">
        <f t="shared" si="1"/>
        <v>16.466857229914666</v>
      </c>
      <c r="P32" s="452">
        <f t="shared" si="1"/>
        <v>6.2981424195116817</v>
      </c>
      <c r="V32" s="375">
        <f>+'9.1'!C32/'8.1'!C32/10</f>
        <v>10.40200860113838</v>
      </c>
      <c r="W32" s="375">
        <f>+'9.1'!D32/'8.1'!D32/10</f>
        <v>16.466857229914666</v>
      </c>
      <c r="X32" s="375">
        <f>+'9.1'!E32/'8.1'!E32/10</f>
        <v>6.2981424195116817</v>
      </c>
      <c r="Y32" s="375">
        <f>+'9.1'!F32/'8.1'!F32/10</f>
        <v>15.165939479888857</v>
      </c>
      <c r="Z32" s="375">
        <f>+'9.1'!G32/'8.1'!G32/10</f>
        <v>16.466857229914666</v>
      </c>
      <c r="AA32" s="375">
        <f>+'9.1'!H32/'8.1'!H32/10</f>
        <v>7.426950580423096</v>
      </c>
      <c r="AB32" s="375">
        <f>+'9.1'!I32/'8.1'!I32/10</f>
        <v>6.1532648604060309</v>
      </c>
      <c r="AC32" s="375"/>
      <c r="AD32" s="375">
        <f>+'9.1'!K32/'8.1'!K32/10</f>
        <v>6.1532648604060309</v>
      </c>
      <c r="AE32" s="767">
        <f t="shared" si="14"/>
        <v>0</v>
      </c>
      <c r="AF32" s="767">
        <f t="shared" si="15"/>
        <v>0</v>
      </c>
      <c r="AG32" s="767">
        <f t="shared" si="16"/>
        <v>0</v>
      </c>
      <c r="AH32" s="767">
        <f t="shared" si="17"/>
        <v>0</v>
      </c>
      <c r="AI32" s="767">
        <f t="shared" si="18"/>
        <v>0</v>
      </c>
      <c r="AJ32" s="767">
        <f t="shared" si="19"/>
        <v>0</v>
      </c>
      <c r="AK32" s="767">
        <f t="shared" si="20"/>
        <v>0</v>
      </c>
      <c r="AL32" s="767">
        <f t="shared" si="21"/>
        <v>0</v>
      </c>
      <c r="AM32" s="767">
        <f t="shared" si="22"/>
        <v>0</v>
      </c>
    </row>
    <row r="33" spans="1:39" ht="13" x14ac:dyDescent="0.3">
      <c r="B33" s="446">
        <v>2020</v>
      </c>
      <c r="C33" s="637">
        <v>10.472992945162066</v>
      </c>
      <c r="D33" s="638">
        <v>16.561452481763062</v>
      </c>
      <c r="E33" s="639">
        <v>6.2596325281027401</v>
      </c>
      <c r="F33" s="640">
        <v>15.208785705234135</v>
      </c>
      <c r="G33" s="645">
        <v>16.561452481763062</v>
      </c>
      <c r="H33" s="646">
        <v>7.1393918028486878</v>
      </c>
      <c r="I33" s="641">
        <v>6.1441850626066676</v>
      </c>
      <c r="J33" s="643"/>
      <c r="K33" s="642">
        <v>6.1441850626066676</v>
      </c>
      <c r="L33" s="371"/>
      <c r="M33" s="371"/>
      <c r="N33" s="376">
        <v>2020</v>
      </c>
      <c r="O33" s="452">
        <f t="shared" si="1"/>
        <v>16.561452481763062</v>
      </c>
      <c r="P33" s="452">
        <f t="shared" si="1"/>
        <v>6.2596325281027401</v>
      </c>
      <c r="V33" s="375">
        <f>+'9.1'!C33/'8.1'!C33/10</f>
        <v>10.472992945162066</v>
      </c>
      <c r="W33" s="375">
        <f>+'9.1'!D33/'8.1'!D33/10</f>
        <v>16.561452481763062</v>
      </c>
      <c r="X33" s="375">
        <f>+'9.1'!E33/'8.1'!E33/10</f>
        <v>6.2596325281027401</v>
      </c>
      <c r="Y33" s="375">
        <f>+'9.1'!F33/'8.1'!F33/10</f>
        <v>15.208785705234135</v>
      </c>
      <c r="Z33" s="375">
        <f>+'9.1'!G33/'8.1'!G33/10</f>
        <v>16.561452481763062</v>
      </c>
      <c r="AA33" s="375">
        <f>+'9.1'!H33/'8.1'!H33/10</f>
        <v>7.1393918028486878</v>
      </c>
      <c r="AB33" s="375">
        <f>+'9.1'!I33/'8.1'!I33/10</f>
        <v>6.1441850626066676</v>
      </c>
      <c r="AC33" s="375"/>
      <c r="AD33" s="375">
        <f>+'9.1'!K33/'8.1'!K33/10</f>
        <v>6.1441850626066676</v>
      </c>
      <c r="AE33" s="767">
        <f t="shared" si="14"/>
        <v>0</v>
      </c>
      <c r="AF33" s="767">
        <f t="shared" si="15"/>
        <v>0</v>
      </c>
      <c r="AG33" s="767">
        <f t="shared" si="16"/>
        <v>0</v>
      </c>
      <c r="AH33" s="767">
        <f t="shared" si="17"/>
        <v>0</v>
      </c>
      <c r="AI33" s="767">
        <f t="shared" si="18"/>
        <v>0</v>
      </c>
      <c r="AJ33" s="767">
        <f t="shared" si="19"/>
        <v>0</v>
      </c>
      <c r="AK33" s="767">
        <f t="shared" si="20"/>
        <v>0</v>
      </c>
      <c r="AL33" s="767">
        <f t="shared" si="21"/>
        <v>0</v>
      </c>
      <c r="AM33" s="767">
        <f t="shared" si="22"/>
        <v>0</v>
      </c>
    </row>
    <row r="34" spans="1:39" ht="13" x14ac:dyDescent="0.3">
      <c r="B34" s="647">
        <v>2021</v>
      </c>
      <c r="C34" s="648">
        <v>9.9533682832236288</v>
      </c>
      <c r="D34" s="649">
        <v>16.370746357516783</v>
      </c>
      <c r="E34" s="650">
        <v>5.9812139664453019</v>
      </c>
      <c r="F34" s="651">
        <v>14.789460652520393</v>
      </c>
      <c r="G34" s="649">
        <v>16.370746357516783</v>
      </c>
      <c r="H34" s="650">
        <v>6.6909688967573455</v>
      </c>
      <c r="I34" s="652">
        <v>5.8836422426445072</v>
      </c>
      <c r="J34" s="653"/>
      <c r="K34" s="654">
        <v>5.8836422426445072</v>
      </c>
      <c r="L34" s="371"/>
      <c r="M34" s="371"/>
      <c r="N34" s="376">
        <v>2021</v>
      </c>
      <c r="O34" s="452">
        <f t="shared" ref="O34:O35" si="23">+D34</f>
        <v>16.370746357516783</v>
      </c>
      <c r="P34" s="452">
        <f t="shared" ref="P34:P35" si="24">+E34</f>
        <v>5.9812139664453019</v>
      </c>
      <c r="V34" s="375">
        <f>+'9.1'!C34/'8.1'!C34/10</f>
        <v>9.9533682832236288</v>
      </c>
      <c r="W34" s="375">
        <f>+'9.1'!D34/'8.1'!D34/10</f>
        <v>16.370746357516783</v>
      </c>
      <c r="X34" s="375">
        <f>+'9.1'!E34/'8.1'!E34/10</f>
        <v>5.9812139664453019</v>
      </c>
      <c r="Y34" s="375">
        <f>+'9.1'!F34/'8.1'!F34/10</f>
        <v>14.789460652520393</v>
      </c>
      <c r="Z34" s="375">
        <f>+'9.1'!G34/'8.1'!G34/10</f>
        <v>16.370746357516783</v>
      </c>
      <c r="AA34" s="375">
        <f>+'9.1'!H34/'8.1'!H34/10</f>
        <v>6.6909688967573455</v>
      </c>
      <c r="AB34" s="375">
        <f>+'9.1'!I34/'8.1'!I34/10</f>
        <v>5.8836422426445072</v>
      </c>
      <c r="AC34" s="375"/>
      <c r="AD34" s="375">
        <f>+'9.1'!K34/'8.1'!K34/10</f>
        <v>5.8836422426445072</v>
      </c>
      <c r="AE34" s="767">
        <f t="shared" ref="AE34:AE35" si="25">+V34-C34</f>
        <v>0</v>
      </c>
      <c r="AF34" s="767">
        <f t="shared" ref="AF34:AF35" si="26">+W34-D34</f>
        <v>0</v>
      </c>
      <c r="AG34" s="767">
        <f t="shared" ref="AG34:AG35" si="27">+X34-E34</f>
        <v>0</v>
      </c>
      <c r="AH34" s="767">
        <f t="shared" ref="AH34:AH35" si="28">+Y34-F34</f>
        <v>0</v>
      </c>
      <c r="AI34" s="767">
        <f t="shared" ref="AI34:AI35" si="29">+Z34-G34</f>
        <v>0</v>
      </c>
      <c r="AJ34" s="767">
        <f t="shared" ref="AJ34:AJ35" si="30">+AA34-H34</f>
        <v>0</v>
      </c>
      <c r="AK34" s="767">
        <f t="shared" ref="AK34:AK35" si="31">+AB34-I34</f>
        <v>0</v>
      </c>
      <c r="AL34" s="767">
        <f t="shared" ref="AL34:AL35" si="32">+AC34-J34</f>
        <v>0</v>
      </c>
      <c r="AM34" s="767">
        <f t="shared" ref="AM34:AM35" si="33">+AD34-K34</f>
        <v>0</v>
      </c>
    </row>
    <row r="35" spans="1:39" ht="13.5" thickBot="1" x14ac:dyDescent="0.35">
      <c r="B35" s="979">
        <v>2022</v>
      </c>
      <c r="C35" s="637">
        <v>10.924312950944104</v>
      </c>
      <c r="D35" s="638">
        <v>18.234818418721542</v>
      </c>
      <c r="E35" s="639">
        <v>6.6388814925175037</v>
      </c>
      <c r="F35" s="640">
        <v>16.347425421378755</v>
      </c>
      <c r="G35" s="645">
        <v>18.234818418721542</v>
      </c>
      <c r="H35" s="646">
        <v>7.5867472729989558</v>
      </c>
      <c r="I35" s="641">
        <v>6.5018716699778647</v>
      </c>
      <c r="J35" s="643"/>
      <c r="K35" s="642">
        <v>6.5018716699778647</v>
      </c>
      <c r="L35" s="371"/>
      <c r="M35" s="371"/>
      <c r="N35" s="376">
        <v>2022</v>
      </c>
      <c r="O35" s="452">
        <f t="shared" si="23"/>
        <v>18.234818418721542</v>
      </c>
      <c r="P35" s="452">
        <f t="shared" si="24"/>
        <v>6.6388814925175037</v>
      </c>
      <c r="V35" s="375">
        <f>+'9.1'!C35/'8.1'!C35/10</f>
        <v>10.924312950944104</v>
      </c>
      <c r="W35" s="375">
        <f>+'9.1'!D35/'8.1'!D35/10</f>
        <v>18.234818418721542</v>
      </c>
      <c r="X35" s="375">
        <f>+'9.1'!E35/'8.1'!E35/10</f>
        <v>6.6388814925175037</v>
      </c>
      <c r="Y35" s="375">
        <f>+'9.1'!F35/'8.1'!F35/10</f>
        <v>16.347425421378755</v>
      </c>
      <c r="Z35" s="375">
        <f>+'9.1'!G35/'8.1'!G35/10</f>
        <v>18.234818418721542</v>
      </c>
      <c r="AA35" s="375">
        <f>+'9.1'!H35/'8.1'!H35/10</f>
        <v>7.5867472729989558</v>
      </c>
      <c r="AB35" s="375">
        <f>+'9.1'!I35/'8.1'!I35/10</f>
        <v>6.5018716699778647</v>
      </c>
      <c r="AC35" s="375"/>
      <c r="AD35" s="375">
        <f>+'9.1'!K35/'8.1'!K35/10</f>
        <v>6.5018716699778647</v>
      </c>
      <c r="AE35" s="767">
        <f t="shared" si="25"/>
        <v>0</v>
      </c>
      <c r="AF35" s="767">
        <f t="shared" si="26"/>
        <v>0</v>
      </c>
      <c r="AG35" s="767">
        <f t="shared" si="27"/>
        <v>0</v>
      </c>
      <c r="AH35" s="767">
        <f t="shared" si="28"/>
        <v>0</v>
      </c>
      <c r="AI35" s="767">
        <f t="shared" si="29"/>
        <v>0</v>
      </c>
      <c r="AJ35" s="767">
        <f t="shared" si="30"/>
        <v>0</v>
      </c>
      <c r="AK35" s="767">
        <f t="shared" si="31"/>
        <v>0</v>
      </c>
      <c r="AL35" s="767">
        <f t="shared" si="32"/>
        <v>0</v>
      </c>
      <c r="AM35" s="767">
        <f t="shared" si="33"/>
        <v>0</v>
      </c>
    </row>
    <row r="36" spans="1:39" s="493" customFormat="1" ht="18.75" customHeight="1" x14ac:dyDescent="0.25">
      <c r="A36" s="492"/>
      <c r="B36" s="755" t="s">
        <v>161</v>
      </c>
      <c r="C36" s="944">
        <f>(C35/C34)-1</f>
        <v>9.754935616689675E-2</v>
      </c>
      <c r="D36" s="862">
        <f t="shared" ref="D36:I36" si="34">(D35/D34)-1</f>
        <v>0.11386604009956169</v>
      </c>
      <c r="E36" s="931">
        <f t="shared" si="34"/>
        <v>0.10995552571128986</v>
      </c>
      <c r="F36" s="944">
        <f t="shared" si="34"/>
        <v>0.1053429063752136</v>
      </c>
      <c r="G36" s="862">
        <f t="shared" si="34"/>
        <v>0.11386604009956169</v>
      </c>
      <c r="H36" s="931">
        <f t="shared" si="34"/>
        <v>0.13387872370408616</v>
      </c>
      <c r="I36" s="862">
        <f t="shared" si="34"/>
        <v>0.10507597196383633</v>
      </c>
      <c r="J36" s="862" t="s">
        <v>32</v>
      </c>
      <c r="K36" s="982">
        <f>(K35/K34)-1</f>
        <v>0.10507597196383633</v>
      </c>
    </row>
    <row r="37" spans="1:39" s="493" customFormat="1" ht="18.75" customHeight="1" x14ac:dyDescent="0.25">
      <c r="A37" s="492"/>
      <c r="B37" s="496" t="s">
        <v>162</v>
      </c>
      <c r="C37" s="707">
        <f>((C35/C30)^(1/5))-1</f>
        <v>1.5217774308454279E-2</v>
      </c>
      <c r="D37" s="945">
        <f t="shared" ref="D37:I37" si="35">((D35/D30)^(1/5))-1</f>
        <v>4.0163881537703228E-2</v>
      </c>
      <c r="E37" s="946">
        <f t="shared" si="35"/>
        <v>9.9151519503346552E-3</v>
      </c>
      <c r="F37" s="707">
        <f t="shared" si="35"/>
        <v>3.1528766155806354E-2</v>
      </c>
      <c r="G37" s="945">
        <f t="shared" si="35"/>
        <v>4.0163881537703228E-2</v>
      </c>
      <c r="H37" s="946">
        <f t="shared" si="35"/>
        <v>2.2149225033312181E-3</v>
      </c>
      <c r="I37" s="945">
        <f t="shared" si="35"/>
        <v>1.0855488920676892E-2</v>
      </c>
      <c r="J37" s="945" t="s">
        <v>32</v>
      </c>
      <c r="K37" s="981">
        <f>((K35/K30)^(1/5))-1</f>
        <v>1.0855488920676892E-2</v>
      </c>
    </row>
    <row r="38" spans="1:39" s="493" customFormat="1" ht="18.75" customHeight="1" x14ac:dyDescent="0.25">
      <c r="A38" s="492"/>
      <c r="B38" s="495" t="s">
        <v>163</v>
      </c>
      <c r="C38" s="710">
        <f>(C35/C25)-1</f>
        <v>0.11418408745129205</v>
      </c>
      <c r="D38" s="940">
        <f t="shared" ref="D38:I38" si="36">(D35/D25)-1</f>
        <v>0.49446892163158229</v>
      </c>
      <c r="E38" s="939">
        <f t="shared" si="36"/>
        <v>-1.0616525803215371E-2</v>
      </c>
      <c r="F38" s="710">
        <f t="shared" si="36"/>
        <v>0.38383392508207503</v>
      </c>
      <c r="G38" s="940">
        <f t="shared" si="36"/>
        <v>0.49446892163158229</v>
      </c>
      <c r="H38" s="939">
        <f t="shared" si="36"/>
        <v>-6.3726395781268597E-2</v>
      </c>
      <c r="I38" s="1203">
        <f t="shared" si="36"/>
        <v>1.4597113960652663E-3</v>
      </c>
      <c r="J38" s="940" t="s">
        <v>32</v>
      </c>
      <c r="K38" s="1204">
        <f>(K35/K25)-1</f>
        <v>1.4597113960652663E-3</v>
      </c>
    </row>
    <row r="39" spans="1:39" s="492" customFormat="1" ht="18" customHeight="1" thickBot="1" x14ac:dyDescent="0.3">
      <c r="B39" s="911" t="s">
        <v>164</v>
      </c>
      <c r="C39" s="947">
        <f>((C35/C25)^(1/10))-1</f>
        <v>1.0870901170292102E-2</v>
      </c>
      <c r="D39" s="870">
        <f t="shared" ref="D39:I39" si="37">((D35/D25)^(1/10))-1</f>
        <v>4.0995108460351704E-2</v>
      </c>
      <c r="E39" s="948">
        <f t="shared" si="37"/>
        <v>-1.0667589258733789E-3</v>
      </c>
      <c r="F39" s="947">
        <f t="shared" si="37"/>
        <v>3.3019209050397347E-2</v>
      </c>
      <c r="G39" s="870">
        <f t="shared" si="37"/>
        <v>4.0995108460351704E-2</v>
      </c>
      <c r="H39" s="948">
        <f t="shared" si="37"/>
        <v>-6.5631213204323524E-3</v>
      </c>
      <c r="I39" s="949">
        <f t="shared" si="37"/>
        <v>1.4587534407484171E-4</v>
      </c>
      <c r="J39" s="870" t="s">
        <v>32</v>
      </c>
      <c r="K39" s="1205">
        <f>((K35/K25)^(1/10))-1</f>
        <v>1.4587534407484171E-4</v>
      </c>
      <c r="V39" s="493"/>
      <c r="W39" s="493"/>
    </row>
    <row r="40" spans="1:39" s="333" customFormat="1" x14ac:dyDescent="0.25">
      <c r="C40" s="498"/>
    </row>
    <row r="41" spans="1:39" s="333" customFormat="1" x14ac:dyDescent="0.25">
      <c r="B41" s="388"/>
      <c r="O41" s="333" t="s">
        <v>56</v>
      </c>
      <c r="P41" s="333" t="s">
        <v>54</v>
      </c>
    </row>
    <row r="42" spans="1:39" s="333" customFormat="1" x14ac:dyDescent="0.25">
      <c r="O42" s="499"/>
      <c r="P42" s="499"/>
    </row>
    <row r="43" spans="1:39" s="333" customFormat="1" x14ac:dyDescent="0.25">
      <c r="B43" s="390"/>
      <c r="C43" s="390"/>
      <c r="D43" s="390"/>
      <c r="E43" s="390"/>
      <c r="F43" s="390"/>
      <c r="G43" s="390"/>
      <c r="H43" s="390"/>
      <c r="I43" s="390"/>
      <c r="J43" s="390"/>
      <c r="K43" s="390"/>
      <c r="O43" s="499"/>
      <c r="P43" s="499"/>
      <c r="S43" s="333" t="s">
        <v>56</v>
      </c>
      <c r="T43" s="333" t="s">
        <v>54</v>
      </c>
    </row>
    <row r="44" spans="1:39" s="333" customFormat="1" x14ac:dyDescent="0.25">
      <c r="N44" s="333">
        <v>1995</v>
      </c>
      <c r="O44" s="499">
        <f t="shared" ref="O44:O69" si="38">+F8</f>
        <v>8.9555606852646115</v>
      </c>
      <c r="P44" s="499">
        <f t="shared" ref="P44:P69" si="39">+I8</f>
        <v>4.2445573090579085</v>
      </c>
      <c r="R44" s="315">
        <f>+N44</f>
        <v>1995</v>
      </c>
      <c r="S44" s="822">
        <f>+O44</f>
        <v>8.9555606852646115</v>
      </c>
      <c r="T44" s="822">
        <f>+P44</f>
        <v>4.2445573090579085</v>
      </c>
    </row>
    <row r="45" spans="1:39" s="333" customFormat="1" x14ac:dyDescent="0.25">
      <c r="N45" s="333">
        <v>1996</v>
      </c>
      <c r="O45" s="499">
        <f t="shared" si="38"/>
        <v>9.3774573213785253</v>
      </c>
      <c r="P45" s="499">
        <f t="shared" si="39"/>
        <v>4.5448535324028105</v>
      </c>
      <c r="R45" s="315">
        <f>+N49</f>
        <v>2000</v>
      </c>
      <c r="S45" s="132">
        <f>+O49</f>
        <v>8.0465527241033001</v>
      </c>
      <c r="T45" s="132">
        <f>+P49</f>
        <v>5.1647954842633439</v>
      </c>
    </row>
    <row r="46" spans="1:39" s="333" customFormat="1" x14ac:dyDescent="0.25">
      <c r="N46" s="333">
        <v>1997</v>
      </c>
      <c r="O46" s="499">
        <f t="shared" si="38"/>
        <v>9.1635885122824927</v>
      </c>
      <c r="P46" s="499">
        <f t="shared" si="39"/>
        <v>5.2121175208150961</v>
      </c>
      <c r="R46" s="315">
        <f>+N54</f>
        <v>2005</v>
      </c>
      <c r="S46" s="132">
        <f>+O54</f>
        <v>8.8884914595819442</v>
      </c>
      <c r="T46" s="132">
        <f>+P54</f>
        <v>5.5416076080909722</v>
      </c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</row>
    <row r="47" spans="1:39" s="333" customFormat="1" x14ac:dyDescent="0.25">
      <c r="N47" s="333">
        <v>1998</v>
      </c>
      <c r="O47" s="499">
        <f t="shared" si="38"/>
        <v>7.9571609356886182</v>
      </c>
      <c r="P47" s="499">
        <f t="shared" si="39"/>
        <v>4.8931747664703975</v>
      </c>
      <c r="R47" s="315">
        <f t="shared" ref="R47:R59" si="40">+N59</f>
        <v>2010</v>
      </c>
      <c r="S47" s="132">
        <f t="shared" ref="S47:S59" si="41">+O59</f>
        <v>10.118555763056673</v>
      </c>
      <c r="T47" s="132">
        <f t="shared" ref="T47:T59" si="42">+P59</f>
        <v>5.4037809461686521</v>
      </c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</row>
    <row r="48" spans="1:39" s="333" customFormat="1" x14ac:dyDescent="0.25">
      <c r="N48" s="333">
        <v>1999</v>
      </c>
      <c r="O48" s="499">
        <f t="shared" si="38"/>
        <v>7.6320210282889089</v>
      </c>
      <c r="P48" s="499">
        <f t="shared" si="39"/>
        <v>4.8616026075361827</v>
      </c>
      <c r="R48" s="315">
        <f t="shared" si="40"/>
        <v>2011</v>
      </c>
      <c r="S48" s="132">
        <f t="shared" si="41"/>
        <v>10.785558411402899</v>
      </c>
      <c r="T48" s="132">
        <f t="shared" si="42"/>
        <v>6.048703533336055</v>
      </c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</row>
    <row r="49" spans="14:31" s="333" customFormat="1" x14ac:dyDescent="0.25">
      <c r="N49" s="333">
        <v>2000</v>
      </c>
      <c r="O49" s="499">
        <f t="shared" si="38"/>
        <v>8.0465527241033001</v>
      </c>
      <c r="P49" s="499">
        <f t="shared" si="39"/>
        <v>5.1647954842633439</v>
      </c>
      <c r="R49" s="315">
        <f t="shared" si="40"/>
        <v>2012</v>
      </c>
      <c r="S49" s="132">
        <f t="shared" si="41"/>
        <v>11.813141103914758</v>
      </c>
      <c r="T49" s="132">
        <f t="shared" si="42"/>
        <v>6.4923946475231222</v>
      </c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</row>
    <row r="50" spans="14:31" s="333" customFormat="1" x14ac:dyDescent="0.25">
      <c r="N50" s="333">
        <v>2001</v>
      </c>
      <c r="O50" s="499">
        <f t="shared" si="38"/>
        <v>8.1980760639170676</v>
      </c>
      <c r="P50" s="499">
        <f t="shared" si="39"/>
        <v>4.5317559390314024</v>
      </c>
      <c r="R50" s="315">
        <f t="shared" si="40"/>
        <v>2013</v>
      </c>
      <c r="S50" s="132">
        <f t="shared" si="41"/>
        <v>11.933029674417638</v>
      </c>
      <c r="T50" s="132">
        <f t="shared" si="42"/>
        <v>6.7174837111051282</v>
      </c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</row>
    <row r="51" spans="14:31" s="333" customFormat="1" x14ac:dyDescent="0.25">
      <c r="N51" s="333">
        <v>2002</v>
      </c>
      <c r="O51" s="499">
        <f t="shared" si="38"/>
        <v>7.758352080828165</v>
      </c>
      <c r="P51" s="499">
        <f t="shared" si="39"/>
        <v>4.5417296862557039</v>
      </c>
      <c r="R51" s="315">
        <f t="shared" si="40"/>
        <v>2014</v>
      </c>
      <c r="S51" s="132">
        <f t="shared" si="41"/>
        <v>13.055566807850985</v>
      </c>
      <c r="T51" s="132">
        <f t="shared" si="42"/>
        <v>7.2263562019802494</v>
      </c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</row>
    <row r="52" spans="14:31" s="333" customFormat="1" x14ac:dyDescent="0.25">
      <c r="N52" s="333">
        <v>2003</v>
      </c>
      <c r="O52" s="499">
        <f t="shared" si="38"/>
        <v>7.971753161907678</v>
      </c>
      <c r="P52" s="499">
        <f t="shared" si="39"/>
        <v>4.4701131993241967</v>
      </c>
      <c r="R52" s="315">
        <f t="shared" si="40"/>
        <v>2015</v>
      </c>
      <c r="S52" s="132">
        <f t="shared" si="41"/>
        <v>12.999782664016829</v>
      </c>
      <c r="T52" s="132">
        <f t="shared" si="42"/>
        <v>6.8623379076341848</v>
      </c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</row>
    <row r="53" spans="14:31" s="333" customFormat="1" x14ac:dyDescent="0.25">
      <c r="N53" s="333">
        <v>2004</v>
      </c>
      <c r="O53" s="499">
        <f t="shared" si="38"/>
        <v>8.2230231770089492</v>
      </c>
      <c r="P53" s="499">
        <f t="shared" si="39"/>
        <v>5.1762271900611463</v>
      </c>
      <c r="R53" s="315">
        <f t="shared" si="40"/>
        <v>2016</v>
      </c>
      <c r="S53" s="132">
        <f t="shared" si="41"/>
        <v>13.579918199627537</v>
      </c>
      <c r="T53" s="132">
        <f t="shared" si="42"/>
        <v>6.5501346167219952</v>
      </c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</row>
    <row r="54" spans="14:31" s="333" customFormat="1" x14ac:dyDescent="0.25">
      <c r="N54" s="333">
        <v>2005</v>
      </c>
      <c r="O54" s="499">
        <f t="shared" si="38"/>
        <v>8.8884914595819442</v>
      </c>
      <c r="P54" s="499">
        <f t="shared" si="39"/>
        <v>5.5416076080909722</v>
      </c>
      <c r="R54" s="315">
        <f t="shared" si="40"/>
        <v>2017</v>
      </c>
      <c r="S54" s="132">
        <f t="shared" si="41"/>
        <v>13.997247654672242</v>
      </c>
      <c r="T54" s="132">
        <f t="shared" si="42"/>
        <v>6.1601746495097016</v>
      </c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</row>
    <row r="55" spans="14:31" s="333" customFormat="1" x14ac:dyDescent="0.25">
      <c r="N55" s="333">
        <v>2006</v>
      </c>
      <c r="O55" s="499">
        <f t="shared" si="38"/>
        <v>8.7043941840152215</v>
      </c>
      <c r="P55" s="499">
        <f t="shared" si="39"/>
        <v>5.5873349726099386</v>
      </c>
      <c r="R55" s="315">
        <f t="shared" si="40"/>
        <v>2018</v>
      </c>
      <c r="S55" s="132">
        <f t="shared" si="41"/>
        <v>14.778011489254931</v>
      </c>
      <c r="T55" s="132">
        <f t="shared" si="42"/>
        <v>6.1800525650170997</v>
      </c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</row>
    <row r="56" spans="14:31" s="333" customFormat="1" x14ac:dyDescent="0.25">
      <c r="N56" s="386">
        <v>2007</v>
      </c>
      <c r="O56" s="499">
        <f t="shared" si="38"/>
        <v>8.6843545064319656</v>
      </c>
      <c r="P56" s="499">
        <f t="shared" si="39"/>
        <v>5.4200951405339648</v>
      </c>
      <c r="R56" s="315">
        <f t="shared" si="40"/>
        <v>2019</v>
      </c>
      <c r="S56" s="132">
        <f t="shared" si="41"/>
        <v>15.165939479888857</v>
      </c>
      <c r="T56" s="132">
        <f t="shared" si="42"/>
        <v>6.1532648604060309</v>
      </c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</row>
    <row r="57" spans="14:31" s="333" customFormat="1" x14ac:dyDescent="0.25">
      <c r="N57" s="386">
        <v>2008</v>
      </c>
      <c r="O57" s="499">
        <f t="shared" si="38"/>
        <v>9.2102011270063144</v>
      </c>
      <c r="P57" s="499">
        <f t="shared" si="39"/>
        <v>6.703677483775019</v>
      </c>
      <c r="R57" s="315">
        <f t="shared" si="40"/>
        <v>2020</v>
      </c>
      <c r="S57" s="132">
        <f t="shared" si="41"/>
        <v>15.208785705234135</v>
      </c>
      <c r="T57" s="132">
        <f t="shared" si="42"/>
        <v>6.1441850626066676</v>
      </c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</row>
    <row r="58" spans="14:31" s="333" customFormat="1" x14ac:dyDescent="0.25">
      <c r="N58" s="386">
        <v>2009</v>
      </c>
      <c r="O58" s="499">
        <f t="shared" si="38"/>
        <v>9.8564664211322821</v>
      </c>
      <c r="P58" s="499">
        <f t="shared" si="39"/>
        <v>5.5559629193809172</v>
      </c>
      <c r="R58" s="315">
        <f t="shared" si="40"/>
        <v>2021</v>
      </c>
      <c r="S58" s="132">
        <f t="shared" si="41"/>
        <v>14.789460652520393</v>
      </c>
      <c r="T58" s="132">
        <f t="shared" si="42"/>
        <v>5.8836422426445072</v>
      </c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</row>
    <row r="59" spans="14:31" s="333" customFormat="1" x14ac:dyDescent="0.25">
      <c r="N59" s="386">
        <v>2010</v>
      </c>
      <c r="O59" s="499">
        <f t="shared" si="38"/>
        <v>10.118555763056673</v>
      </c>
      <c r="P59" s="499">
        <f t="shared" si="39"/>
        <v>5.4037809461686521</v>
      </c>
      <c r="R59" s="315">
        <f t="shared" si="40"/>
        <v>2022</v>
      </c>
      <c r="S59" s="132">
        <f t="shared" si="41"/>
        <v>16.347425421378755</v>
      </c>
      <c r="T59" s="132">
        <f t="shared" si="42"/>
        <v>6.5018716699778647</v>
      </c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</row>
    <row r="60" spans="14:31" s="333" customFormat="1" x14ac:dyDescent="0.25">
      <c r="N60" s="386">
        <v>2011</v>
      </c>
      <c r="O60" s="499">
        <f t="shared" si="38"/>
        <v>10.785558411402899</v>
      </c>
      <c r="P60" s="499">
        <f t="shared" si="39"/>
        <v>6.048703533336055</v>
      </c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</row>
    <row r="61" spans="14:31" s="333" customFormat="1" x14ac:dyDescent="0.25">
      <c r="N61" s="386">
        <v>2012</v>
      </c>
      <c r="O61" s="499">
        <f t="shared" si="38"/>
        <v>11.813141103914758</v>
      </c>
      <c r="P61" s="499">
        <f t="shared" si="39"/>
        <v>6.4923946475231222</v>
      </c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</row>
    <row r="62" spans="14:31" s="333" customFormat="1" x14ac:dyDescent="0.25">
      <c r="N62" s="386">
        <v>2013</v>
      </c>
      <c r="O62" s="499">
        <f t="shared" si="38"/>
        <v>11.933029674417638</v>
      </c>
      <c r="P62" s="499">
        <f t="shared" si="39"/>
        <v>6.7174837111051282</v>
      </c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</row>
    <row r="63" spans="14:31" s="333" customFormat="1" x14ac:dyDescent="0.25">
      <c r="N63" s="386">
        <v>2014</v>
      </c>
      <c r="O63" s="499">
        <f t="shared" si="38"/>
        <v>13.055566807850985</v>
      </c>
      <c r="P63" s="499">
        <f t="shared" si="39"/>
        <v>7.2263562019802494</v>
      </c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</row>
    <row r="64" spans="14:31" s="333" customFormat="1" x14ac:dyDescent="0.25">
      <c r="N64" s="386">
        <v>2015</v>
      </c>
      <c r="O64" s="499">
        <f t="shared" si="38"/>
        <v>12.999782664016829</v>
      </c>
      <c r="P64" s="499">
        <f t="shared" si="39"/>
        <v>6.8623379076341848</v>
      </c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</row>
    <row r="65" spans="14:31" s="333" customFormat="1" x14ac:dyDescent="0.25">
      <c r="N65" s="386">
        <v>2016</v>
      </c>
      <c r="O65" s="499">
        <f t="shared" si="38"/>
        <v>13.579918199627537</v>
      </c>
      <c r="P65" s="499">
        <f t="shared" si="39"/>
        <v>6.5501346167219952</v>
      </c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</row>
    <row r="66" spans="14:31" s="333" customFormat="1" x14ac:dyDescent="0.25">
      <c r="N66" s="386">
        <v>2017</v>
      </c>
      <c r="O66" s="499">
        <f t="shared" si="38"/>
        <v>13.997247654672242</v>
      </c>
      <c r="P66" s="499">
        <f t="shared" si="39"/>
        <v>6.1601746495097016</v>
      </c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</row>
    <row r="67" spans="14:31" s="333" customFormat="1" x14ac:dyDescent="0.25">
      <c r="N67" s="386">
        <v>2018</v>
      </c>
      <c r="O67" s="499">
        <f t="shared" si="38"/>
        <v>14.778011489254931</v>
      </c>
      <c r="P67" s="499">
        <f t="shared" si="39"/>
        <v>6.1800525650170997</v>
      </c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</row>
    <row r="68" spans="14:31" s="333" customFormat="1" x14ac:dyDescent="0.25">
      <c r="N68" s="386">
        <v>2019</v>
      </c>
      <c r="O68" s="499">
        <f t="shared" si="38"/>
        <v>15.165939479888857</v>
      </c>
      <c r="P68" s="499">
        <f t="shared" si="39"/>
        <v>6.1532648604060309</v>
      </c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</row>
    <row r="69" spans="14:31" s="333" customFormat="1" x14ac:dyDescent="0.25">
      <c r="N69" s="386">
        <v>2020</v>
      </c>
      <c r="O69" s="499">
        <f t="shared" si="38"/>
        <v>15.208785705234135</v>
      </c>
      <c r="P69" s="499">
        <f t="shared" si="39"/>
        <v>6.1441850626066676</v>
      </c>
    </row>
    <row r="70" spans="14:31" s="333" customFormat="1" x14ac:dyDescent="0.25">
      <c r="N70" s="386">
        <v>2021</v>
      </c>
      <c r="O70" s="499">
        <f t="shared" ref="O70:O71" si="43">+F34</f>
        <v>14.789460652520393</v>
      </c>
      <c r="P70" s="499">
        <f t="shared" ref="P70:P71" si="44">+I34</f>
        <v>5.8836422426445072</v>
      </c>
    </row>
    <row r="71" spans="14:31" s="333" customFormat="1" x14ac:dyDescent="0.25">
      <c r="N71" s="386">
        <v>2022</v>
      </c>
      <c r="O71" s="499">
        <f t="shared" si="43"/>
        <v>16.347425421378755</v>
      </c>
      <c r="P71" s="499">
        <f t="shared" si="44"/>
        <v>6.5018716699778647</v>
      </c>
    </row>
    <row r="72" spans="14:31" s="333" customFormat="1" x14ac:dyDescent="0.25"/>
    <row r="73" spans="14:31" s="333" customFormat="1" x14ac:dyDescent="0.25"/>
    <row r="74" spans="14:31" s="333" customFormat="1" x14ac:dyDescent="0.25"/>
    <row r="75" spans="14:31" s="333" customFormat="1" x14ac:dyDescent="0.25"/>
    <row r="76" spans="14:31" s="333" customFormat="1" x14ac:dyDescent="0.25"/>
    <row r="77" spans="14:31" s="333" customFormat="1" x14ac:dyDescent="0.25"/>
    <row r="78" spans="14:31" s="333" customFormat="1" x14ac:dyDescent="0.25"/>
    <row r="79" spans="14:31" s="333" customFormat="1" x14ac:dyDescent="0.25"/>
    <row r="80" spans="14:31" s="333" customFormat="1" x14ac:dyDescent="0.25"/>
    <row r="81" spans="2:11" s="333" customFormat="1" x14ac:dyDescent="0.25"/>
    <row r="82" spans="2:11" s="333" customFormat="1" x14ac:dyDescent="0.25"/>
    <row r="83" spans="2:11" s="333" customFormat="1" x14ac:dyDescent="0.25"/>
    <row r="84" spans="2:11" s="333" customFormat="1" x14ac:dyDescent="0.25"/>
    <row r="85" spans="2:11" s="333" customFormat="1" x14ac:dyDescent="0.25"/>
    <row r="86" spans="2:11" s="333" customFormat="1" x14ac:dyDescent="0.25"/>
    <row r="87" spans="2:11" s="333" customFormat="1" x14ac:dyDescent="0.25"/>
    <row r="88" spans="2:11" x14ac:dyDescent="0.25">
      <c r="B88" s="333"/>
      <c r="C88" s="333"/>
      <c r="D88" s="333"/>
      <c r="E88" s="333"/>
      <c r="F88" s="333"/>
      <c r="G88" s="333"/>
      <c r="H88" s="333"/>
      <c r="I88" s="333"/>
      <c r="J88" s="333"/>
      <c r="K88" s="333"/>
    </row>
  </sheetData>
  <mergeCells count="4">
    <mergeCell ref="B6:B7"/>
    <mergeCell ref="C6:E6"/>
    <mergeCell ref="F6:H6"/>
    <mergeCell ref="I6:K6"/>
  </mergeCells>
  <printOptions horizontalCentered="1" verticalCentered="1"/>
  <pageMargins left="0.27559055118110237" right="0.23622047244094491" top="0.39370078740157483" bottom="0.19685039370078741" header="0" footer="0"/>
  <pageSetup paperSize="9" scale="7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R141"/>
  <sheetViews>
    <sheetView showGridLines="0" view="pageBreakPreview" zoomScale="90" zoomScaleNormal="85" zoomScaleSheetLayoutView="90" workbookViewId="0">
      <selection activeCell="F3" sqref="F3"/>
    </sheetView>
  </sheetViews>
  <sheetFormatPr baseColWidth="10" defaultColWidth="11.453125" defaultRowHeight="12.5" x14ac:dyDescent="0.25"/>
  <cols>
    <col min="1" max="1" width="20.453125" style="315" customWidth="1"/>
    <col min="2" max="2" width="15.7265625" style="315" customWidth="1"/>
    <col min="3" max="3" width="14.26953125" style="315" customWidth="1"/>
    <col min="4" max="4" width="13.26953125" style="315" customWidth="1"/>
    <col min="5" max="5" width="16.54296875" style="315" customWidth="1"/>
    <col min="6" max="7" width="13.26953125" style="315" customWidth="1"/>
    <col min="8" max="8" width="15.453125" style="315" customWidth="1"/>
    <col min="9" max="11" width="13.54296875" style="315" customWidth="1"/>
    <col min="12" max="13" width="11.453125" style="315"/>
    <col min="14" max="14" width="4.54296875" style="315" hidden="1" customWidth="1"/>
    <col min="15" max="15" width="3.54296875" style="315" hidden="1" customWidth="1"/>
    <col min="16" max="16" width="7.7265625" style="315" hidden="1" customWidth="1"/>
    <col min="17" max="17" width="3.54296875" style="315" hidden="1" customWidth="1"/>
    <col min="18" max="18" width="8" style="315" hidden="1" customWidth="1"/>
    <col min="19" max="19" width="6.26953125" style="315" hidden="1" customWidth="1"/>
    <col min="20" max="21" width="8" style="315" hidden="1" customWidth="1"/>
    <col min="22" max="22" width="6.26953125" style="315" hidden="1" customWidth="1"/>
    <col min="23" max="23" width="8" style="315" hidden="1" customWidth="1"/>
    <col min="24" max="24" width="9" style="315" hidden="1" customWidth="1"/>
    <col min="25" max="25" width="3" style="315" hidden="1" customWidth="1"/>
    <col min="26" max="27" width="9.1796875" style="315" hidden="1" customWidth="1"/>
    <col min="28" max="30" width="5.7265625" style="315" hidden="1" customWidth="1"/>
    <col min="31" max="31" width="4.7265625" style="315" hidden="1" customWidth="1"/>
    <col min="32" max="32" width="5.7265625" style="315" hidden="1" customWidth="1"/>
    <col min="33" max="33" width="4.7265625" style="315" hidden="1" customWidth="1"/>
    <col min="34" max="36" width="5.7265625" style="315" hidden="1" customWidth="1"/>
    <col min="37" max="39" width="0" style="315" hidden="1" customWidth="1"/>
    <col min="40" max="16384" width="11.453125" style="315"/>
  </cols>
  <sheetData>
    <row r="2" spans="1:36" ht="15.5" x14ac:dyDescent="0.35">
      <c r="A2" s="613" t="s">
        <v>228</v>
      </c>
      <c r="F2" s="613"/>
    </row>
    <row r="3" spans="1:36" x14ac:dyDescent="0.25">
      <c r="A3" s="383"/>
    </row>
    <row r="4" spans="1:36" ht="13" thickBot="1" x14ac:dyDescent="0.3"/>
    <row r="5" spans="1:36" s="493" customFormat="1" x14ac:dyDescent="0.25">
      <c r="A5" s="1514" t="s">
        <v>39</v>
      </c>
      <c r="B5" s="1514" t="s">
        <v>53</v>
      </c>
      <c r="C5" s="1578" t="s">
        <v>132</v>
      </c>
      <c r="D5" s="1571"/>
      <c r="E5" s="1571"/>
      <c r="F5" s="1571"/>
      <c r="G5" s="1571"/>
      <c r="H5" s="1579" t="s">
        <v>133</v>
      </c>
      <c r="I5" s="1580"/>
      <c r="J5" s="1580"/>
      <c r="K5" s="1580"/>
      <c r="L5" s="1581"/>
      <c r="M5" s="984"/>
      <c r="N5" s="984"/>
    </row>
    <row r="6" spans="1:36" s="493" customFormat="1" ht="13.5" thickBot="1" x14ac:dyDescent="0.3">
      <c r="A6" s="1515"/>
      <c r="B6" s="1515"/>
      <c r="C6" s="1107" t="s">
        <v>89</v>
      </c>
      <c r="D6" s="1120" t="s">
        <v>134</v>
      </c>
      <c r="E6" s="1106" t="s">
        <v>135</v>
      </c>
      <c r="F6" s="1104" t="s">
        <v>136</v>
      </c>
      <c r="G6" s="1106" t="s">
        <v>137</v>
      </c>
      <c r="H6" s="1107" t="s">
        <v>89</v>
      </c>
      <c r="I6" s="1104" t="s">
        <v>134</v>
      </c>
      <c r="J6" s="1106" t="s">
        <v>135</v>
      </c>
      <c r="K6" s="1104" t="s">
        <v>136</v>
      </c>
      <c r="L6" s="1108" t="s">
        <v>137</v>
      </c>
      <c r="M6" s="899"/>
      <c r="N6" s="899"/>
    </row>
    <row r="7" spans="1:36" ht="13" x14ac:dyDescent="0.3">
      <c r="A7" s="440">
        <v>1995</v>
      </c>
      <c r="B7" s="631">
        <v>8.9555606852646115</v>
      </c>
      <c r="C7" s="655">
        <v>5.5357375593344766</v>
      </c>
      <c r="D7" s="656">
        <v>4.6270702727597204</v>
      </c>
      <c r="E7" s="633">
        <v>4.6877714284343579</v>
      </c>
      <c r="F7" s="632">
        <v>6.5596993951399254</v>
      </c>
      <c r="G7" s="633">
        <v>9.3250325130979963</v>
      </c>
      <c r="H7" s="655">
        <v>10.148610371781364</v>
      </c>
      <c r="I7" s="632"/>
      <c r="J7" s="633">
        <v>6.4773300247466405</v>
      </c>
      <c r="K7" s="632">
        <v>6.7746386212841516</v>
      </c>
      <c r="L7" s="636">
        <v>11.094748694693795</v>
      </c>
      <c r="M7" s="646"/>
      <c r="N7" s="646">
        <f>+'9.2 y 9.3'!B6/'8.2 y 8.3'!B6/10</f>
        <v>8.9555606852646115</v>
      </c>
      <c r="O7" s="646">
        <f>+'9.2 y 9.3'!C6/'8.2 y 8.3'!C6/10</f>
        <v>5.5357375593344766</v>
      </c>
      <c r="P7" s="646">
        <f>+'9.2 y 9.3'!D6/'8.2 y 8.3'!D6/10</f>
        <v>4.6270702727597204</v>
      </c>
      <c r="Q7" s="646">
        <f>+'9.2 y 9.3'!E6/'8.2 y 8.3'!E6/10</f>
        <v>4.6877714284343579</v>
      </c>
      <c r="R7" s="646">
        <f>+'9.2 y 9.3'!F6/'8.2 y 8.3'!F6/10</f>
        <v>6.5596993951399254</v>
      </c>
      <c r="S7" s="646">
        <f>+'9.2 y 9.3'!G6/'8.2 y 8.3'!G6/10</f>
        <v>9.3250325130979963</v>
      </c>
      <c r="T7" s="646">
        <f>+'9.2 y 9.3'!H6/'8.2 y 8.3'!H6/10</f>
        <v>10.148610371781364</v>
      </c>
      <c r="U7" s="646"/>
      <c r="V7" s="646">
        <f>+'9.2 y 9.3'!J6/'8.2 y 8.3'!J6/10</f>
        <v>6.4773300247466405</v>
      </c>
      <c r="W7" s="646">
        <f>+'9.2 y 9.3'!K6/'8.2 y 8.3'!K6/10</f>
        <v>6.7746386212841516</v>
      </c>
      <c r="X7" s="646">
        <f>+'9.2 y 9.3'!L6/'8.2 y 8.3'!L6/10</f>
        <v>11.094748694693795</v>
      </c>
      <c r="Z7" s="767">
        <f>+N7-B7</f>
        <v>0</v>
      </c>
      <c r="AA7" s="767">
        <f t="shared" ref="AA7:AG22" si="0">+O7-C7</f>
        <v>0</v>
      </c>
      <c r="AB7" s="767">
        <f t="shared" si="0"/>
        <v>0</v>
      </c>
      <c r="AC7" s="767">
        <f t="shared" si="0"/>
        <v>0</v>
      </c>
      <c r="AD7" s="767">
        <f t="shared" si="0"/>
        <v>0</v>
      </c>
      <c r="AE7" s="767">
        <f t="shared" si="0"/>
        <v>0</v>
      </c>
      <c r="AF7" s="767">
        <f t="shared" si="0"/>
        <v>0</v>
      </c>
      <c r="AG7" s="767">
        <f t="shared" si="0"/>
        <v>0</v>
      </c>
      <c r="AH7" s="767">
        <f>+V7-J7</f>
        <v>0</v>
      </c>
      <c r="AI7" s="767">
        <f t="shared" ref="AI7:AI34" si="1">+W7-K7</f>
        <v>0</v>
      </c>
      <c r="AJ7" s="767">
        <f t="shared" ref="AJ7:AJ34" si="2">+X7-L7</f>
        <v>0</v>
      </c>
    </row>
    <row r="8" spans="1:36" ht="13" x14ac:dyDescent="0.3">
      <c r="A8" s="446">
        <v>1996</v>
      </c>
      <c r="B8" s="637">
        <v>9.3774573213785253</v>
      </c>
      <c r="C8" s="657">
        <v>5.9592969871676909</v>
      </c>
      <c r="D8" s="658">
        <v>5.095261460912047</v>
      </c>
      <c r="E8" s="639">
        <v>5.0194349224747992</v>
      </c>
      <c r="F8" s="638">
        <v>6.7195852321640217</v>
      </c>
      <c r="G8" s="639">
        <v>13.310775213425378</v>
      </c>
      <c r="H8" s="657">
        <v>10.37984664865154</v>
      </c>
      <c r="I8" s="638"/>
      <c r="J8" s="639">
        <v>6.9259754261091668</v>
      </c>
      <c r="K8" s="638">
        <v>6.7874096474252621</v>
      </c>
      <c r="L8" s="642">
        <v>11.459985818391555</v>
      </c>
      <c r="M8" s="646"/>
      <c r="N8" s="646">
        <f>+'9.2 y 9.3'!B7/'8.2 y 8.3'!B7/10</f>
        <v>9.3774573213785253</v>
      </c>
      <c r="O8" s="646">
        <f>+'9.2 y 9.3'!C7/'8.2 y 8.3'!C7/10</f>
        <v>5.9592969871676909</v>
      </c>
      <c r="P8" s="646">
        <f>+'9.2 y 9.3'!D7/'8.2 y 8.3'!D7/10</f>
        <v>5.095261460912047</v>
      </c>
      <c r="Q8" s="646">
        <f>+'9.2 y 9.3'!E7/'8.2 y 8.3'!E7/10</f>
        <v>5.0194349224747992</v>
      </c>
      <c r="R8" s="646">
        <f>+'9.2 y 9.3'!F7/'8.2 y 8.3'!F7/10</f>
        <v>6.7195852321640217</v>
      </c>
      <c r="S8" s="646">
        <f>+'9.2 y 9.3'!G7/'8.2 y 8.3'!G7/10</f>
        <v>13.310775213425378</v>
      </c>
      <c r="T8" s="646">
        <f>+'9.2 y 9.3'!H7/'8.2 y 8.3'!H7/10</f>
        <v>10.37984664865154</v>
      </c>
      <c r="U8" s="646"/>
      <c r="V8" s="646">
        <f>+'9.2 y 9.3'!J7/'8.2 y 8.3'!J7/10</f>
        <v>6.9259754261091668</v>
      </c>
      <c r="W8" s="646">
        <f>+'9.2 y 9.3'!K7/'8.2 y 8.3'!K7/10</f>
        <v>6.7874096474252621</v>
      </c>
      <c r="X8" s="646">
        <f>+'9.2 y 9.3'!L7/'8.2 y 8.3'!L7/10</f>
        <v>11.459985818391555</v>
      </c>
      <c r="Z8" s="767">
        <f t="shared" ref="Z8:Z34" si="3">+N8-B8</f>
        <v>0</v>
      </c>
      <c r="AA8" s="767">
        <f t="shared" si="0"/>
        <v>0</v>
      </c>
      <c r="AB8" s="767">
        <f t="shared" si="0"/>
        <v>0</v>
      </c>
      <c r="AC8" s="767">
        <f t="shared" si="0"/>
        <v>0</v>
      </c>
      <c r="AD8" s="767">
        <f t="shared" si="0"/>
        <v>0</v>
      </c>
      <c r="AE8" s="767">
        <f t="shared" si="0"/>
        <v>0</v>
      </c>
      <c r="AF8" s="767">
        <f t="shared" si="0"/>
        <v>0</v>
      </c>
      <c r="AG8" s="767">
        <f t="shared" si="0"/>
        <v>0</v>
      </c>
      <c r="AH8" s="767">
        <f t="shared" ref="AH8:AH34" si="4">+V8-J8</f>
        <v>0</v>
      </c>
      <c r="AI8" s="767">
        <f t="shared" si="1"/>
        <v>0</v>
      </c>
      <c r="AJ8" s="767">
        <f t="shared" si="2"/>
        <v>0</v>
      </c>
    </row>
    <row r="9" spans="1:36" ht="13" x14ac:dyDescent="0.3">
      <c r="A9" s="440">
        <v>1997</v>
      </c>
      <c r="B9" s="631">
        <v>9.1635885122824927</v>
      </c>
      <c r="C9" s="655">
        <v>5.7265372648894912</v>
      </c>
      <c r="D9" s="656">
        <v>5.2175633817487093</v>
      </c>
      <c r="E9" s="633">
        <v>4.7813969253242181</v>
      </c>
      <c r="F9" s="632">
        <v>6.3251463184671568</v>
      </c>
      <c r="G9" s="633">
        <v>13.982240433035207</v>
      </c>
      <c r="H9" s="655">
        <v>10.146978053246057</v>
      </c>
      <c r="I9" s="632"/>
      <c r="J9" s="633">
        <v>7.412700329241102</v>
      </c>
      <c r="K9" s="632">
        <v>6.6417980053400871</v>
      </c>
      <c r="L9" s="636">
        <v>11.268006688408454</v>
      </c>
      <c r="M9" s="646"/>
      <c r="N9" s="646">
        <f>+'9.2 y 9.3'!B8/'8.2 y 8.3'!B8/10</f>
        <v>9.1635885122824927</v>
      </c>
      <c r="O9" s="646">
        <f>+'9.2 y 9.3'!C8/'8.2 y 8.3'!C8/10</f>
        <v>5.7265372648894912</v>
      </c>
      <c r="P9" s="646">
        <f>+'9.2 y 9.3'!D8/'8.2 y 8.3'!D8/10</f>
        <v>5.2175633817487093</v>
      </c>
      <c r="Q9" s="646">
        <f>+'9.2 y 9.3'!E8/'8.2 y 8.3'!E8/10</f>
        <v>4.7813969253242181</v>
      </c>
      <c r="R9" s="646">
        <f>+'9.2 y 9.3'!F8/'8.2 y 8.3'!F8/10</f>
        <v>6.3251463184671568</v>
      </c>
      <c r="S9" s="646">
        <f>+'9.2 y 9.3'!G8/'8.2 y 8.3'!G8/10</f>
        <v>13.982240433035207</v>
      </c>
      <c r="T9" s="646">
        <f>+'9.2 y 9.3'!H8/'8.2 y 8.3'!H8/10</f>
        <v>10.146978053246057</v>
      </c>
      <c r="U9" s="646"/>
      <c r="V9" s="646">
        <f>+'9.2 y 9.3'!J8/'8.2 y 8.3'!J8/10</f>
        <v>7.412700329241102</v>
      </c>
      <c r="W9" s="646">
        <f>+'9.2 y 9.3'!K8/'8.2 y 8.3'!K8/10</f>
        <v>6.6417980053400871</v>
      </c>
      <c r="X9" s="646">
        <f>+'9.2 y 9.3'!L8/'8.2 y 8.3'!L8/10</f>
        <v>11.268006688408454</v>
      </c>
      <c r="Z9" s="767">
        <f t="shared" si="3"/>
        <v>0</v>
      </c>
      <c r="AA9" s="767">
        <f t="shared" si="0"/>
        <v>0</v>
      </c>
      <c r="AB9" s="767">
        <f t="shared" si="0"/>
        <v>0</v>
      </c>
      <c r="AC9" s="767">
        <f t="shared" si="0"/>
        <v>0</v>
      </c>
      <c r="AD9" s="767">
        <f t="shared" si="0"/>
        <v>0</v>
      </c>
      <c r="AE9" s="767">
        <f t="shared" si="0"/>
        <v>0</v>
      </c>
      <c r="AF9" s="767">
        <f t="shared" si="0"/>
        <v>0</v>
      </c>
      <c r="AG9" s="767">
        <f t="shared" si="0"/>
        <v>0</v>
      </c>
      <c r="AH9" s="767">
        <f t="shared" si="4"/>
        <v>0</v>
      </c>
      <c r="AI9" s="767">
        <f t="shared" si="1"/>
        <v>0</v>
      </c>
      <c r="AJ9" s="767">
        <f t="shared" si="2"/>
        <v>0</v>
      </c>
    </row>
    <row r="10" spans="1:36" ht="13" x14ac:dyDescent="0.3">
      <c r="A10" s="446">
        <v>1998</v>
      </c>
      <c r="B10" s="637">
        <v>7.9571609356886182</v>
      </c>
      <c r="C10" s="657">
        <v>5.0486463977806757</v>
      </c>
      <c r="D10" s="658">
        <v>4.9524731201161547</v>
      </c>
      <c r="E10" s="639">
        <v>4.1929526543280833</v>
      </c>
      <c r="F10" s="638">
        <v>5.5789689038354311</v>
      </c>
      <c r="G10" s="639" t="s">
        <v>141</v>
      </c>
      <c r="H10" s="657">
        <v>8.753240333635766</v>
      </c>
      <c r="I10" s="638"/>
      <c r="J10" s="639">
        <v>6.8628657496411289</v>
      </c>
      <c r="K10" s="638">
        <v>5.5906465188219538</v>
      </c>
      <c r="L10" s="642">
        <v>9.7916481732785652</v>
      </c>
      <c r="M10" s="659"/>
      <c r="N10" s="646">
        <f>+'9.2 y 9.3'!B9/'8.2 y 8.3'!B9/10</f>
        <v>7.9571609356886182</v>
      </c>
      <c r="O10" s="646">
        <f>+'9.2 y 9.3'!C9/'8.2 y 8.3'!C9/10</f>
        <v>5.0486463977806757</v>
      </c>
      <c r="P10" s="646">
        <f>+'9.2 y 9.3'!D9/'8.2 y 8.3'!D9/10</f>
        <v>4.9524731201161547</v>
      </c>
      <c r="Q10" s="646">
        <f>+'9.2 y 9.3'!E9/'8.2 y 8.3'!E9/10</f>
        <v>4.1929526543280833</v>
      </c>
      <c r="R10" s="646">
        <f>+'9.2 y 9.3'!F9/'8.2 y 8.3'!F9/10</f>
        <v>5.5789689038354311</v>
      </c>
      <c r="S10" s="646"/>
      <c r="T10" s="646">
        <f>+'9.2 y 9.3'!H9/'8.2 y 8.3'!H9/10</f>
        <v>8.753240333635766</v>
      </c>
      <c r="U10" s="646"/>
      <c r="V10" s="646">
        <f>+'9.2 y 9.3'!J9/'8.2 y 8.3'!J9/10</f>
        <v>6.8628657496411289</v>
      </c>
      <c r="W10" s="646">
        <f>+'9.2 y 9.3'!K9/'8.2 y 8.3'!K9/10</f>
        <v>5.5906465188219538</v>
      </c>
      <c r="X10" s="646">
        <f>+'9.2 y 9.3'!L9/'8.2 y 8.3'!L9/10</f>
        <v>9.7916481732785652</v>
      </c>
      <c r="Z10" s="767">
        <f t="shared" si="3"/>
        <v>0</v>
      </c>
      <c r="AA10" s="767">
        <f t="shared" si="0"/>
        <v>0</v>
      </c>
      <c r="AB10" s="767">
        <f t="shared" si="0"/>
        <v>0</v>
      </c>
      <c r="AC10" s="767">
        <f t="shared" si="0"/>
        <v>0</v>
      </c>
      <c r="AD10" s="767">
        <f t="shared" si="0"/>
        <v>0</v>
      </c>
      <c r="AE10" s="767"/>
      <c r="AF10" s="767">
        <f t="shared" si="0"/>
        <v>0</v>
      </c>
      <c r="AG10" s="767">
        <f t="shared" si="0"/>
        <v>0</v>
      </c>
      <c r="AH10" s="767">
        <f t="shared" si="4"/>
        <v>0</v>
      </c>
      <c r="AI10" s="767">
        <f t="shared" si="1"/>
        <v>0</v>
      </c>
      <c r="AJ10" s="767">
        <f t="shared" si="2"/>
        <v>0</v>
      </c>
    </row>
    <row r="11" spans="1:36" ht="13" x14ac:dyDescent="0.3">
      <c r="A11" s="440">
        <v>1999</v>
      </c>
      <c r="B11" s="631">
        <v>7.6320210282889089</v>
      </c>
      <c r="C11" s="655">
        <v>5.0718506766791807</v>
      </c>
      <c r="D11" s="656">
        <v>5.0590992191879645</v>
      </c>
      <c r="E11" s="633">
        <v>4.3543666718012304</v>
      </c>
      <c r="F11" s="632">
        <v>5.4318415703065845</v>
      </c>
      <c r="G11" s="633" t="s">
        <v>141</v>
      </c>
      <c r="H11" s="655">
        <v>8.3066426364644457</v>
      </c>
      <c r="I11" s="632"/>
      <c r="J11" s="633">
        <v>5.3037303828031606</v>
      </c>
      <c r="K11" s="632">
        <v>5.4068779049876712</v>
      </c>
      <c r="L11" s="636">
        <v>9.3240414734891086</v>
      </c>
      <c r="M11" s="659"/>
      <c r="N11" s="646">
        <f>+'9.2 y 9.3'!B10/'8.2 y 8.3'!B10/10</f>
        <v>7.6320958601604145</v>
      </c>
      <c r="O11" s="646">
        <f>+'9.2 y 9.3'!C10/'8.2 y 8.3'!C10/10</f>
        <v>5.0718506766791807</v>
      </c>
      <c r="P11" s="646">
        <f>+'9.2 y 9.3'!D10/'8.2 y 8.3'!D10/10</f>
        <v>5.0590992191879645</v>
      </c>
      <c r="Q11" s="646">
        <f>+'9.2 y 9.3'!E10/'8.2 y 8.3'!E10/10</f>
        <v>4.3543666718012304</v>
      </c>
      <c r="R11" s="646">
        <f>+'9.2 y 9.3'!F10/'8.2 y 8.3'!F10/10</f>
        <v>5.4318415703065845</v>
      </c>
      <c r="S11" s="646"/>
      <c r="T11" s="646">
        <f>+'9.2 y 9.3'!H10/'8.2 y 8.3'!H10/10</f>
        <v>8.3067455449503917</v>
      </c>
      <c r="U11" s="646"/>
      <c r="V11" s="646">
        <f>+'9.2 y 9.3'!J10/'8.2 y 8.3'!J10/10</f>
        <v>5.3037303828031606</v>
      </c>
      <c r="W11" s="646">
        <f>+'9.2 y 9.3'!K10/'8.2 y 8.3'!K10/10</f>
        <v>5.4068779049876712</v>
      </c>
      <c r="X11" s="646">
        <f>+'9.2 y 9.3'!L10/'8.2 y 8.3'!L10/10</f>
        <v>9.3241975112430069</v>
      </c>
      <c r="Z11" s="767">
        <f t="shared" si="3"/>
        <v>7.4831871505587344E-5</v>
      </c>
      <c r="AA11" s="767">
        <f t="shared" si="0"/>
        <v>0</v>
      </c>
      <c r="AB11" s="767">
        <f t="shared" si="0"/>
        <v>0</v>
      </c>
      <c r="AC11" s="767">
        <f t="shared" si="0"/>
        <v>0</v>
      </c>
      <c r="AD11" s="767">
        <f t="shared" si="0"/>
        <v>0</v>
      </c>
      <c r="AE11" s="767"/>
      <c r="AF11" s="767">
        <f t="shared" si="0"/>
        <v>1.0290848594607382E-4</v>
      </c>
      <c r="AG11" s="767">
        <f t="shared" si="0"/>
        <v>0</v>
      </c>
      <c r="AH11" s="767">
        <f t="shared" si="4"/>
        <v>0</v>
      </c>
      <c r="AI11" s="767">
        <f t="shared" si="1"/>
        <v>0</v>
      </c>
      <c r="AJ11" s="767">
        <f t="shared" si="2"/>
        <v>1.560377538982749E-4</v>
      </c>
    </row>
    <row r="12" spans="1:36" ht="13" x14ac:dyDescent="0.3">
      <c r="A12" s="446">
        <v>2000</v>
      </c>
      <c r="B12" s="637">
        <v>8.0465527241033001</v>
      </c>
      <c r="C12" s="657">
        <v>5.3360143471179855</v>
      </c>
      <c r="D12" s="658">
        <v>5.0809189038026314</v>
      </c>
      <c r="E12" s="639">
        <v>4.6076730767687009</v>
      </c>
      <c r="F12" s="638">
        <v>5.7852773013195318</v>
      </c>
      <c r="G12" s="639" t="s">
        <v>141</v>
      </c>
      <c r="H12" s="657">
        <v>8.8063395358146757</v>
      </c>
      <c r="I12" s="638"/>
      <c r="J12" s="639">
        <v>6.033937817613789</v>
      </c>
      <c r="K12" s="638">
        <v>5.8694184617268084</v>
      </c>
      <c r="L12" s="642">
        <v>9.8963974649544753</v>
      </c>
      <c r="M12" s="659"/>
      <c r="N12" s="646">
        <f>+'9.2 y 9.3'!B11/'8.2 y 8.3'!B11/10</f>
        <v>8.0465527241033001</v>
      </c>
      <c r="O12" s="646">
        <f>+'9.2 y 9.3'!C11/'8.2 y 8.3'!C11/10</f>
        <v>5.3360143471179855</v>
      </c>
      <c r="P12" s="646">
        <f>+'9.2 y 9.3'!D11/'8.2 y 8.3'!D11/10</f>
        <v>5.0809189038026314</v>
      </c>
      <c r="Q12" s="646">
        <f>+'9.2 y 9.3'!E11/'8.2 y 8.3'!E11/10</f>
        <v>4.6076730767687009</v>
      </c>
      <c r="R12" s="646">
        <f>+'9.2 y 9.3'!F11/'8.2 y 8.3'!F11/10</f>
        <v>5.7852773013195318</v>
      </c>
      <c r="S12" s="646"/>
      <c r="T12" s="646">
        <f>+'9.2 y 9.3'!H11/'8.2 y 8.3'!H11/10</f>
        <v>8.8063395358146757</v>
      </c>
      <c r="U12" s="646"/>
      <c r="V12" s="646">
        <f>+'9.2 y 9.3'!J11/'8.2 y 8.3'!J11/10</f>
        <v>6.033937817613789</v>
      </c>
      <c r="W12" s="646">
        <f>+'9.2 y 9.3'!K11/'8.2 y 8.3'!K11/10</f>
        <v>5.8694184617268084</v>
      </c>
      <c r="X12" s="646">
        <f>+'9.2 y 9.3'!L11/'8.2 y 8.3'!L11/10</f>
        <v>9.8963974649544753</v>
      </c>
      <c r="Z12" s="767">
        <f t="shared" si="3"/>
        <v>0</v>
      </c>
      <c r="AA12" s="767">
        <f t="shared" si="0"/>
        <v>0</v>
      </c>
      <c r="AB12" s="767">
        <f t="shared" si="0"/>
        <v>0</v>
      </c>
      <c r="AC12" s="767">
        <f t="shared" si="0"/>
        <v>0</v>
      </c>
      <c r="AD12" s="767">
        <f t="shared" si="0"/>
        <v>0</v>
      </c>
      <c r="AE12" s="767"/>
      <c r="AF12" s="767">
        <f t="shared" si="0"/>
        <v>0</v>
      </c>
      <c r="AG12" s="767">
        <f t="shared" si="0"/>
        <v>0</v>
      </c>
      <c r="AH12" s="767">
        <f t="shared" si="4"/>
        <v>0</v>
      </c>
      <c r="AI12" s="767">
        <f t="shared" si="1"/>
        <v>0</v>
      </c>
      <c r="AJ12" s="767">
        <f t="shared" si="2"/>
        <v>0</v>
      </c>
    </row>
    <row r="13" spans="1:36" ht="13" x14ac:dyDescent="0.3">
      <c r="A13" s="440">
        <v>2001</v>
      </c>
      <c r="B13" s="631">
        <v>8.1980760639170676</v>
      </c>
      <c r="C13" s="655">
        <v>5.4318103535360782</v>
      </c>
      <c r="D13" s="656">
        <v>4.8819603688181683</v>
      </c>
      <c r="E13" s="633">
        <v>4.9005055003750675</v>
      </c>
      <c r="F13" s="632">
        <v>5.6572247018155544</v>
      </c>
      <c r="G13" s="633" t="s">
        <v>141</v>
      </c>
      <c r="H13" s="655">
        <v>8.7949736111824013</v>
      </c>
      <c r="I13" s="632"/>
      <c r="J13" s="633">
        <v>5.9996823838733793</v>
      </c>
      <c r="K13" s="632">
        <v>5.8961416929069461</v>
      </c>
      <c r="L13" s="636">
        <v>9.9219836120944844</v>
      </c>
      <c r="M13" s="659"/>
      <c r="N13" s="646">
        <f>+'9.2 y 9.3'!B12/'8.2 y 8.3'!B12/10</f>
        <v>8.1980760639170676</v>
      </c>
      <c r="O13" s="646">
        <f>+'9.2 y 9.3'!C12/'8.2 y 8.3'!C12/10</f>
        <v>5.4318103535360782</v>
      </c>
      <c r="P13" s="646">
        <f>+'9.2 y 9.3'!D12/'8.2 y 8.3'!D12/10</f>
        <v>4.8819603688181683</v>
      </c>
      <c r="Q13" s="646">
        <f>+'9.2 y 9.3'!E12/'8.2 y 8.3'!E12/10</f>
        <v>4.9005055003750675</v>
      </c>
      <c r="R13" s="646">
        <f>+'9.2 y 9.3'!F12/'8.2 y 8.3'!F12/10</f>
        <v>5.6572247018155544</v>
      </c>
      <c r="S13" s="646"/>
      <c r="T13" s="646">
        <f>+'9.2 y 9.3'!H12/'8.2 y 8.3'!H12/10</f>
        <v>8.7949736111824013</v>
      </c>
      <c r="U13" s="646"/>
      <c r="V13" s="646">
        <f>+'9.2 y 9.3'!J12/'8.2 y 8.3'!J12/10</f>
        <v>5.9996823838733793</v>
      </c>
      <c r="W13" s="646">
        <f>+'9.2 y 9.3'!K12/'8.2 y 8.3'!K12/10</f>
        <v>5.8961416929069461</v>
      </c>
      <c r="X13" s="646">
        <f>+'9.2 y 9.3'!L12/'8.2 y 8.3'!L12/10</f>
        <v>9.9219836120944844</v>
      </c>
      <c r="Z13" s="767">
        <f t="shared" si="3"/>
        <v>0</v>
      </c>
      <c r="AA13" s="767">
        <f t="shared" si="0"/>
        <v>0</v>
      </c>
      <c r="AB13" s="767">
        <f t="shared" si="0"/>
        <v>0</v>
      </c>
      <c r="AC13" s="767">
        <f t="shared" si="0"/>
        <v>0</v>
      </c>
      <c r="AD13" s="767">
        <f t="shared" si="0"/>
        <v>0</v>
      </c>
      <c r="AE13" s="767"/>
      <c r="AF13" s="767">
        <f t="shared" si="0"/>
        <v>0</v>
      </c>
      <c r="AG13" s="767">
        <f t="shared" si="0"/>
        <v>0</v>
      </c>
      <c r="AH13" s="767">
        <f t="shared" si="4"/>
        <v>0</v>
      </c>
      <c r="AI13" s="767">
        <f t="shared" si="1"/>
        <v>0</v>
      </c>
      <c r="AJ13" s="767">
        <f t="shared" si="2"/>
        <v>0</v>
      </c>
    </row>
    <row r="14" spans="1:36" ht="13" x14ac:dyDescent="0.3">
      <c r="A14" s="446">
        <v>2002</v>
      </c>
      <c r="B14" s="637">
        <v>7.758352080828165</v>
      </c>
      <c r="C14" s="657">
        <v>5.1639888849993891</v>
      </c>
      <c r="D14" s="658">
        <v>4.2290059446768895</v>
      </c>
      <c r="E14" s="639">
        <v>4.7357601008286281</v>
      </c>
      <c r="F14" s="638">
        <v>5.3459999936310467</v>
      </c>
      <c r="G14" s="639" t="s">
        <v>141</v>
      </c>
      <c r="H14" s="657">
        <v>8.2905260118522683</v>
      </c>
      <c r="I14" s="638"/>
      <c r="J14" s="639">
        <v>5.4674893074393127</v>
      </c>
      <c r="K14" s="638">
        <v>5.7515160950715671</v>
      </c>
      <c r="L14" s="642">
        <v>9.3128517321434963</v>
      </c>
      <c r="M14" s="659"/>
      <c r="N14" s="646">
        <f>+'9.2 y 9.3'!B13/'8.2 y 8.3'!B13/10</f>
        <v>7.758352080828165</v>
      </c>
      <c r="O14" s="646">
        <f>+'9.2 y 9.3'!C13/'8.2 y 8.3'!C13/10</f>
        <v>5.1639888849993891</v>
      </c>
      <c r="P14" s="646">
        <f>+'9.2 y 9.3'!D13/'8.2 y 8.3'!D13/10</f>
        <v>4.2290059446768895</v>
      </c>
      <c r="Q14" s="646">
        <f>+'9.2 y 9.3'!E13/'8.2 y 8.3'!E13/10</f>
        <v>4.7357601008286281</v>
      </c>
      <c r="R14" s="646">
        <f>+'9.2 y 9.3'!F13/'8.2 y 8.3'!F13/10</f>
        <v>5.3459999936310467</v>
      </c>
      <c r="S14" s="646"/>
      <c r="T14" s="646">
        <f>+'9.2 y 9.3'!H13/'8.2 y 8.3'!H13/10</f>
        <v>8.2905260118522683</v>
      </c>
      <c r="U14" s="646"/>
      <c r="V14" s="646">
        <f>+'9.2 y 9.3'!J13/'8.2 y 8.3'!J13/10</f>
        <v>5.4674893074393127</v>
      </c>
      <c r="W14" s="646">
        <f>+'9.2 y 9.3'!K13/'8.2 y 8.3'!K13/10</f>
        <v>5.7515160950715671</v>
      </c>
      <c r="X14" s="646">
        <f>+'9.2 y 9.3'!L13/'8.2 y 8.3'!L13/10</f>
        <v>9.3128517321434963</v>
      </c>
      <c r="Z14" s="767">
        <f t="shared" si="3"/>
        <v>0</v>
      </c>
      <c r="AA14" s="767">
        <f t="shared" si="0"/>
        <v>0</v>
      </c>
      <c r="AB14" s="767">
        <f t="shared" si="0"/>
        <v>0</v>
      </c>
      <c r="AC14" s="767">
        <f t="shared" si="0"/>
        <v>0</v>
      </c>
      <c r="AD14" s="767">
        <f t="shared" si="0"/>
        <v>0</v>
      </c>
      <c r="AE14" s="767"/>
      <c r="AF14" s="767">
        <f t="shared" si="0"/>
        <v>0</v>
      </c>
      <c r="AG14" s="767">
        <f t="shared" si="0"/>
        <v>0</v>
      </c>
      <c r="AH14" s="767">
        <f t="shared" si="4"/>
        <v>0</v>
      </c>
      <c r="AI14" s="767">
        <f t="shared" si="1"/>
        <v>0</v>
      </c>
      <c r="AJ14" s="767">
        <f t="shared" si="2"/>
        <v>0</v>
      </c>
    </row>
    <row r="15" spans="1:36" ht="13" x14ac:dyDescent="0.3">
      <c r="A15" s="440">
        <v>2003</v>
      </c>
      <c r="B15" s="631">
        <v>7.971753161907678</v>
      </c>
      <c r="C15" s="655">
        <v>5.315913767730283</v>
      </c>
      <c r="D15" s="656">
        <v>4.1989777636908903</v>
      </c>
      <c r="E15" s="633">
        <v>5.0030671824938366</v>
      </c>
      <c r="F15" s="632">
        <v>5.4750291246797103</v>
      </c>
      <c r="G15" s="633" t="s">
        <v>141</v>
      </c>
      <c r="H15" s="655">
        <v>8.4395468219330851</v>
      </c>
      <c r="I15" s="632"/>
      <c r="J15" s="633">
        <v>5.0957279225241683</v>
      </c>
      <c r="K15" s="632">
        <v>5.8241679519088159</v>
      </c>
      <c r="L15" s="636">
        <v>9.525732890023999</v>
      </c>
      <c r="M15" s="659"/>
      <c r="N15" s="646">
        <f>+'9.2 y 9.3'!B14/'8.2 y 8.3'!B14/10</f>
        <v>7.971753161907678</v>
      </c>
      <c r="O15" s="646">
        <f>+'9.2 y 9.3'!C14/'8.2 y 8.3'!C14/10</f>
        <v>5.315913767730283</v>
      </c>
      <c r="P15" s="646">
        <f>+'9.2 y 9.3'!D14/'8.2 y 8.3'!D14/10</f>
        <v>4.1989777636908903</v>
      </c>
      <c r="Q15" s="646">
        <f>+'9.2 y 9.3'!E14/'8.2 y 8.3'!E14/10</f>
        <v>5.0030671824938366</v>
      </c>
      <c r="R15" s="646">
        <f>+'9.2 y 9.3'!F14/'8.2 y 8.3'!F14/10</f>
        <v>5.4750291246797103</v>
      </c>
      <c r="S15" s="646"/>
      <c r="T15" s="646">
        <f>+'9.2 y 9.3'!H14/'8.2 y 8.3'!H14/10</f>
        <v>8.4395468219330851</v>
      </c>
      <c r="U15" s="646"/>
      <c r="V15" s="646">
        <f>+'9.2 y 9.3'!J14/'8.2 y 8.3'!J14/10</f>
        <v>5.0957279225241683</v>
      </c>
      <c r="W15" s="646">
        <f>+'9.2 y 9.3'!K14/'8.2 y 8.3'!K14/10</f>
        <v>5.8241679519088159</v>
      </c>
      <c r="X15" s="646">
        <f>+'9.2 y 9.3'!L14/'8.2 y 8.3'!L14/10</f>
        <v>9.525732890023999</v>
      </c>
      <c r="Z15" s="767">
        <f t="shared" si="3"/>
        <v>0</v>
      </c>
      <c r="AA15" s="767">
        <f t="shared" si="0"/>
        <v>0</v>
      </c>
      <c r="AB15" s="767">
        <f t="shared" si="0"/>
        <v>0</v>
      </c>
      <c r="AC15" s="767">
        <f t="shared" si="0"/>
        <v>0</v>
      </c>
      <c r="AD15" s="767">
        <f t="shared" si="0"/>
        <v>0</v>
      </c>
      <c r="AE15" s="767"/>
      <c r="AF15" s="767">
        <f t="shared" si="0"/>
        <v>0</v>
      </c>
      <c r="AG15" s="767">
        <f t="shared" si="0"/>
        <v>0</v>
      </c>
      <c r="AH15" s="767">
        <f t="shared" si="4"/>
        <v>0</v>
      </c>
      <c r="AI15" s="767">
        <f t="shared" si="1"/>
        <v>0</v>
      </c>
      <c r="AJ15" s="767">
        <f t="shared" si="2"/>
        <v>0</v>
      </c>
    </row>
    <row r="16" spans="1:36" ht="13" x14ac:dyDescent="0.3">
      <c r="A16" s="446">
        <v>2004</v>
      </c>
      <c r="B16" s="637">
        <v>8.2230231770089492</v>
      </c>
      <c r="C16" s="657">
        <v>5.3901465775055355</v>
      </c>
      <c r="D16" s="658">
        <v>4.1652279666141352</v>
      </c>
      <c r="E16" s="639">
        <v>6.0018244608912559</v>
      </c>
      <c r="F16" s="638">
        <v>5.3644349221058194</v>
      </c>
      <c r="G16" s="639"/>
      <c r="H16" s="657">
        <v>8.6742016054190874</v>
      </c>
      <c r="I16" s="638"/>
      <c r="J16" s="639">
        <v>5.7120744787014504</v>
      </c>
      <c r="K16" s="638">
        <v>5.8967167015756683</v>
      </c>
      <c r="L16" s="642">
        <v>9.8832764369467885</v>
      </c>
      <c r="M16" s="659"/>
      <c r="N16" s="646">
        <f>+'9.2 y 9.3'!B15/'8.2 y 8.3'!B15/10</f>
        <v>8.2230231770089492</v>
      </c>
      <c r="O16" s="646">
        <f>+'9.2 y 9.3'!C15/'8.2 y 8.3'!C15/10</f>
        <v>5.3901465775055346</v>
      </c>
      <c r="P16" s="646">
        <f>+'9.2 y 9.3'!D15/'8.2 y 8.3'!D15/10</f>
        <v>4.1652279666141343</v>
      </c>
      <c r="Q16" s="646">
        <f>+'9.2 y 9.3'!E15/'8.2 y 8.3'!E15/10</f>
        <v>6.001824460891255</v>
      </c>
      <c r="R16" s="646">
        <f>+'9.2 y 9.3'!F15/'8.2 y 8.3'!F15/10</f>
        <v>5.3644349221058194</v>
      </c>
      <c r="S16" s="646"/>
      <c r="T16" s="646">
        <f>+'9.2 y 9.3'!H15/'8.2 y 8.3'!H15/10</f>
        <v>8.6742016054190856</v>
      </c>
      <c r="U16" s="646"/>
      <c r="V16" s="646">
        <f>+'9.2 y 9.3'!J15/'8.2 y 8.3'!J15/10</f>
        <v>5.7120744787014504</v>
      </c>
      <c r="W16" s="646">
        <f>+'9.2 y 9.3'!K15/'8.2 y 8.3'!K15/10</f>
        <v>5.8967167015756683</v>
      </c>
      <c r="X16" s="646">
        <f>+'9.2 y 9.3'!L15/'8.2 y 8.3'!L15/10</f>
        <v>9.8832764369467885</v>
      </c>
      <c r="Z16" s="767">
        <f t="shared" si="3"/>
        <v>0</v>
      </c>
      <c r="AA16" s="767">
        <f t="shared" si="0"/>
        <v>0</v>
      </c>
      <c r="AB16" s="767">
        <f t="shared" si="0"/>
        <v>0</v>
      </c>
      <c r="AC16" s="767">
        <f t="shared" si="0"/>
        <v>0</v>
      </c>
      <c r="AD16" s="767">
        <f t="shared" si="0"/>
        <v>0</v>
      </c>
      <c r="AE16" s="767">
        <f t="shared" si="0"/>
        <v>0</v>
      </c>
      <c r="AF16" s="767">
        <f t="shared" si="0"/>
        <v>0</v>
      </c>
      <c r="AG16" s="767">
        <f t="shared" si="0"/>
        <v>0</v>
      </c>
      <c r="AH16" s="767">
        <f t="shared" si="4"/>
        <v>0</v>
      </c>
      <c r="AI16" s="767">
        <f t="shared" si="1"/>
        <v>0</v>
      </c>
      <c r="AJ16" s="767">
        <f t="shared" si="2"/>
        <v>0</v>
      </c>
    </row>
    <row r="17" spans="1:36" ht="13" x14ac:dyDescent="0.3">
      <c r="A17" s="440">
        <v>2005</v>
      </c>
      <c r="B17" s="631">
        <v>8.8884914595819442</v>
      </c>
      <c r="C17" s="655">
        <v>5.650701414642656</v>
      </c>
      <c r="D17" s="656">
        <v>4.6585918045595722</v>
      </c>
      <c r="E17" s="633">
        <v>4.6982688810015736</v>
      </c>
      <c r="F17" s="632">
        <v>5.9637897758838321</v>
      </c>
      <c r="G17" s="633"/>
      <c r="H17" s="655">
        <v>9.4007778088619069</v>
      </c>
      <c r="I17" s="632"/>
      <c r="J17" s="633">
        <v>6.062346568093032</v>
      </c>
      <c r="K17" s="632">
        <v>6.5100052189588187</v>
      </c>
      <c r="L17" s="636">
        <v>10.739111938044747</v>
      </c>
      <c r="M17" s="659"/>
      <c r="N17" s="646">
        <f>+'9.2 y 9.3'!B16/'8.2 y 8.3'!B16/10</f>
        <v>8.8876437523557215</v>
      </c>
      <c r="O17" s="646">
        <f>+'9.2 y 9.3'!C16/'8.2 y 8.3'!C16/10</f>
        <v>5.6478827252557124</v>
      </c>
      <c r="P17" s="646">
        <f>+'9.2 y 9.3'!D16/'8.2 y 8.3'!D16/10</f>
        <v>4.6399987613158657</v>
      </c>
      <c r="Q17" s="646">
        <f>+'9.2 y 9.3'!E16/'8.2 y 8.3'!E16/10</f>
        <v>4.6965913656456646</v>
      </c>
      <c r="R17" s="646">
        <f>+'9.2 y 9.3'!F16/'8.2 y 8.3'!F16/10</f>
        <v>5.9618695609523771</v>
      </c>
      <c r="S17" s="646"/>
      <c r="T17" s="646">
        <f>+'9.2 y 9.3'!H16/'8.2 y 8.3'!H16/10</f>
        <v>9.4002419523862262</v>
      </c>
      <c r="U17" s="646"/>
      <c r="V17" s="646">
        <f>+'9.2 y 9.3'!J16/'8.2 y 8.3'!J16/10</f>
        <v>6.0695388716140704</v>
      </c>
      <c r="W17" s="646">
        <f>+'9.2 y 9.3'!K16/'8.2 y 8.3'!K16/10</f>
        <v>6.5101974665554234</v>
      </c>
      <c r="X17" s="646">
        <f>+'9.2 y 9.3'!L16/'8.2 y 8.3'!L16/10</f>
        <v>10.738195757918195</v>
      </c>
      <c r="Z17" s="767">
        <f t="shared" si="3"/>
        <v>-8.4770722622273809E-4</v>
      </c>
      <c r="AA17" s="767">
        <f t="shared" si="0"/>
        <v>-2.8186893869435181E-3</v>
      </c>
      <c r="AB17" s="767">
        <f t="shared" si="0"/>
        <v>-1.8593043243706475E-2</v>
      </c>
      <c r="AC17" s="767">
        <f t="shared" si="0"/>
        <v>-1.6775153559089873E-3</v>
      </c>
      <c r="AD17" s="767">
        <f t="shared" si="0"/>
        <v>-1.9202149314549999E-3</v>
      </c>
      <c r="AE17" s="767">
        <f t="shared" si="0"/>
        <v>0</v>
      </c>
      <c r="AF17" s="767">
        <f t="shared" si="0"/>
        <v>-5.3585647568077377E-4</v>
      </c>
      <c r="AG17" s="767">
        <f t="shared" si="0"/>
        <v>0</v>
      </c>
      <c r="AH17" s="767">
        <f t="shared" si="4"/>
        <v>7.1923035210383901E-3</v>
      </c>
      <c r="AI17" s="767">
        <f t="shared" si="1"/>
        <v>1.9224759660474433E-4</v>
      </c>
      <c r="AJ17" s="767">
        <f t="shared" si="2"/>
        <v>-9.1618012655203529E-4</v>
      </c>
    </row>
    <row r="18" spans="1:36" ht="13" x14ac:dyDescent="0.3">
      <c r="A18" s="446">
        <v>2006</v>
      </c>
      <c r="B18" s="637">
        <v>8.7025840778489254</v>
      </c>
      <c r="C18" s="657">
        <v>5.4374484419028404</v>
      </c>
      <c r="D18" s="658">
        <v>4.4249273970682328</v>
      </c>
      <c r="E18" s="639">
        <v>4.5290999128325256</v>
      </c>
      <c r="F18" s="638">
        <v>5.7393375225053349</v>
      </c>
      <c r="G18" s="639"/>
      <c r="H18" s="657">
        <v>9.2054198190234704</v>
      </c>
      <c r="I18" s="638"/>
      <c r="J18" s="639">
        <v>5.5104723068941386</v>
      </c>
      <c r="K18" s="638">
        <v>6.2069166861205796</v>
      </c>
      <c r="L18" s="642">
        <v>10.669497150170191</v>
      </c>
      <c r="M18" s="659"/>
      <c r="N18" s="646">
        <f>+'9.2 y 9.3'!B17/'8.2 y 8.3'!B17/10</f>
        <v>8.7043941840152215</v>
      </c>
      <c r="O18" s="646">
        <f>+'9.2 y 9.3'!C17/'8.2 y 8.3'!C17/10</f>
        <v>5.4368124536342881</v>
      </c>
      <c r="P18" s="646">
        <f>+'9.2 y 9.3'!D17/'8.2 y 8.3'!D17/10</f>
        <v>4.4320341715809048</v>
      </c>
      <c r="Q18" s="646">
        <f>+'9.2 y 9.3'!E17/'8.2 y 8.3'!E17/10</f>
        <v>4.5264644043984434</v>
      </c>
      <c r="R18" s="646">
        <f>+'9.2 y 9.3'!F17/'8.2 y 8.3'!F17/10</f>
        <v>5.7385183803395723</v>
      </c>
      <c r="S18" s="646"/>
      <c r="T18" s="646">
        <f>+'9.2 y 9.3'!H17/'8.2 y 8.3'!H17/10</f>
        <v>9.2076066273685662</v>
      </c>
      <c r="U18" s="646"/>
      <c r="V18" s="646">
        <f>+'9.2 y 9.3'!J17/'8.2 y 8.3'!J17/10</f>
        <v>5.5176254117914549</v>
      </c>
      <c r="W18" s="646">
        <f>+'9.2 y 9.3'!K17/'8.2 y 8.3'!K17/10</f>
        <v>6.2086160844213509</v>
      </c>
      <c r="X18" s="646">
        <f>+'9.2 y 9.3'!L17/'8.2 y 8.3'!L17/10</f>
        <v>10.671883240384343</v>
      </c>
      <c r="Z18" s="767">
        <f t="shared" si="3"/>
        <v>1.810106166296066E-3</v>
      </c>
      <c r="AA18" s="767">
        <f t="shared" si="0"/>
        <v>-6.3598826855226775E-4</v>
      </c>
      <c r="AB18" s="767">
        <f t="shared" si="0"/>
        <v>7.1067745126720538E-3</v>
      </c>
      <c r="AC18" s="767">
        <f t="shared" si="0"/>
        <v>-2.6355084340821122E-3</v>
      </c>
      <c r="AD18" s="767">
        <f t="shared" si="0"/>
        <v>-8.1914216576262078E-4</v>
      </c>
      <c r="AE18" s="767">
        <f t="shared" si="0"/>
        <v>0</v>
      </c>
      <c r="AF18" s="767">
        <f t="shared" si="0"/>
        <v>2.1868083450957698E-3</v>
      </c>
      <c r="AG18" s="767">
        <f t="shared" si="0"/>
        <v>0</v>
      </c>
      <c r="AH18" s="767">
        <f t="shared" si="4"/>
        <v>7.1531048973163536E-3</v>
      </c>
      <c r="AI18" s="767">
        <f t="shared" si="1"/>
        <v>1.6993983007713709E-3</v>
      </c>
      <c r="AJ18" s="767">
        <f t="shared" si="2"/>
        <v>2.3860902141521478E-3</v>
      </c>
    </row>
    <row r="19" spans="1:36" ht="13" x14ac:dyDescent="0.3">
      <c r="A19" s="440">
        <v>2007</v>
      </c>
      <c r="B19" s="631">
        <v>8.6843545064319656</v>
      </c>
      <c r="C19" s="655">
        <v>5.4423840053332935</v>
      </c>
      <c r="D19" s="656">
        <v>4.6367212202188632</v>
      </c>
      <c r="E19" s="633">
        <v>4.6706146616700561</v>
      </c>
      <c r="F19" s="632">
        <v>5.6036776640581412</v>
      </c>
      <c r="G19" s="633"/>
      <c r="H19" s="655">
        <v>9.0939060573690185</v>
      </c>
      <c r="I19" s="632"/>
      <c r="J19" s="633">
        <v>5.4918743085155146</v>
      </c>
      <c r="K19" s="632">
        <v>6.079597772841665</v>
      </c>
      <c r="L19" s="636">
        <v>10.655182675290998</v>
      </c>
      <c r="M19" s="646"/>
      <c r="N19" s="646">
        <f>+'9.2 y 9.3'!B18/'8.2 y 8.3'!B18/10</f>
        <v>8.6843545064319656</v>
      </c>
      <c r="O19" s="646">
        <f>+'9.2 y 9.3'!C18/'8.2 y 8.3'!C18/10</f>
        <v>5.4423840053332935</v>
      </c>
      <c r="P19" s="646">
        <f>+'9.2 y 9.3'!D18/'8.2 y 8.3'!D18/10</f>
        <v>4.6367212202188632</v>
      </c>
      <c r="Q19" s="646">
        <f>+'9.2 y 9.3'!E18/'8.2 y 8.3'!E18/10</f>
        <v>4.6706146616700561</v>
      </c>
      <c r="R19" s="646">
        <f>+'9.2 y 9.3'!F18/'8.2 y 8.3'!F18/10</f>
        <v>5.6036776640581412</v>
      </c>
      <c r="S19" s="646"/>
      <c r="T19" s="646">
        <f>+'9.2 y 9.3'!H18/'8.2 y 8.3'!H18/10</f>
        <v>9.0939060573690185</v>
      </c>
      <c r="U19" s="646"/>
      <c r="V19" s="646">
        <f>+'9.2 y 9.3'!J18/'8.2 y 8.3'!J18/10</f>
        <v>5.4918743085155146</v>
      </c>
      <c r="W19" s="646">
        <f>+'9.2 y 9.3'!K18/'8.2 y 8.3'!K18/10</f>
        <v>6.079597772841665</v>
      </c>
      <c r="X19" s="646">
        <f>+'9.2 y 9.3'!L18/'8.2 y 8.3'!L18/10</f>
        <v>10.655182675290998</v>
      </c>
      <c r="Z19" s="767">
        <f t="shared" si="3"/>
        <v>0</v>
      </c>
      <c r="AA19" s="767">
        <f t="shared" si="0"/>
        <v>0</v>
      </c>
      <c r="AB19" s="767">
        <f t="shared" si="0"/>
        <v>0</v>
      </c>
      <c r="AC19" s="767">
        <f t="shared" si="0"/>
        <v>0</v>
      </c>
      <c r="AD19" s="767">
        <f t="shared" si="0"/>
        <v>0</v>
      </c>
      <c r="AE19" s="767">
        <f t="shared" si="0"/>
        <v>0</v>
      </c>
      <c r="AF19" s="767">
        <f t="shared" si="0"/>
        <v>0</v>
      </c>
      <c r="AG19" s="767">
        <f t="shared" si="0"/>
        <v>0</v>
      </c>
      <c r="AH19" s="767">
        <f t="shared" si="4"/>
        <v>0</v>
      </c>
      <c r="AI19" s="767">
        <f t="shared" si="1"/>
        <v>0</v>
      </c>
      <c r="AJ19" s="767">
        <f t="shared" si="2"/>
        <v>0</v>
      </c>
    </row>
    <row r="20" spans="1:36" ht="13" x14ac:dyDescent="0.3">
      <c r="A20" s="446">
        <v>2008</v>
      </c>
      <c r="B20" s="637">
        <v>9.2102011270063144</v>
      </c>
      <c r="C20" s="657">
        <v>6.2283301309714529</v>
      </c>
      <c r="D20" s="658">
        <v>4.9803456387265737</v>
      </c>
      <c r="E20" s="639">
        <v>5.7455732885874031</v>
      </c>
      <c r="F20" s="638">
        <v>6.3768572769180007</v>
      </c>
      <c r="G20" s="639"/>
      <c r="H20" s="657">
        <v>9.5638093579048657</v>
      </c>
      <c r="I20" s="638"/>
      <c r="J20" s="639">
        <v>5.6938589870447229</v>
      </c>
      <c r="K20" s="638">
        <v>6.394753500270336</v>
      </c>
      <c r="L20" s="642">
        <v>11.251552199286078</v>
      </c>
      <c r="M20" s="646"/>
      <c r="N20" s="646">
        <f>+'9.2 y 9.3'!B19/'8.2 y 8.3'!B19/10</f>
        <v>9.2102011270063127</v>
      </c>
      <c r="O20" s="646">
        <f>+'9.2 y 9.3'!C19/'8.2 y 8.3'!C19/10</f>
        <v>6.228330130971452</v>
      </c>
      <c r="P20" s="646">
        <f>+'9.2 y 9.3'!D19/'8.2 y 8.3'!D19/10</f>
        <v>4.9803456387265737</v>
      </c>
      <c r="Q20" s="646">
        <f>+'9.2 y 9.3'!E19/'8.2 y 8.3'!E19/10</f>
        <v>5.7455732885874031</v>
      </c>
      <c r="R20" s="646">
        <f>+'9.2 y 9.3'!F19/'8.2 y 8.3'!F19/10</f>
        <v>6.3768572769180007</v>
      </c>
      <c r="S20" s="646"/>
      <c r="T20" s="646">
        <f>+'9.2 y 9.3'!H19/'8.2 y 8.3'!H19/10</f>
        <v>9.563809357904864</v>
      </c>
      <c r="U20" s="646"/>
      <c r="V20" s="646">
        <f>+'9.2 y 9.3'!J19/'8.2 y 8.3'!J19/10</f>
        <v>5.6938589870447238</v>
      </c>
      <c r="W20" s="646">
        <f>+'9.2 y 9.3'!K19/'8.2 y 8.3'!K19/10</f>
        <v>6.3947535002703351</v>
      </c>
      <c r="X20" s="646">
        <f>+'9.2 y 9.3'!L19/'8.2 y 8.3'!L19/10</f>
        <v>11.251552199286074</v>
      </c>
      <c r="Z20" s="767">
        <f t="shared" si="3"/>
        <v>0</v>
      </c>
      <c r="AA20" s="767">
        <f t="shared" si="0"/>
        <v>0</v>
      </c>
      <c r="AB20" s="767">
        <f t="shared" si="0"/>
        <v>0</v>
      </c>
      <c r="AC20" s="767">
        <f t="shared" si="0"/>
        <v>0</v>
      </c>
      <c r="AD20" s="767">
        <f t="shared" si="0"/>
        <v>0</v>
      </c>
      <c r="AE20" s="767">
        <f t="shared" si="0"/>
        <v>0</v>
      </c>
      <c r="AF20" s="767">
        <f t="shared" si="0"/>
        <v>0</v>
      </c>
      <c r="AG20" s="767">
        <f t="shared" si="0"/>
        <v>0</v>
      </c>
      <c r="AH20" s="767">
        <f t="shared" si="4"/>
        <v>0</v>
      </c>
      <c r="AI20" s="767">
        <f t="shared" si="1"/>
        <v>0</v>
      </c>
      <c r="AJ20" s="767">
        <f t="shared" si="2"/>
        <v>0</v>
      </c>
    </row>
    <row r="21" spans="1:36" ht="13" x14ac:dyDescent="0.3">
      <c r="A21" s="440">
        <v>2009</v>
      </c>
      <c r="B21" s="631">
        <v>9.8564664211322821</v>
      </c>
      <c r="C21" s="655">
        <v>6.6120121400318581</v>
      </c>
      <c r="D21" s="656">
        <v>5.1166852734986161</v>
      </c>
      <c r="E21" s="633">
        <v>6.3586689290900313</v>
      </c>
      <c r="F21" s="632">
        <v>6.7686543248110507</v>
      </c>
      <c r="G21" s="633"/>
      <c r="H21" s="655">
        <v>10.2396970174371</v>
      </c>
      <c r="I21" s="632"/>
      <c r="J21" s="633">
        <v>6.490391155224434</v>
      </c>
      <c r="K21" s="632">
        <v>7.0732438462846803</v>
      </c>
      <c r="L21" s="636">
        <v>11.93819791492156</v>
      </c>
      <c r="M21" s="646"/>
      <c r="N21" s="646">
        <f>+'9.2 y 9.3'!B20/'8.2 y 8.3'!B20/10</f>
        <v>9.8564664211322821</v>
      </c>
      <c r="O21" s="646">
        <f>+'9.2 y 9.3'!C20/'8.2 y 8.3'!C20/10</f>
        <v>6.6120121400318581</v>
      </c>
      <c r="P21" s="646">
        <f>+'9.2 y 9.3'!D20/'8.2 y 8.3'!D20/10</f>
        <v>5.1166852734986161</v>
      </c>
      <c r="Q21" s="646">
        <f>+'9.2 y 9.3'!E20/'8.2 y 8.3'!E20/10</f>
        <v>6.3586689290900313</v>
      </c>
      <c r="R21" s="646">
        <f>+'9.2 y 9.3'!F20/'8.2 y 8.3'!F20/10</f>
        <v>6.7686543248110507</v>
      </c>
      <c r="S21" s="646"/>
      <c r="T21" s="646">
        <f>+'9.2 y 9.3'!H20/'8.2 y 8.3'!H20/10</f>
        <v>10.2396970174371</v>
      </c>
      <c r="U21" s="646"/>
      <c r="V21" s="646">
        <f>+'9.2 y 9.3'!J20/'8.2 y 8.3'!J20/10</f>
        <v>6.490391155224434</v>
      </c>
      <c r="W21" s="646">
        <f>+'9.2 y 9.3'!K20/'8.2 y 8.3'!K20/10</f>
        <v>7.0732438462846803</v>
      </c>
      <c r="X21" s="646">
        <f>+'9.2 y 9.3'!L20/'8.2 y 8.3'!L20/10</f>
        <v>11.93819791492156</v>
      </c>
      <c r="Z21" s="767">
        <f t="shared" si="3"/>
        <v>0</v>
      </c>
      <c r="AA21" s="767">
        <f t="shared" si="0"/>
        <v>0</v>
      </c>
      <c r="AB21" s="767">
        <f t="shared" si="0"/>
        <v>0</v>
      </c>
      <c r="AC21" s="767">
        <f t="shared" si="0"/>
        <v>0</v>
      </c>
      <c r="AD21" s="767">
        <f t="shared" si="0"/>
        <v>0</v>
      </c>
      <c r="AE21" s="767">
        <f t="shared" si="0"/>
        <v>0</v>
      </c>
      <c r="AF21" s="767">
        <f t="shared" si="0"/>
        <v>0</v>
      </c>
      <c r="AG21" s="767">
        <f t="shared" si="0"/>
        <v>0</v>
      </c>
      <c r="AH21" s="767">
        <f t="shared" si="4"/>
        <v>0</v>
      </c>
      <c r="AI21" s="767">
        <f t="shared" si="1"/>
        <v>0</v>
      </c>
      <c r="AJ21" s="767">
        <f t="shared" si="2"/>
        <v>0</v>
      </c>
    </row>
    <row r="22" spans="1:36" ht="13" x14ac:dyDescent="0.3">
      <c r="A22" s="578">
        <v>2010</v>
      </c>
      <c r="B22" s="660">
        <v>10.118555763056673</v>
      </c>
      <c r="C22" s="661">
        <v>6.9434163707427059</v>
      </c>
      <c r="D22" s="662">
        <v>5.077408052058348</v>
      </c>
      <c r="E22" s="646">
        <v>6.3641368686134872</v>
      </c>
      <c r="F22" s="645">
        <v>7.0449746553368442</v>
      </c>
      <c r="G22" s="646"/>
      <c r="H22" s="661">
        <v>10.459527312900395</v>
      </c>
      <c r="I22" s="645"/>
      <c r="J22" s="646">
        <v>6.5035627739387092</v>
      </c>
      <c r="K22" s="645">
        <v>7.2837152925544872</v>
      </c>
      <c r="L22" s="663">
        <v>12.241201148622203</v>
      </c>
      <c r="M22" s="646"/>
      <c r="N22" s="646">
        <f>+'9.2 y 9.3'!B21/'8.2 y 8.3'!B21/10</f>
        <v>10.118555763056674</v>
      </c>
      <c r="O22" s="646">
        <f>+'9.2 y 9.3'!C21/'8.2 y 8.3'!C21/10</f>
        <v>6.9434163707427059</v>
      </c>
      <c r="P22" s="646">
        <f>+'9.2 y 9.3'!D21/'8.2 y 8.3'!D21/10</f>
        <v>5.0774080520583489</v>
      </c>
      <c r="Q22" s="646">
        <f>+'9.2 y 9.3'!E21/'8.2 y 8.3'!E21/10</f>
        <v>6.3641368686134863</v>
      </c>
      <c r="R22" s="646">
        <f>+'9.2 y 9.3'!F21/'8.2 y 8.3'!F21/10</f>
        <v>7.0449746553368424</v>
      </c>
      <c r="S22" s="646"/>
      <c r="T22" s="646">
        <f>+'9.2 y 9.3'!H21/'8.2 y 8.3'!H21/10</f>
        <v>10.459527312900397</v>
      </c>
      <c r="U22" s="646"/>
      <c r="V22" s="646">
        <f>+'9.2 y 9.3'!J21/'8.2 y 8.3'!J21/10</f>
        <v>6.5035627739387083</v>
      </c>
      <c r="W22" s="646">
        <f>+'9.2 y 9.3'!K21/'8.2 y 8.3'!K21/10</f>
        <v>7.2837152925544881</v>
      </c>
      <c r="X22" s="646">
        <f>+'9.2 y 9.3'!L21/'8.2 y 8.3'!L21/10</f>
        <v>12.241201148622206</v>
      </c>
      <c r="Z22" s="767">
        <f t="shared" si="3"/>
        <v>0</v>
      </c>
      <c r="AA22" s="767">
        <f t="shared" si="0"/>
        <v>0</v>
      </c>
      <c r="AB22" s="767">
        <f t="shared" si="0"/>
        <v>0</v>
      </c>
      <c r="AC22" s="767">
        <f t="shared" si="0"/>
        <v>0</v>
      </c>
      <c r="AD22" s="767">
        <f t="shared" si="0"/>
        <v>0</v>
      </c>
      <c r="AE22" s="767">
        <f t="shared" si="0"/>
        <v>0</v>
      </c>
      <c r="AF22" s="767">
        <f t="shared" si="0"/>
        <v>0</v>
      </c>
      <c r="AG22" s="767">
        <f t="shared" si="0"/>
        <v>0</v>
      </c>
      <c r="AH22" s="767">
        <f t="shared" si="4"/>
        <v>0</v>
      </c>
      <c r="AI22" s="767">
        <f t="shared" si="1"/>
        <v>0</v>
      </c>
      <c r="AJ22" s="767">
        <f t="shared" si="2"/>
        <v>0</v>
      </c>
    </row>
    <row r="23" spans="1:36" ht="13" x14ac:dyDescent="0.3">
      <c r="A23" s="440">
        <v>2011</v>
      </c>
      <c r="B23" s="631">
        <v>10.785558411402899</v>
      </c>
      <c r="C23" s="655">
        <v>7.8471430858597868</v>
      </c>
      <c r="D23" s="656">
        <v>6.7276542454532988</v>
      </c>
      <c r="E23" s="633">
        <v>7.0533294258103352</v>
      </c>
      <c r="F23" s="632">
        <v>8.008408365300582</v>
      </c>
      <c r="G23" s="633"/>
      <c r="H23" s="655">
        <v>11.091278800848533</v>
      </c>
      <c r="I23" s="632">
        <v>6.71384692452905</v>
      </c>
      <c r="J23" s="633">
        <v>6.7341358113625844</v>
      </c>
      <c r="K23" s="632">
        <v>7.8176959015528542</v>
      </c>
      <c r="L23" s="636">
        <v>13.035214192831745</v>
      </c>
      <c r="M23" s="646"/>
      <c r="N23" s="646">
        <f>+'9.2 y 9.3'!B22/'8.2 y 8.3'!B22/10</f>
        <v>10.785558411402944</v>
      </c>
      <c r="O23" s="646">
        <f>+'9.2 y 9.3'!C22/'8.2 y 8.3'!C22/10</f>
        <v>7.8471430858597886</v>
      </c>
      <c r="P23" s="646">
        <f>+'9.2 y 9.3'!D22/'8.2 y 8.3'!D22/10</f>
        <v>6.727654245453297</v>
      </c>
      <c r="Q23" s="646">
        <f>+'9.2 y 9.3'!E22/'8.2 y 8.3'!E22/10</f>
        <v>7.0533294258103352</v>
      </c>
      <c r="R23" s="646">
        <f>+'9.2 y 9.3'!F22/'8.2 y 8.3'!F22/10</f>
        <v>8.008408365300582</v>
      </c>
      <c r="S23" s="646"/>
      <c r="T23" s="646">
        <f>+'9.2 y 9.3'!H22/'8.2 y 8.3'!H22/10</f>
        <v>11.091278800848531</v>
      </c>
      <c r="U23" s="646">
        <f>+'9.2 y 9.3'!I22/'8.2 y 8.3'!I22/10</f>
        <v>6.7138469245290509</v>
      </c>
      <c r="V23" s="646">
        <f>+'9.2 y 9.3'!J22/'8.2 y 8.3'!J22/10</f>
        <v>6.7341358113625844</v>
      </c>
      <c r="W23" s="646">
        <f>+'9.2 y 9.3'!K22/'8.2 y 8.3'!K22/10</f>
        <v>7.8176959015528551</v>
      </c>
      <c r="X23" s="646">
        <f>+'9.2 y 9.3'!L22/'8.2 y 8.3'!L22/10</f>
        <v>13.035214192831745</v>
      </c>
      <c r="Z23" s="767">
        <f t="shared" si="3"/>
        <v>4.4408920985006262E-14</v>
      </c>
      <c r="AA23" s="767">
        <f t="shared" ref="AA23:AA34" si="5">+O23-C23</f>
        <v>0</v>
      </c>
      <c r="AB23" s="767">
        <f t="shared" ref="AB23:AB34" si="6">+P23-D23</f>
        <v>0</v>
      </c>
      <c r="AC23" s="767">
        <f t="shared" ref="AC23:AC34" si="7">+Q23-E23</f>
        <v>0</v>
      </c>
      <c r="AD23" s="767">
        <f t="shared" ref="AD23:AD34" si="8">+R23-F23</f>
        <v>0</v>
      </c>
      <c r="AE23" s="767">
        <f t="shared" ref="AE23:AE34" si="9">+S23-G23</f>
        <v>0</v>
      </c>
      <c r="AF23" s="767">
        <f t="shared" ref="AF23:AF34" si="10">+T23-H23</f>
        <v>0</v>
      </c>
      <c r="AG23" s="767">
        <f t="shared" ref="AG23:AG34" si="11">+U23-I23</f>
        <v>0</v>
      </c>
      <c r="AH23" s="767">
        <f t="shared" si="4"/>
        <v>0</v>
      </c>
      <c r="AI23" s="767">
        <f t="shared" si="1"/>
        <v>0</v>
      </c>
      <c r="AJ23" s="767">
        <f t="shared" si="2"/>
        <v>0</v>
      </c>
    </row>
    <row r="24" spans="1:36" ht="13" x14ac:dyDescent="0.3">
      <c r="A24" s="578">
        <v>2012</v>
      </c>
      <c r="B24" s="660">
        <v>11.813141103914756</v>
      </c>
      <c r="C24" s="661">
        <v>8.1031305793669972</v>
      </c>
      <c r="D24" s="662">
        <v>7.8620771110833036</v>
      </c>
      <c r="E24" s="646">
        <v>7.459905901320278</v>
      </c>
      <c r="F24" s="645">
        <v>8.2676632349841022</v>
      </c>
      <c r="G24" s="646"/>
      <c r="H24" s="661">
        <v>12.2015373854772</v>
      </c>
      <c r="I24" s="645">
        <v>7.5899025605832673</v>
      </c>
      <c r="J24" s="646">
        <v>7.6868708919870361</v>
      </c>
      <c r="K24" s="645">
        <v>8.7191769045321177</v>
      </c>
      <c r="L24" s="663">
        <v>14.308465946084775</v>
      </c>
      <c r="M24" s="385"/>
      <c r="N24" s="646">
        <f>+'9.2 y 9.3'!B23/'8.2 y 8.3'!B23/10</f>
        <v>11.813141103914756</v>
      </c>
      <c r="O24" s="646">
        <f>+'9.2 y 9.3'!C23/'8.2 y 8.3'!C23/10</f>
        <v>8.1031305793669972</v>
      </c>
      <c r="P24" s="646">
        <f>+'9.2 y 9.3'!D23/'8.2 y 8.3'!D23/10</f>
        <v>7.8620771110833036</v>
      </c>
      <c r="Q24" s="646">
        <f>+'9.2 y 9.3'!E23/'8.2 y 8.3'!E23/10</f>
        <v>7.459905901320278</v>
      </c>
      <c r="R24" s="646">
        <f>+'9.2 y 9.3'!F23/'8.2 y 8.3'!F23/10</f>
        <v>8.2676632349841022</v>
      </c>
      <c r="S24" s="646"/>
      <c r="T24" s="646">
        <f>+'9.2 y 9.3'!H23/'8.2 y 8.3'!H23/10</f>
        <v>12.2015373854772</v>
      </c>
      <c r="U24" s="646">
        <f>+'9.2 y 9.3'!I23/'8.2 y 8.3'!I23/10</f>
        <v>7.5899025605832673</v>
      </c>
      <c r="V24" s="646">
        <f>+'9.2 y 9.3'!J23/'8.2 y 8.3'!J23/10</f>
        <v>7.6868708919870361</v>
      </c>
      <c r="W24" s="646">
        <f>+'9.2 y 9.3'!K23/'8.2 y 8.3'!K23/10</f>
        <v>8.7191769045321177</v>
      </c>
      <c r="X24" s="646">
        <f>+'9.2 y 9.3'!L23/'8.2 y 8.3'!L23/10</f>
        <v>14.308465946084775</v>
      </c>
      <c r="Z24" s="768">
        <f t="shared" si="3"/>
        <v>0</v>
      </c>
      <c r="AA24" s="768">
        <f t="shared" si="5"/>
        <v>0</v>
      </c>
      <c r="AB24" s="768">
        <f t="shared" si="6"/>
        <v>0</v>
      </c>
      <c r="AC24" s="768">
        <f t="shared" si="7"/>
        <v>0</v>
      </c>
      <c r="AD24" s="768">
        <f t="shared" si="8"/>
        <v>0</v>
      </c>
      <c r="AE24" s="768">
        <f t="shared" si="9"/>
        <v>0</v>
      </c>
      <c r="AF24" s="768">
        <f t="shared" si="10"/>
        <v>0</v>
      </c>
      <c r="AG24" s="768">
        <f t="shared" si="11"/>
        <v>0</v>
      </c>
      <c r="AH24" s="768">
        <f t="shared" si="4"/>
        <v>0</v>
      </c>
      <c r="AI24" s="768">
        <f t="shared" si="1"/>
        <v>0</v>
      </c>
      <c r="AJ24" s="768">
        <f t="shared" si="2"/>
        <v>0</v>
      </c>
    </row>
    <row r="25" spans="1:36" ht="13" x14ac:dyDescent="0.3">
      <c r="A25" s="647">
        <v>2013</v>
      </c>
      <c r="B25" s="648">
        <v>11.932348167600413</v>
      </c>
      <c r="C25" s="664">
        <v>9.0204318197884348</v>
      </c>
      <c r="D25" s="665">
        <v>8.9552120707181491</v>
      </c>
      <c r="E25" s="650">
        <v>8.3610820115130515</v>
      </c>
      <c r="F25" s="649">
        <v>9.1899621552346531</v>
      </c>
      <c r="G25" s="650"/>
      <c r="H25" s="664">
        <v>12.233348243552168</v>
      </c>
      <c r="I25" s="649">
        <v>7.8660990693172526</v>
      </c>
      <c r="J25" s="650">
        <v>7.9887123346607378</v>
      </c>
      <c r="K25" s="649">
        <v>8.8220715653775219</v>
      </c>
      <c r="L25" s="654">
        <v>14.29652408668748</v>
      </c>
      <c r="N25" s="646">
        <f>+'9.2 y 9.3'!B24/'8.2 y 8.3'!B24/10</f>
        <v>11.932348167600413</v>
      </c>
      <c r="O25" s="646">
        <f>+'9.2 y 9.3'!C24/'8.2 y 8.3'!C24/10</f>
        <v>9.0204318197884348</v>
      </c>
      <c r="P25" s="646">
        <f>+'9.2 y 9.3'!D24/'8.2 y 8.3'!D24/10</f>
        <v>8.9552120707181491</v>
      </c>
      <c r="Q25" s="646">
        <f>+'9.2 y 9.3'!E24/'8.2 y 8.3'!E24/10</f>
        <v>8.3610820115130515</v>
      </c>
      <c r="R25" s="646">
        <f>+'9.2 y 9.3'!F24/'8.2 y 8.3'!F24/10</f>
        <v>9.1899621552346531</v>
      </c>
      <c r="S25" s="646"/>
      <c r="T25" s="646">
        <f>+'9.2 y 9.3'!H24/'8.2 y 8.3'!H24/10</f>
        <v>12.233348243552168</v>
      </c>
      <c r="U25" s="646">
        <f>+'9.2 y 9.3'!I24/'8.2 y 8.3'!I24/10</f>
        <v>7.8660990693172526</v>
      </c>
      <c r="V25" s="646">
        <f>+'9.2 y 9.3'!J24/'8.2 y 8.3'!J24/10</f>
        <v>7.9887123346607378</v>
      </c>
      <c r="W25" s="646">
        <f>+'9.2 y 9.3'!K24/'8.2 y 8.3'!K24/10</f>
        <v>8.8220715653775219</v>
      </c>
      <c r="X25" s="646">
        <f>+'9.2 y 9.3'!L24/'8.2 y 8.3'!L24/10</f>
        <v>14.29652408668748</v>
      </c>
      <c r="Z25" s="767">
        <f t="shared" si="3"/>
        <v>0</v>
      </c>
      <c r="AA25" s="767">
        <f t="shared" si="5"/>
        <v>0</v>
      </c>
      <c r="AB25" s="767">
        <f t="shared" si="6"/>
        <v>0</v>
      </c>
      <c r="AC25" s="767">
        <f t="shared" si="7"/>
        <v>0</v>
      </c>
      <c r="AD25" s="767">
        <f t="shared" si="8"/>
        <v>0</v>
      </c>
      <c r="AE25" s="767">
        <f t="shared" si="9"/>
        <v>0</v>
      </c>
      <c r="AF25" s="767">
        <f t="shared" si="10"/>
        <v>0</v>
      </c>
      <c r="AG25" s="767">
        <f t="shared" si="11"/>
        <v>0</v>
      </c>
      <c r="AH25" s="767">
        <f t="shared" si="4"/>
        <v>0</v>
      </c>
      <c r="AI25" s="767">
        <f t="shared" si="1"/>
        <v>0</v>
      </c>
      <c r="AJ25" s="767">
        <f t="shared" si="2"/>
        <v>0</v>
      </c>
    </row>
    <row r="26" spans="1:36" ht="13" x14ac:dyDescent="0.3">
      <c r="A26" s="578">
        <v>2014</v>
      </c>
      <c r="B26" s="660">
        <v>13.055566807850985</v>
      </c>
      <c r="C26" s="661">
        <v>9.1953187125424662</v>
      </c>
      <c r="D26" s="662">
        <v>8.7599072322388505</v>
      </c>
      <c r="E26" s="646">
        <v>8.8508014952635783</v>
      </c>
      <c r="F26" s="645">
        <v>9.3067242906553016</v>
      </c>
      <c r="G26" s="646"/>
      <c r="H26" s="661">
        <v>13.430770769915773</v>
      </c>
      <c r="I26" s="645"/>
      <c r="J26" s="646">
        <v>8.5036534526531007</v>
      </c>
      <c r="K26" s="645">
        <v>9.6528525716515752</v>
      </c>
      <c r="L26" s="663">
        <v>15.782830724360887</v>
      </c>
      <c r="M26" s="385"/>
      <c r="N26" s="646">
        <f>+'9.2 y 9.3'!B25/'8.2 y 8.3'!B25/10</f>
        <v>13.055566807850985</v>
      </c>
      <c r="O26" s="646">
        <f>+'9.2 y 9.3'!C25/'8.2 y 8.3'!C25/10</f>
        <v>9.1953187125424662</v>
      </c>
      <c r="P26" s="646">
        <f>+'9.2 y 9.3'!D25/'8.2 y 8.3'!D25/10</f>
        <v>8.7599072322388505</v>
      </c>
      <c r="Q26" s="646">
        <f>+'9.2 y 9.3'!E25/'8.2 y 8.3'!E25/10</f>
        <v>8.8508014952635783</v>
      </c>
      <c r="R26" s="646">
        <f>+'9.2 y 9.3'!F25/'8.2 y 8.3'!F25/10</f>
        <v>9.3067242906553016</v>
      </c>
      <c r="S26" s="646"/>
      <c r="T26" s="646">
        <f>+'9.2 y 9.3'!H25/'8.2 y 8.3'!H25/10</f>
        <v>13.430770769915773</v>
      </c>
      <c r="U26" s="646"/>
      <c r="V26" s="646">
        <f>+'9.2 y 9.3'!J25/'8.2 y 8.3'!J25/10</f>
        <v>8.5036534526531007</v>
      </c>
      <c r="W26" s="646">
        <f>+'9.2 y 9.3'!K25/'8.2 y 8.3'!K25/10</f>
        <v>9.6528525716515752</v>
      </c>
      <c r="X26" s="646">
        <f>+'9.2 y 9.3'!L25/'8.2 y 8.3'!L25/10</f>
        <v>15.782830724360887</v>
      </c>
      <c r="Z26" s="767">
        <f t="shared" si="3"/>
        <v>0</v>
      </c>
      <c r="AA26" s="767">
        <f t="shared" si="5"/>
        <v>0</v>
      </c>
      <c r="AB26" s="767">
        <f t="shared" si="6"/>
        <v>0</v>
      </c>
      <c r="AC26" s="767">
        <f t="shared" si="7"/>
        <v>0</v>
      </c>
      <c r="AD26" s="767">
        <f t="shared" si="8"/>
        <v>0</v>
      </c>
      <c r="AE26" s="767">
        <f t="shared" si="9"/>
        <v>0</v>
      </c>
      <c r="AF26" s="767">
        <f t="shared" si="10"/>
        <v>0</v>
      </c>
      <c r="AG26" s="767">
        <f t="shared" si="11"/>
        <v>0</v>
      </c>
      <c r="AH26" s="767">
        <f t="shared" si="4"/>
        <v>0</v>
      </c>
      <c r="AI26" s="767">
        <f t="shared" si="1"/>
        <v>0</v>
      </c>
      <c r="AJ26" s="767">
        <f t="shared" si="2"/>
        <v>0</v>
      </c>
    </row>
    <row r="27" spans="1:36" ht="12.75" customHeight="1" x14ac:dyDescent="0.3">
      <c r="A27" s="647">
        <v>2015</v>
      </c>
      <c r="B27" s="648">
        <v>12.999782664016829</v>
      </c>
      <c r="C27" s="664">
        <v>8.699799997601172</v>
      </c>
      <c r="D27" s="665">
        <v>7.0247415171387768</v>
      </c>
      <c r="E27" s="650">
        <v>7.1655907888700741</v>
      </c>
      <c r="F27" s="649">
        <v>9.1877460651278149</v>
      </c>
      <c r="G27" s="650"/>
      <c r="H27" s="664">
        <v>13.400105420992441</v>
      </c>
      <c r="I27" s="649">
        <v>8.2070177150944303</v>
      </c>
      <c r="J27" s="650">
        <v>9.8638905601199305</v>
      </c>
      <c r="K27" s="649">
        <v>9.8844387377094201</v>
      </c>
      <c r="L27" s="654">
        <v>15.577889013348122</v>
      </c>
      <c r="N27" s="646">
        <f>+'9.2 y 9.3'!B26/'8.2 y 8.3'!B26/10</f>
        <v>12.999782664016829</v>
      </c>
      <c r="O27" s="646">
        <f>+'9.2 y 9.3'!C26/'8.2 y 8.3'!C26/10</f>
        <v>8.699799997601172</v>
      </c>
      <c r="P27" s="646">
        <f>+'9.2 y 9.3'!D26/'8.2 y 8.3'!D26/10</f>
        <v>7.0247415171387768</v>
      </c>
      <c r="Q27" s="646">
        <f>+'9.2 y 9.3'!E26/'8.2 y 8.3'!E26/10</f>
        <v>7.1655907888700741</v>
      </c>
      <c r="R27" s="646">
        <f>+'9.2 y 9.3'!F26/'8.2 y 8.3'!F26/10</f>
        <v>9.1877460651278149</v>
      </c>
      <c r="S27" s="646"/>
      <c r="T27" s="646">
        <f>+'9.2 y 9.3'!H26/'8.2 y 8.3'!H26/10</f>
        <v>13.400105420992441</v>
      </c>
      <c r="U27" s="646">
        <f>+'9.2 y 9.3'!I26/'8.2 y 8.3'!I26/10</f>
        <v>8.2070177150944303</v>
      </c>
      <c r="V27" s="646">
        <f>+'9.2 y 9.3'!J26/'8.2 y 8.3'!J26/10</f>
        <v>9.8638905601199305</v>
      </c>
      <c r="W27" s="646">
        <f>+'9.2 y 9.3'!K26/'8.2 y 8.3'!K26/10</f>
        <v>9.8844387377094201</v>
      </c>
      <c r="X27" s="646">
        <f>+'9.2 y 9.3'!L26/'8.2 y 8.3'!L26/10</f>
        <v>15.577889013348122</v>
      </c>
      <c r="Z27" s="767">
        <f t="shared" si="3"/>
        <v>0</v>
      </c>
      <c r="AA27" s="767">
        <f t="shared" si="5"/>
        <v>0</v>
      </c>
      <c r="AB27" s="767">
        <f t="shared" si="6"/>
        <v>0</v>
      </c>
      <c r="AC27" s="767">
        <f t="shared" si="7"/>
        <v>0</v>
      </c>
      <c r="AD27" s="767">
        <f t="shared" si="8"/>
        <v>0</v>
      </c>
      <c r="AE27" s="767">
        <f t="shared" si="9"/>
        <v>0</v>
      </c>
      <c r="AF27" s="767">
        <f t="shared" si="10"/>
        <v>0</v>
      </c>
      <c r="AG27" s="767">
        <f t="shared" si="11"/>
        <v>0</v>
      </c>
      <c r="AH27" s="767">
        <f t="shared" si="4"/>
        <v>0</v>
      </c>
      <c r="AI27" s="767">
        <f t="shared" si="1"/>
        <v>0</v>
      </c>
      <c r="AJ27" s="767">
        <f t="shared" si="2"/>
        <v>0</v>
      </c>
    </row>
    <row r="28" spans="1:36" ht="12.75" customHeight="1" x14ac:dyDescent="0.3">
      <c r="A28" s="578">
        <v>2016</v>
      </c>
      <c r="B28" s="660">
        <v>13.579918199627537</v>
      </c>
      <c r="C28" s="661">
        <v>7.9345181325819754</v>
      </c>
      <c r="D28" s="662">
        <v>6.6156144991685952</v>
      </c>
      <c r="E28" s="646">
        <v>8.1571528726675471</v>
      </c>
      <c r="F28" s="645">
        <v>7.9009945734958889</v>
      </c>
      <c r="G28" s="646"/>
      <c r="H28" s="661">
        <v>14.126765809264077</v>
      </c>
      <c r="I28" s="645">
        <v>8.197774575578638</v>
      </c>
      <c r="J28" s="646">
        <v>9.7643988611336354</v>
      </c>
      <c r="K28" s="645">
        <v>10.319221624205285</v>
      </c>
      <c r="L28" s="663">
        <v>16.167373275276905</v>
      </c>
      <c r="N28" s="646">
        <f>+'9.2 y 9.3'!B27/'8.2 y 8.3'!B27/10</f>
        <v>13.579918199627537</v>
      </c>
      <c r="O28" s="646">
        <f>+'9.2 y 9.3'!C27/'8.2 y 8.3'!C27/10</f>
        <v>7.9345181325819754</v>
      </c>
      <c r="P28" s="646">
        <f>+'9.2 y 9.3'!D27/'8.2 y 8.3'!D27/10</f>
        <v>6.6156144991685952</v>
      </c>
      <c r="Q28" s="646">
        <f>+'9.2 y 9.3'!E27/'8.2 y 8.3'!E27/10</f>
        <v>8.1571528726675471</v>
      </c>
      <c r="R28" s="646">
        <f>+'9.2 y 9.3'!F27/'8.2 y 8.3'!F27/10</f>
        <v>7.9009945734958889</v>
      </c>
      <c r="S28" s="646"/>
      <c r="T28" s="646">
        <f>+'9.2 y 9.3'!H27/'8.2 y 8.3'!H27/10</f>
        <v>14.126765809264077</v>
      </c>
      <c r="U28" s="646">
        <f>+'9.2 y 9.3'!I27/'8.2 y 8.3'!I27/10</f>
        <v>8.197774575578638</v>
      </c>
      <c r="V28" s="646">
        <f>+'9.2 y 9.3'!J27/'8.2 y 8.3'!J27/10</f>
        <v>9.7643988611336354</v>
      </c>
      <c r="W28" s="646">
        <f>+'9.2 y 9.3'!K27/'8.2 y 8.3'!K27/10</f>
        <v>10.319221624205285</v>
      </c>
      <c r="X28" s="646">
        <f>+'9.2 y 9.3'!L27/'8.2 y 8.3'!L27/10</f>
        <v>16.167373275276905</v>
      </c>
      <c r="Z28" s="767">
        <f t="shared" si="3"/>
        <v>0</v>
      </c>
      <c r="AA28" s="767">
        <f t="shared" si="5"/>
        <v>0</v>
      </c>
      <c r="AB28" s="767">
        <f t="shared" si="6"/>
        <v>0</v>
      </c>
      <c r="AC28" s="767">
        <f t="shared" si="7"/>
        <v>0</v>
      </c>
      <c r="AD28" s="767">
        <f t="shared" si="8"/>
        <v>0</v>
      </c>
      <c r="AE28" s="767">
        <f t="shared" si="9"/>
        <v>0</v>
      </c>
      <c r="AF28" s="767">
        <f t="shared" si="10"/>
        <v>0</v>
      </c>
      <c r="AG28" s="767">
        <f t="shared" si="11"/>
        <v>0</v>
      </c>
      <c r="AH28" s="767">
        <f t="shared" si="4"/>
        <v>0</v>
      </c>
      <c r="AI28" s="767">
        <f t="shared" si="1"/>
        <v>0</v>
      </c>
      <c r="AJ28" s="767">
        <f t="shared" si="2"/>
        <v>0</v>
      </c>
    </row>
    <row r="29" spans="1:36" ht="12.75" customHeight="1" x14ac:dyDescent="0.3">
      <c r="A29" s="647">
        <v>2017</v>
      </c>
      <c r="B29" s="648">
        <v>13.997247654672242</v>
      </c>
      <c r="C29" s="664">
        <v>7.5032824093331625</v>
      </c>
      <c r="D29" s="665">
        <v>5.9131372362331156</v>
      </c>
      <c r="E29" s="650">
        <v>6.6933327783090579</v>
      </c>
      <c r="F29" s="649">
        <v>7.5861814238363126</v>
      </c>
      <c r="G29" s="650"/>
      <c r="H29" s="664">
        <v>14.975888443120288</v>
      </c>
      <c r="I29" s="649">
        <v>9.0550769684115782</v>
      </c>
      <c r="J29" s="650">
        <v>10.024705046708066</v>
      </c>
      <c r="K29" s="649">
        <v>10.946275937696676</v>
      </c>
      <c r="L29" s="654">
        <v>16.62322284984565</v>
      </c>
      <c r="N29" s="646">
        <f>+'9.2 y 9.3'!B28/'8.2 y 8.3'!B28/10</f>
        <v>13.997247654672242</v>
      </c>
      <c r="O29" s="646">
        <f>+'9.2 y 9.3'!C28/'8.2 y 8.3'!C28/10</f>
        <v>7.5032824093331625</v>
      </c>
      <c r="P29" s="646">
        <f>+'9.2 y 9.3'!D28/'8.2 y 8.3'!D28/10</f>
        <v>5.9131372362331156</v>
      </c>
      <c r="Q29" s="646">
        <f>+'9.2 y 9.3'!E28/'8.2 y 8.3'!E28/10</f>
        <v>6.6933327783090579</v>
      </c>
      <c r="R29" s="646">
        <f>+'9.2 y 9.3'!F28/'8.2 y 8.3'!F28/10</f>
        <v>7.5861814238363126</v>
      </c>
      <c r="S29" s="646"/>
      <c r="T29" s="646">
        <f>+'9.2 y 9.3'!H28/'8.2 y 8.3'!H28/10</f>
        <v>14.975888443120288</v>
      </c>
      <c r="U29" s="646">
        <f>+'9.2 y 9.3'!I28/'8.2 y 8.3'!I28/10</f>
        <v>9.0550769684115782</v>
      </c>
      <c r="V29" s="646">
        <f>+'9.2 y 9.3'!J28/'8.2 y 8.3'!J28/10</f>
        <v>10.024705046708066</v>
      </c>
      <c r="W29" s="646">
        <f>+'9.2 y 9.3'!K28/'8.2 y 8.3'!K28/10</f>
        <v>10.946275937696676</v>
      </c>
      <c r="X29" s="646">
        <f>+'9.2 y 9.3'!L28/'8.2 y 8.3'!L28/10</f>
        <v>16.62322284984565</v>
      </c>
      <c r="Z29" s="767">
        <f t="shared" si="3"/>
        <v>0</v>
      </c>
      <c r="AA29" s="767">
        <f t="shared" si="5"/>
        <v>0</v>
      </c>
      <c r="AB29" s="767">
        <f t="shared" si="6"/>
        <v>0</v>
      </c>
      <c r="AC29" s="767">
        <f t="shared" si="7"/>
        <v>0</v>
      </c>
      <c r="AD29" s="767">
        <f t="shared" si="8"/>
        <v>0</v>
      </c>
      <c r="AE29" s="767">
        <f t="shared" si="9"/>
        <v>0</v>
      </c>
      <c r="AF29" s="767">
        <f t="shared" si="10"/>
        <v>0</v>
      </c>
      <c r="AG29" s="767">
        <f t="shared" si="11"/>
        <v>0</v>
      </c>
      <c r="AH29" s="767">
        <f t="shared" si="4"/>
        <v>0</v>
      </c>
      <c r="AI29" s="767">
        <f t="shared" si="1"/>
        <v>0</v>
      </c>
      <c r="AJ29" s="767">
        <f t="shared" si="2"/>
        <v>0</v>
      </c>
    </row>
    <row r="30" spans="1:36" ht="12.75" customHeight="1" x14ac:dyDescent="0.3">
      <c r="A30" s="578">
        <v>2018</v>
      </c>
      <c r="B30" s="660">
        <v>14.778011489254931</v>
      </c>
      <c r="C30" s="661">
        <v>7.3125227943033808</v>
      </c>
      <c r="D30" s="662">
        <v>5.1517043902077493</v>
      </c>
      <c r="E30" s="646">
        <v>6.8529068611694157</v>
      </c>
      <c r="F30" s="645">
        <v>7.3714915823011768</v>
      </c>
      <c r="G30" s="646">
        <v>8.2163519873634616</v>
      </c>
      <c r="H30" s="661">
        <v>15.917877337998695</v>
      </c>
      <c r="I30" s="645">
        <v>9.3874025807024655</v>
      </c>
      <c r="J30" s="646">
        <v>9.9131374983673339</v>
      </c>
      <c r="K30" s="645">
        <v>11.625498918057962</v>
      </c>
      <c r="L30" s="663">
        <v>17.402245070549775</v>
      </c>
      <c r="N30" s="646">
        <f>+'9.2 y 9.3'!B29/'8.2 y 8.3'!B29/10</f>
        <v>14.778011489254931</v>
      </c>
      <c r="O30" s="646">
        <f>+'9.2 y 9.3'!C29/'8.2 y 8.3'!C29/10</f>
        <v>7.3125227943033808</v>
      </c>
      <c r="P30" s="646">
        <f>+'9.2 y 9.3'!D29/'8.2 y 8.3'!D29/10</f>
        <v>5.1517043902077493</v>
      </c>
      <c r="Q30" s="646">
        <f>+'9.2 y 9.3'!E29/'8.2 y 8.3'!E29/10</f>
        <v>6.8529068611694157</v>
      </c>
      <c r="R30" s="646">
        <f>+'9.2 y 9.3'!F29/'8.2 y 8.3'!F29/10</f>
        <v>7.3714915823011768</v>
      </c>
      <c r="S30" s="646">
        <f>+'9.2 y 9.3'!G29/'8.2 y 8.3'!G29/10</f>
        <v>8.2163519873634616</v>
      </c>
      <c r="T30" s="646">
        <f>+'9.2 y 9.3'!H29/'8.2 y 8.3'!H29/10</f>
        <v>15.917877337998695</v>
      </c>
      <c r="U30" s="646">
        <f>+'9.2 y 9.3'!I29/'8.2 y 8.3'!I29/10</f>
        <v>9.3874025807024655</v>
      </c>
      <c r="V30" s="646">
        <f>+'9.2 y 9.3'!J29/'8.2 y 8.3'!J29/10</f>
        <v>9.9131374983673339</v>
      </c>
      <c r="W30" s="646">
        <f>+'9.2 y 9.3'!K29/'8.2 y 8.3'!K29/10</f>
        <v>11.625498918057962</v>
      </c>
      <c r="X30" s="646">
        <f>+'9.2 y 9.3'!L29/'8.2 y 8.3'!L29/10</f>
        <v>17.402245070549775</v>
      </c>
      <c r="Z30" s="767">
        <f t="shared" si="3"/>
        <v>0</v>
      </c>
      <c r="AA30" s="767">
        <f t="shared" si="5"/>
        <v>0</v>
      </c>
      <c r="AB30" s="767">
        <f t="shared" si="6"/>
        <v>0</v>
      </c>
      <c r="AC30" s="767">
        <f t="shared" si="7"/>
        <v>0</v>
      </c>
      <c r="AD30" s="767">
        <f t="shared" si="8"/>
        <v>0</v>
      </c>
      <c r="AE30" s="767">
        <f t="shared" si="9"/>
        <v>0</v>
      </c>
      <c r="AF30" s="767">
        <f t="shared" si="10"/>
        <v>0</v>
      </c>
      <c r="AG30" s="767">
        <f t="shared" si="11"/>
        <v>0</v>
      </c>
      <c r="AH30" s="767">
        <f t="shared" si="4"/>
        <v>0</v>
      </c>
      <c r="AI30" s="767">
        <f t="shared" si="1"/>
        <v>0</v>
      </c>
      <c r="AJ30" s="767">
        <f t="shared" si="2"/>
        <v>0</v>
      </c>
    </row>
    <row r="31" spans="1:36" ht="12.75" customHeight="1" x14ac:dyDescent="0.3">
      <c r="A31" s="647">
        <v>2019</v>
      </c>
      <c r="B31" s="648">
        <v>15.165939479888857</v>
      </c>
      <c r="C31" s="664">
        <v>7.426950580423096</v>
      </c>
      <c r="D31" s="665">
        <v>5.2209427155878698</v>
      </c>
      <c r="E31" s="650">
        <v>7.1365938495163617</v>
      </c>
      <c r="F31" s="649">
        <v>7.4724081006604806</v>
      </c>
      <c r="G31" s="650">
        <v>6.7358342968786804</v>
      </c>
      <c r="H31" s="664">
        <v>16.466857229914666</v>
      </c>
      <c r="I31" s="649">
        <v>9.1670782776302833</v>
      </c>
      <c r="J31" s="650">
        <v>8.6161811009875144</v>
      </c>
      <c r="K31" s="649">
        <v>11.959400574273662</v>
      </c>
      <c r="L31" s="654">
        <v>17.832120054963461</v>
      </c>
      <c r="N31" s="646">
        <f>+'9.2 y 9.3'!B30/'8.2 y 8.3'!B30/10</f>
        <v>15.165939479888857</v>
      </c>
      <c r="O31" s="646">
        <f>+'9.2 y 9.3'!C30/'8.2 y 8.3'!C30/10</f>
        <v>7.426950580423096</v>
      </c>
      <c r="P31" s="646">
        <f>+'9.2 y 9.3'!D30/'8.2 y 8.3'!D30/10</f>
        <v>5.2209427155878698</v>
      </c>
      <c r="Q31" s="646">
        <f>+'9.2 y 9.3'!E30/'8.2 y 8.3'!E30/10</f>
        <v>7.1365938495163617</v>
      </c>
      <c r="R31" s="646">
        <f>+'9.2 y 9.3'!F30/'8.2 y 8.3'!F30/10</f>
        <v>7.4724081006604806</v>
      </c>
      <c r="S31" s="646">
        <f>+'9.2 y 9.3'!G30/'8.2 y 8.3'!G30/10</f>
        <v>6.7358342968786804</v>
      </c>
      <c r="T31" s="646">
        <f>+'9.2 y 9.3'!H30/'8.2 y 8.3'!H30/10</f>
        <v>16.466857229914666</v>
      </c>
      <c r="U31" s="646">
        <f>+'9.2 y 9.3'!I30/'8.2 y 8.3'!I30/10</f>
        <v>9.1670782776302833</v>
      </c>
      <c r="V31" s="646">
        <f>+'9.2 y 9.3'!J30/'8.2 y 8.3'!J30/10</f>
        <v>8.6161811009875144</v>
      </c>
      <c r="W31" s="646">
        <f>+'9.2 y 9.3'!K30/'8.2 y 8.3'!K30/10</f>
        <v>11.959400574273662</v>
      </c>
      <c r="X31" s="646">
        <f>+'9.2 y 9.3'!L30/'8.2 y 8.3'!L30/10</f>
        <v>17.832120054963461</v>
      </c>
      <c r="Z31" s="767">
        <f t="shared" si="3"/>
        <v>0</v>
      </c>
      <c r="AA31" s="767">
        <f t="shared" si="5"/>
        <v>0</v>
      </c>
      <c r="AB31" s="767">
        <f t="shared" si="6"/>
        <v>0</v>
      </c>
      <c r="AC31" s="767">
        <f t="shared" si="7"/>
        <v>0</v>
      </c>
      <c r="AD31" s="767">
        <f t="shared" si="8"/>
        <v>0</v>
      </c>
      <c r="AE31" s="767">
        <f t="shared" si="9"/>
        <v>0</v>
      </c>
      <c r="AF31" s="767">
        <f t="shared" si="10"/>
        <v>0</v>
      </c>
      <c r="AG31" s="767">
        <f t="shared" si="11"/>
        <v>0</v>
      </c>
      <c r="AH31" s="767">
        <f t="shared" si="4"/>
        <v>0</v>
      </c>
      <c r="AI31" s="767">
        <f t="shared" si="1"/>
        <v>0</v>
      </c>
      <c r="AJ31" s="767">
        <f t="shared" si="2"/>
        <v>0</v>
      </c>
    </row>
    <row r="32" spans="1:36" ht="12.75" customHeight="1" x14ac:dyDescent="0.3">
      <c r="A32" s="578">
        <v>2020</v>
      </c>
      <c r="B32" s="660">
        <v>15.208785705234135</v>
      </c>
      <c r="C32" s="661">
        <v>7.1393918028486878</v>
      </c>
      <c r="D32" s="662">
        <v>5.4557175842903387</v>
      </c>
      <c r="E32" s="646">
        <v>6.7155092738149929</v>
      </c>
      <c r="F32" s="645">
        <v>7.194070112058796</v>
      </c>
      <c r="G32" s="646">
        <v>8.9734311686460906</v>
      </c>
      <c r="H32" s="661">
        <v>16.561452481763062</v>
      </c>
      <c r="I32" s="645">
        <v>16.470824869744845</v>
      </c>
      <c r="J32" s="646">
        <v>8.3722592012869601</v>
      </c>
      <c r="K32" s="645">
        <v>12.236525915806499</v>
      </c>
      <c r="L32" s="663">
        <v>17.649189039969787</v>
      </c>
      <c r="N32" s="646">
        <f>+'9.2 y 9.3'!B31/'8.2 y 8.3'!B31/10</f>
        <v>15.208785705234135</v>
      </c>
      <c r="O32" s="646">
        <f>+'9.2 y 9.3'!C31/'8.2 y 8.3'!C31/10</f>
        <v>7.1393918028486878</v>
      </c>
      <c r="P32" s="646">
        <f>+'9.2 y 9.3'!D31/'8.2 y 8.3'!D31/10</f>
        <v>5.4557175842903387</v>
      </c>
      <c r="Q32" s="646">
        <f>+'9.2 y 9.3'!E31/'8.2 y 8.3'!E31/10</f>
        <v>6.7155092738149929</v>
      </c>
      <c r="R32" s="646">
        <f>+'9.2 y 9.3'!F31/'8.2 y 8.3'!F31/10</f>
        <v>7.194070112058796</v>
      </c>
      <c r="S32" s="646">
        <f>+'9.2 y 9.3'!G31/'8.2 y 8.3'!G31/10</f>
        <v>8.9734311686460906</v>
      </c>
      <c r="T32" s="646">
        <f>+'9.2 y 9.3'!H31/'8.2 y 8.3'!H31/10</f>
        <v>16.561452481763062</v>
      </c>
      <c r="U32" s="646">
        <f>+'9.2 y 9.3'!I31/'8.2 y 8.3'!I31/10</f>
        <v>16.470824869744845</v>
      </c>
      <c r="V32" s="646">
        <f>+'9.2 y 9.3'!J31/'8.2 y 8.3'!J31/10</f>
        <v>8.3722592012869601</v>
      </c>
      <c r="W32" s="646">
        <f>+'9.2 y 9.3'!K31/'8.2 y 8.3'!K31/10</f>
        <v>12.236525915806499</v>
      </c>
      <c r="X32" s="646">
        <f>+'9.2 y 9.3'!L31/'8.2 y 8.3'!L31/10</f>
        <v>17.649189039969787</v>
      </c>
      <c r="Z32" s="767">
        <f t="shared" si="3"/>
        <v>0</v>
      </c>
      <c r="AA32" s="767">
        <f t="shared" si="5"/>
        <v>0</v>
      </c>
      <c r="AB32" s="767">
        <f t="shared" si="6"/>
        <v>0</v>
      </c>
      <c r="AC32" s="767">
        <f t="shared" si="7"/>
        <v>0</v>
      </c>
      <c r="AD32" s="767">
        <f t="shared" si="8"/>
        <v>0</v>
      </c>
      <c r="AE32" s="767">
        <f t="shared" si="9"/>
        <v>0</v>
      </c>
      <c r="AF32" s="767">
        <f t="shared" si="10"/>
        <v>0</v>
      </c>
      <c r="AG32" s="767">
        <f t="shared" si="11"/>
        <v>0</v>
      </c>
      <c r="AH32" s="767">
        <f t="shared" si="4"/>
        <v>0</v>
      </c>
      <c r="AI32" s="767">
        <f t="shared" si="1"/>
        <v>0</v>
      </c>
      <c r="AJ32" s="767">
        <f t="shared" si="2"/>
        <v>0</v>
      </c>
    </row>
    <row r="33" spans="1:42" ht="12.75" customHeight="1" x14ac:dyDescent="0.3">
      <c r="A33" s="647">
        <v>2021</v>
      </c>
      <c r="B33" s="648">
        <v>14.789460652520393</v>
      </c>
      <c r="C33" s="664">
        <v>6.6909688967573455</v>
      </c>
      <c r="D33" s="665">
        <v>5.6894721564828865</v>
      </c>
      <c r="E33" s="650">
        <v>6.6485709650023495</v>
      </c>
      <c r="F33" s="649">
        <v>6.6995431169686004</v>
      </c>
      <c r="G33" s="650">
        <v>9.3651195242005318</v>
      </c>
      <c r="H33" s="664">
        <v>16.370746357516783</v>
      </c>
      <c r="I33" s="649">
        <v>11.283074473045042</v>
      </c>
      <c r="J33" s="650">
        <v>11.518957113374015</v>
      </c>
      <c r="K33" s="649">
        <v>11.905175033195139</v>
      </c>
      <c r="L33" s="654">
        <v>17.458433660631556</v>
      </c>
      <c r="N33" s="646">
        <f>+'9.2 y 9.3'!B32/'8.2 y 8.3'!B32/10</f>
        <v>14.789460652520393</v>
      </c>
      <c r="O33" s="646">
        <f>+'9.2 y 9.3'!C32/'8.2 y 8.3'!C32/10</f>
        <v>6.6909688967573455</v>
      </c>
      <c r="P33" s="646">
        <f>+'9.2 y 9.3'!D32/'8.2 y 8.3'!D32/10</f>
        <v>5.6894721564828865</v>
      </c>
      <c r="Q33" s="646">
        <f>+'9.2 y 9.3'!E32/'8.2 y 8.3'!E32/10</f>
        <v>6.6485709650023495</v>
      </c>
      <c r="R33" s="646">
        <f>+'9.2 y 9.3'!F32/'8.2 y 8.3'!F32/10</f>
        <v>6.6995431169686004</v>
      </c>
      <c r="S33" s="646">
        <f>+'9.2 y 9.3'!G32/'8.2 y 8.3'!G32/10</f>
        <v>9.3651195242005318</v>
      </c>
      <c r="T33" s="646">
        <f>+'9.2 y 9.3'!H32/'8.2 y 8.3'!H32/10</f>
        <v>16.370746357516783</v>
      </c>
      <c r="U33" s="646">
        <f>+'9.2 y 9.3'!I32/'8.2 y 8.3'!I32/10</f>
        <v>11.283074473045042</v>
      </c>
      <c r="V33" s="646">
        <f>+'9.2 y 9.3'!J32/'8.2 y 8.3'!J32/10</f>
        <v>11.518957113374015</v>
      </c>
      <c r="W33" s="646">
        <f>+'9.2 y 9.3'!K32/'8.2 y 8.3'!K32/10</f>
        <v>11.905175033195139</v>
      </c>
      <c r="X33" s="646">
        <f>+'9.2 y 9.3'!L32/'8.2 y 8.3'!L32/10</f>
        <v>17.458433660631556</v>
      </c>
      <c r="Z33" s="767"/>
      <c r="AA33" s="767"/>
      <c r="AB33" s="767"/>
      <c r="AC33" s="767"/>
      <c r="AD33" s="767"/>
      <c r="AE33" s="767"/>
      <c r="AF33" s="767"/>
      <c r="AG33" s="767"/>
      <c r="AH33" s="767"/>
      <c r="AI33" s="767"/>
      <c r="AJ33" s="767"/>
    </row>
    <row r="34" spans="1:42" ht="12.75" customHeight="1" thickBot="1" x14ac:dyDescent="0.35">
      <c r="A34" s="701">
        <v>2022</v>
      </c>
      <c r="B34" s="660">
        <v>16.347425421378755</v>
      </c>
      <c r="C34" s="661">
        <v>7.5867472729989558</v>
      </c>
      <c r="D34" s="662"/>
      <c r="E34" s="646">
        <v>7.4580882587223183</v>
      </c>
      <c r="F34" s="645">
        <v>7.5925700839790666</v>
      </c>
      <c r="G34" s="646">
        <v>12.074999999999999</v>
      </c>
      <c r="H34" s="661">
        <v>18.234818418721542</v>
      </c>
      <c r="I34" s="645">
        <v>10.917142857142858</v>
      </c>
      <c r="J34" s="646">
        <v>11.732624113475179</v>
      </c>
      <c r="K34" s="645">
        <v>13.462322210221137</v>
      </c>
      <c r="L34" s="663">
        <v>19.34770287864594</v>
      </c>
      <c r="N34" s="646">
        <f>+'9.2 y 9.3'!B33/'8.2 y 8.3'!B33/10</f>
        <v>16.347425421378755</v>
      </c>
      <c r="O34" s="646">
        <f>+'9.2 y 9.3'!C33/'8.2 y 8.3'!C33/10</f>
        <v>7.5867472729989558</v>
      </c>
      <c r="P34" s="646"/>
      <c r="Q34" s="646">
        <f>+'9.2 y 9.3'!E33/'8.2 y 8.3'!E33/10</f>
        <v>7.4580882587223183</v>
      </c>
      <c r="R34" s="646">
        <f>+'9.2 y 9.3'!F33/'8.2 y 8.3'!F33/10</f>
        <v>7.5925700839790666</v>
      </c>
      <c r="S34" s="646">
        <f>+'9.2 y 9.3'!G33/'8.2 y 8.3'!G33/10</f>
        <v>12.074999999999999</v>
      </c>
      <c r="T34" s="646">
        <f>+'9.2 y 9.3'!H33/'8.2 y 8.3'!H33/10</f>
        <v>18.234818418721542</v>
      </c>
      <c r="U34" s="646">
        <f>+'9.2 y 9.3'!I33/'8.2 y 8.3'!I33/10</f>
        <v>10.917142857142858</v>
      </c>
      <c r="V34" s="646">
        <f>+'9.2 y 9.3'!J33/'8.2 y 8.3'!J33/10</f>
        <v>11.732624113475179</v>
      </c>
      <c r="W34" s="646">
        <f>+'9.2 y 9.3'!K33/'8.2 y 8.3'!K33/10</f>
        <v>13.462322210221137</v>
      </c>
      <c r="X34" s="646">
        <f>+'9.2 y 9.3'!L33/'8.2 y 8.3'!L33/10</f>
        <v>19.34770287864594</v>
      </c>
      <c r="Z34" s="767">
        <f t="shared" si="3"/>
        <v>0</v>
      </c>
      <c r="AA34" s="767">
        <f t="shared" si="5"/>
        <v>0</v>
      </c>
      <c r="AB34" s="767">
        <f t="shared" si="6"/>
        <v>0</v>
      </c>
      <c r="AC34" s="767">
        <f t="shared" si="7"/>
        <v>0</v>
      </c>
      <c r="AD34" s="767">
        <f t="shared" si="8"/>
        <v>0</v>
      </c>
      <c r="AE34" s="767">
        <f t="shared" si="9"/>
        <v>0</v>
      </c>
      <c r="AF34" s="767">
        <f t="shared" si="10"/>
        <v>0</v>
      </c>
      <c r="AG34" s="767">
        <f t="shared" si="11"/>
        <v>0</v>
      </c>
      <c r="AH34" s="767">
        <f t="shared" si="4"/>
        <v>0</v>
      </c>
      <c r="AI34" s="767">
        <f t="shared" si="1"/>
        <v>0</v>
      </c>
      <c r="AJ34" s="767">
        <f t="shared" si="2"/>
        <v>0</v>
      </c>
    </row>
    <row r="35" spans="1:42" s="493" customFormat="1" ht="18.75" customHeight="1" x14ac:dyDescent="0.25">
      <c r="A35" s="903" t="s">
        <v>161</v>
      </c>
      <c r="B35" s="930">
        <f>(B34/B33)-1</f>
        <v>0.1053429063752136</v>
      </c>
      <c r="C35" s="944">
        <f>(C34/C33)-1</f>
        <v>0.13387872370408616</v>
      </c>
      <c r="D35" s="862" t="s">
        <v>32</v>
      </c>
      <c r="E35" s="931">
        <f t="shared" ref="E35:L35" si="12">(E34/E33)-1</f>
        <v>0.12175808876542282</v>
      </c>
      <c r="F35" s="862">
        <f t="shared" si="12"/>
        <v>0.13329669671781175</v>
      </c>
      <c r="G35" s="862">
        <f t="shared" si="12"/>
        <v>0.2893588777801317</v>
      </c>
      <c r="H35" s="944">
        <f t="shared" si="12"/>
        <v>0.11386604009956169</v>
      </c>
      <c r="I35" s="862">
        <f t="shared" si="12"/>
        <v>-3.2431906460990256E-2</v>
      </c>
      <c r="J35" s="931">
        <f t="shared" si="12"/>
        <v>1.854916187274358E-2</v>
      </c>
      <c r="K35" s="862">
        <f t="shared" si="12"/>
        <v>0.1307958238903848</v>
      </c>
      <c r="L35" s="950">
        <f t="shared" si="12"/>
        <v>0.10821527605163417</v>
      </c>
      <c r="M35" s="951"/>
      <c r="P35" s="493">
        <f>+'9.2 y 9.3'!D33</f>
        <v>0</v>
      </c>
    </row>
    <row r="36" spans="1:42" s="493" customFormat="1" ht="18.75" customHeight="1" x14ac:dyDescent="0.25">
      <c r="A36" s="952" t="s">
        <v>162</v>
      </c>
      <c r="B36" s="953">
        <f>((B34/B29)^(1/5))-1</f>
        <v>3.1528766155806354E-2</v>
      </c>
      <c r="C36" s="987">
        <f>((C34/C29)^(1/5))-1</f>
        <v>2.2149225033312181E-3</v>
      </c>
      <c r="D36" s="866" t="s">
        <v>32</v>
      </c>
      <c r="E36" s="955">
        <f>((E34/E29)^(1/5))-1</f>
        <v>2.18732254208438E-2</v>
      </c>
      <c r="F36" s="866">
        <f>((F34/F29)^(1/5))-1</f>
        <v>1.6837217047660502E-4</v>
      </c>
      <c r="G36" s="956" t="s">
        <v>32</v>
      </c>
      <c r="H36" s="954">
        <f>((H34/H29)^(1/5))-1</f>
        <v>4.0163881537703228E-2</v>
      </c>
      <c r="I36" s="866">
        <f>((I34/I29)^(1/5))-1</f>
        <v>3.8109987707431126E-2</v>
      </c>
      <c r="J36" s="955">
        <f>((J34/J29)^(1/5))-1</f>
        <v>3.1964388555118628E-2</v>
      </c>
      <c r="K36" s="866">
        <f>((K34/K29)^(1/5))-1</f>
        <v>4.2247153786239444E-2</v>
      </c>
      <c r="L36" s="956">
        <f>((L34/L29)^(1/5))-1</f>
        <v>3.082000072154778E-2</v>
      </c>
      <c r="M36" s="951"/>
    </row>
    <row r="37" spans="1:42" s="493" customFormat="1" ht="18.75" customHeight="1" x14ac:dyDescent="0.25">
      <c r="A37" s="905" t="s">
        <v>163</v>
      </c>
      <c r="B37" s="938">
        <f>(B34/B24)-1</f>
        <v>0.38383392508207526</v>
      </c>
      <c r="C37" s="710">
        <f>(C34/C24)-1</f>
        <v>-6.3726395781268597E-2</v>
      </c>
      <c r="D37" s="940" t="s">
        <v>32</v>
      </c>
      <c r="E37" s="986">
        <f>(E34/E24)-1</f>
        <v>-2.4365489618816127E-4</v>
      </c>
      <c r="F37" s="940">
        <f>(F34/F24)-1</f>
        <v>-8.165465039122799E-2</v>
      </c>
      <c r="G37" s="957" t="s">
        <v>32</v>
      </c>
      <c r="H37" s="710">
        <f>(H34/H24)-1</f>
        <v>0.49446892163158185</v>
      </c>
      <c r="I37" s="940">
        <f>(I34/I24)-1</f>
        <v>0.43837720840304173</v>
      </c>
      <c r="J37" s="939">
        <f>(J34/J24)-1</f>
        <v>0.52631991330900663</v>
      </c>
      <c r="K37" s="940">
        <f>(K34/K24)-1</f>
        <v>0.54399002997904455</v>
      </c>
      <c r="L37" s="957">
        <f>(L34/L24)-1</f>
        <v>0.35218568863701649</v>
      </c>
      <c r="M37" s="958"/>
    </row>
    <row r="38" spans="1:42" s="493" customFormat="1" ht="18.75" customHeight="1" thickBot="1" x14ac:dyDescent="0.3">
      <c r="A38" s="959" t="s">
        <v>164</v>
      </c>
      <c r="B38" s="960">
        <f>((B34/B24)^(1/10))-1</f>
        <v>3.3019209050397347E-2</v>
      </c>
      <c r="C38" s="947">
        <f>((C34/C24)^(1/10))-1</f>
        <v>-6.5631213204323524E-3</v>
      </c>
      <c r="D38" s="870" t="s">
        <v>32</v>
      </c>
      <c r="E38" s="985">
        <f>((E34/E24)^(1/10))-1</f>
        <v>-2.4368161578025571E-5</v>
      </c>
      <c r="F38" s="870">
        <f>((F34/F24)^(1/10))-1</f>
        <v>-8.4819992584589388E-3</v>
      </c>
      <c r="G38" s="961" t="s">
        <v>32</v>
      </c>
      <c r="H38" s="947">
        <f>((H34/H24)^(1/10))-1</f>
        <v>4.0995108460351704E-2</v>
      </c>
      <c r="I38" s="870">
        <f>((I34/I24)^(1/10))-1</f>
        <v>3.702035101693224E-2</v>
      </c>
      <c r="J38" s="948">
        <f>((J34/J24)^(1/10))-1</f>
        <v>4.3192742559729824E-2</v>
      </c>
      <c r="K38" s="870">
        <f>((K34/K24)^(1/10))-1</f>
        <v>4.4394194811258281E-2</v>
      </c>
      <c r="L38" s="961">
        <f>((L34/L24)^(1/10))-1</f>
        <v>3.0632025644014016E-2</v>
      </c>
    </row>
    <row r="39" spans="1:42" x14ac:dyDescent="0.25">
      <c r="A39" s="333"/>
    </row>
    <row r="40" spans="1:42" x14ac:dyDescent="0.25">
      <c r="A40" s="383"/>
    </row>
    <row r="41" spans="1:42" x14ac:dyDescent="0.25">
      <c r="A41" s="383"/>
    </row>
    <row r="42" spans="1:42" x14ac:dyDescent="0.25">
      <c r="A42" s="383"/>
      <c r="AN42" s="1631"/>
      <c r="AO42" s="1631"/>
      <c r="AP42" s="1631"/>
    </row>
    <row r="43" spans="1:42" x14ac:dyDescent="0.25">
      <c r="A43" s="383"/>
      <c r="AN43" s="1631"/>
      <c r="AO43" s="1631" t="s">
        <v>188</v>
      </c>
      <c r="AP43" s="1631" t="s">
        <v>189</v>
      </c>
    </row>
    <row r="44" spans="1:42" x14ac:dyDescent="0.25">
      <c r="A44" s="383"/>
      <c r="AN44" s="1631">
        <v>1995</v>
      </c>
      <c r="AO44" s="1656">
        <f>+C7</f>
        <v>5.5357375593344766</v>
      </c>
      <c r="AP44" s="1656">
        <f>+H7</f>
        <v>10.148610371781364</v>
      </c>
    </row>
    <row r="45" spans="1:42" x14ac:dyDescent="0.25">
      <c r="A45" s="383"/>
      <c r="AN45" s="1631">
        <v>2000</v>
      </c>
      <c r="AO45" s="1656">
        <f>+C12</f>
        <v>5.3360143471179855</v>
      </c>
      <c r="AP45" s="1656">
        <f>+H12</f>
        <v>8.8063395358146757</v>
      </c>
    </row>
    <row r="46" spans="1:42" x14ac:dyDescent="0.25">
      <c r="A46" s="383"/>
      <c r="AN46" s="1631">
        <v>2005</v>
      </c>
      <c r="AO46" s="1656">
        <f>+C17</f>
        <v>5.650701414642656</v>
      </c>
      <c r="AP46" s="1656">
        <f>+H17</f>
        <v>9.4007778088619069</v>
      </c>
    </row>
    <row r="47" spans="1:42" x14ac:dyDescent="0.25">
      <c r="A47" s="383"/>
      <c r="AN47" s="1631">
        <v>2010</v>
      </c>
      <c r="AO47" s="1656">
        <v>6.9434163707427059</v>
      </c>
      <c r="AP47" s="1656">
        <v>10.459527312900395</v>
      </c>
    </row>
    <row r="48" spans="1:42" x14ac:dyDescent="0.25">
      <c r="A48" s="383"/>
      <c r="AN48" s="1631">
        <v>2011</v>
      </c>
      <c r="AO48" s="1656">
        <v>7.8471430858597868</v>
      </c>
      <c r="AP48" s="1656">
        <v>11.091278800848533</v>
      </c>
    </row>
    <row r="49" spans="1:42" x14ac:dyDescent="0.25">
      <c r="A49" s="383"/>
      <c r="AN49" s="1631">
        <v>2012</v>
      </c>
      <c r="AO49" s="1656">
        <v>8.1031305793669972</v>
      </c>
      <c r="AP49" s="1656">
        <v>12.2015373854772</v>
      </c>
    </row>
    <row r="50" spans="1:42" x14ac:dyDescent="0.25">
      <c r="A50" s="383"/>
      <c r="AN50" s="1631">
        <v>2013</v>
      </c>
      <c r="AO50" s="1656">
        <v>9.0204318197884348</v>
      </c>
      <c r="AP50" s="1656">
        <v>12.233348243552168</v>
      </c>
    </row>
    <row r="51" spans="1:42" x14ac:dyDescent="0.25">
      <c r="A51" s="383"/>
      <c r="AN51" s="1631">
        <v>2014</v>
      </c>
      <c r="AO51" s="1656">
        <v>9.1953187125424662</v>
      </c>
      <c r="AP51" s="1656">
        <v>13.430770769915773</v>
      </c>
    </row>
    <row r="52" spans="1:42" x14ac:dyDescent="0.25">
      <c r="A52" s="383"/>
      <c r="AN52" s="1631">
        <v>2015</v>
      </c>
      <c r="AO52" s="1656">
        <v>8.699799997601172</v>
      </c>
      <c r="AP52" s="1656">
        <v>13.400105420992441</v>
      </c>
    </row>
    <row r="53" spans="1:42" x14ac:dyDescent="0.25">
      <c r="A53" s="383"/>
      <c r="AN53" s="1631">
        <v>2016</v>
      </c>
      <c r="AO53" s="1656">
        <v>7.9345181325819754</v>
      </c>
      <c r="AP53" s="1656">
        <v>14.126765809264077</v>
      </c>
    </row>
    <row r="54" spans="1:42" x14ac:dyDescent="0.25">
      <c r="A54" s="383"/>
      <c r="AN54" s="1631">
        <v>2017</v>
      </c>
      <c r="AO54" s="1656">
        <v>7.5032824093331625</v>
      </c>
      <c r="AP54" s="1656">
        <v>14.975888443120288</v>
      </c>
    </row>
    <row r="55" spans="1:42" x14ac:dyDescent="0.25">
      <c r="A55" s="383"/>
      <c r="AN55" s="1631">
        <v>2018</v>
      </c>
      <c r="AO55" s="1656">
        <v>7.3125227943033808</v>
      </c>
      <c r="AP55" s="1656">
        <v>15.917877337998695</v>
      </c>
    </row>
    <row r="56" spans="1:42" x14ac:dyDescent="0.25">
      <c r="A56" s="383"/>
      <c r="AN56" s="1631">
        <v>2019</v>
      </c>
      <c r="AO56" s="1656">
        <v>7.426950580423096</v>
      </c>
      <c r="AP56" s="1656">
        <v>16.466857229914666</v>
      </c>
    </row>
    <row r="57" spans="1:42" x14ac:dyDescent="0.25">
      <c r="A57" s="383"/>
      <c r="AN57" s="1631">
        <v>2020</v>
      </c>
      <c r="AO57" s="1656">
        <v>7.1393918028486878</v>
      </c>
      <c r="AP57" s="1656">
        <v>16.561452481763062</v>
      </c>
    </row>
    <row r="58" spans="1:42" x14ac:dyDescent="0.25">
      <c r="A58" s="383"/>
      <c r="AN58" s="1631">
        <v>2021</v>
      </c>
      <c r="AO58" s="1656">
        <v>6.6909688967573455</v>
      </c>
      <c r="AP58" s="1656">
        <v>16.370746357516783</v>
      </c>
    </row>
    <row r="59" spans="1:42" x14ac:dyDescent="0.25">
      <c r="A59" s="383"/>
      <c r="AN59" s="1631">
        <v>2022</v>
      </c>
      <c r="AO59" s="1656">
        <v>7.5867472729989558</v>
      </c>
      <c r="AP59" s="1656">
        <v>18.234818418721542</v>
      </c>
    </row>
    <row r="60" spans="1:42" x14ac:dyDescent="0.25">
      <c r="A60" s="383"/>
      <c r="AN60" s="1631"/>
      <c r="AO60" s="1631"/>
      <c r="AP60" s="1631"/>
    </row>
    <row r="61" spans="1:42" x14ac:dyDescent="0.25">
      <c r="A61" s="383"/>
    </row>
    <row r="62" spans="1:42" x14ac:dyDescent="0.25">
      <c r="A62" s="383"/>
    </row>
    <row r="63" spans="1:42" x14ac:dyDescent="0.25">
      <c r="A63" s="383"/>
    </row>
    <row r="64" spans="1:42" x14ac:dyDescent="0.25">
      <c r="A64" s="383"/>
    </row>
    <row r="65" spans="1:24" x14ac:dyDescent="0.25">
      <c r="A65" s="383"/>
    </row>
    <row r="67" spans="1:24" ht="15.5" x14ac:dyDescent="0.35">
      <c r="A67" s="613" t="s">
        <v>227</v>
      </c>
      <c r="F67" s="613"/>
    </row>
    <row r="68" spans="1:24" x14ac:dyDescent="0.25">
      <c r="A68" s="383"/>
    </row>
    <row r="69" spans="1:24" ht="13" thickBot="1" x14ac:dyDescent="0.3">
      <c r="H69" s="371"/>
    </row>
    <row r="70" spans="1:24" x14ac:dyDescent="0.25">
      <c r="A70" s="1514" t="s">
        <v>39</v>
      </c>
      <c r="B70" s="1514" t="s">
        <v>53</v>
      </c>
      <c r="C70" s="1584" t="s">
        <v>132</v>
      </c>
      <c r="D70" s="1574"/>
      <c r="E70" s="1574"/>
      <c r="F70" s="1575"/>
      <c r="H70" s="371"/>
    </row>
    <row r="71" spans="1:24" ht="13.5" thickBot="1" x14ac:dyDescent="0.35">
      <c r="A71" s="1515"/>
      <c r="B71" s="1515"/>
      <c r="C71" s="1131" t="s">
        <v>134</v>
      </c>
      <c r="D71" s="1122" t="s">
        <v>135</v>
      </c>
      <c r="E71" s="1123" t="s">
        <v>136</v>
      </c>
      <c r="F71" s="1132" t="s">
        <v>137</v>
      </c>
      <c r="H71" s="371"/>
      <c r="I71" s="371"/>
    </row>
    <row r="72" spans="1:24" ht="13" x14ac:dyDescent="0.3">
      <c r="A72" s="666">
        <v>1995</v>
      </c>
      <c r="B72" s="667">
        <v>4.2445573090579085</v>
      </c>
      <c r="C72" s="668">
        <v>2.6254026539122854</v>
      </c>
      <c r="D72" s="633">
        <v>4.1124728445652465</v>
      </c>
      <c r="E72" s="632">
        <v>5.2352863032107129</v>
      </c>
      <c r="F72" s="636">
        <v>12.259609384109694</v>
      </c>
      <c r="H72" s="371"/>
      <c r="N72" s="375">
        <f>+'9.2 y 9.3'!B68/'8.2 y 8.3'!B65/10</f>
        <v>4.2445573090579085</v>
      </c>
      <c r="O72" s="375">
        <f>+'9.2 y 9.3'!C68/'8.2 y 8.3'!C65/10</f>
        <v>2.6254026539122854</v>
      </c>
      <c r="P72" s="375">
        <f>+'9.2 y 9.3'!D68/'8.2 y 8.3'!D65/10</f>
        <v>4.1124728445652465</v>
      </c>
      <c r="Q72" s="375">
        <f>+'9.2 y 9.3'!E68/'8.2 y 8.3'!E65/10</f>
        <v>5.2352863032107129</v>
      </c>
      <c r="R72" s="375">
        <f>+'9.2 y 9.3'!F68/'8.2 y 8.3'!F65/10</f>
        <v>12.259609384109694</v>
      </c>
      <c r="T72" s="767">
        <f>+N72-B72</f>
        <v>0</v>
      </c>
      <c r="U72" s="767">
        <f t="shared" ref="U72:X87" si="13">+O72-C72</f>
        <v>0</v>
      </c>
      <c r="V72" s="767">
        <f t="shared" si="13"/>
        <v>0</v>
      </c>
      <c r="W72" s="767">
        <f t="shared" si="13"/>
        <v>0</v>
      </c>
      <c r="X72" s="767">
        <f t="shared" si="13"/>
        <v>0</v>
      </c>
    </row>
    <row r="73" spans="1:24" ht="13" x14ac:dyDescent="0.3">
      <c r="A73" s="446">
        <v>1996</v>
      </c>
      <c r="B73" s="669">
        <v>4.5448535324028105</v>
      </c>
      <c r="C73" s="670">
        <v>3.7768727572804659</v>
      </c>
      <c r="D73" s="639">
        <v>4.5741091225801114</v>
      </c>
      <c r="E73" s="638">
        <v>5.6686250845948596</v>
      </c>
      <c r="F73" s="642">
        <v>13.881026594056561</v>
      </c>
      <c r="H73" s="371"/>
      <c r="N73" s="375">
        <f>+'9.2 y 9.3'!B69/'8.2 y 8.3'!B66/10</f>
        <v>4.5448535324028105</v>
      </c>
      <c r="O73" s="375">
        <f>+'9.2 y 9.3'!C69/'8.2 y 8.3'!C66/10</f>
        <v>3.7768727572804659</v>
      </c>
      <c r="P73" s="375">
        <f>+'9.2 y 9.3'!D69/'8.2 y 8.3'!D66/10</f>
        <v>4.5741091225801114</v>
      </c>
      <c r="Q73" s="375">
        <f>+'9.2 y 9.3'!E69/'8.2 y 8.3'!E66/10</f>
        <v>5.6686250845948596</v>
      </c>
      <c r="R73" s="375">
        <f>+'9.2 y 9.3'!F69/'8.2 y 8.3'!F66/10</f>
        <v>13.881026594056561</v>
      </c>
      <c r="T73" s="767">
        <f t="shared" ref="T73:T97" si="14">+N73-B73</f>
        <v>0</v>
      </c>
      <c r="U73" s="767">
        <f t="shared" si="13"/>
        <v>0</v>
      </c>
      <c r="V73" s="767">
        <f t="shared" si="13"/>
        <v>0</v>
      </c>
      <c r="W73" s="767">
        <f t="shared" si="13"/>
        <v>0</v>
      </c>
      <c r="X73" s="767">
        <f t="shared" si="13"/>
        <v>0</v>
      </c>
    </row>
    <row r="74" spans="1:24" ht="13" x14ac:dyDescent="0.3">
      <c r="A74" s="440">
        <v>1997</v>
      </c>
      <c r="B74" s="667">
        <v>5.2121175208150961</v>
      </c>
      <c r="C74" s="668">
        <v>5.9352964720055166</v>
      </c>
      <c r="D74" s="633">
        <v>3.2955094233420139</v>
      </c>
      <c r="E74" s="632">
        <v>5.5194898315321606</v>
      </c>
      <c r="F74" s="636">
        <v>14.760000153121288</v>
      </c>
      <c r="H74" s="371"/>
      <c r="I74" s="371"/>
      <c r="M74" s="671"/>
      <c r="N74" s="375">
        <f>+'9.2 y 9.3'!B70/'8.2 y 8.3'!B67/10</f>
        <v>5.2121175208150961</v>
      </c>
      <c r="O74" s="375">
        <f>+'9.2 y 9.3'!C70/'8.2 y 8.3'!C67/10</f>
        <v>5.9352964720055166</v>
      </c>
      <c r="P74" s="375">
        <f>+'9.2 y 9.3'!D70/'8.2 y 8.3'!D67/10</f>
        <v>3.2955094233420139</v>
      </c>
      <c r="Q74" s="375">
        <f>+'9.2 y 9.3'!E70/'8.2 y 8.3'!E67/10</f>
        <v>5.5194898315321606</v>
      </c>
      <c r="R74" s="375">
        <f>+'9.2 y 9.3'!F70/'8.2 y 8.3'!F67/10</f>
        <v>14.760000153121288</v>
      </c>
      <c r="T74" s="767">
        <f t="shared" si="14"/>
        <v>0</v>
      </c>
      <c r="U74" s="767">
        <f t="shared" si="13"/>
        <v>0</v>
      </c>
      <c r="V74" s="767">
        <f t="shared" si="13"/>
        <v>0</v>
      </c>
      <c r="W74" s="767">
        <f t="shared" si="13"/>
        <v>0</v>
      </c>
      <c r="X74" s="767">
        <f t="shared" si="13"/>
        <v>0</v>
      </c>
    </row>
    <row r="75" spans="1:24" ht="13" x14ac:dyDescent="0.3">
      <c r="A75" s="446">
        <v>1998</v>
      </c>
      <c r="B75" s="669">
        <v>4.8931747664703975</v>
      </c>
      <c r="C75" s="670">
        <v>5.197759403402463</v>
      </c>
      <c r="D75" s="639">
        <v>4.360861696640618</v>
      </c>
      <c r="E75" s="638">
        <v>4.8545284988403408</v>
      </c>
      <c r="F75" s="642">
        <v>16.277139183782836</v>
      </c>
      <c r="H75" s="371"/>
      <c r="M75" s="671"/>
      <c r="N75" s="375">
        <f>+'9.2 y 9.3'!B71/'8.2 y 8.3'!B68/10</f>
        <v>4.8931747664703975</v>
      </c>
      <c r="O75" s="375">
        <f>+'9.2 y 9.3'!C71/'8.2 y 8.3'!C68/10</f>
        <v>5.197759403402463</v>
      </c>
      <c r="P75" s="375">
        <f>+'9.2 y 9.3'!D71/'8.2 y 8.3'!D68/10</f>
        <v>4.360861696640618</v>
      </c>
      <c r="Q75" s="375">
        <f>+'9.2 y 9.3'!E71/'8.2 y 8.3'!E68/10</f>
        <v>4.8545284988403408</v>
      </c>
      <c r="R75" s="375">
        <f>+'9.2 y 9.3'!F71/'8.2 y 8.3'!F68/10</f>
        <v>16.277139183782836</v>
      </c>
      <c r="T75" s="767">
        <f t="shared" si="14"/>
        <v>0</v>
      </c>
      <c r="U75" s="767">
        <f t="shared" si="13"/>
        <v>0</v>
      </c>
      <c r="V75" s="767">
        <f t="shared" si="13"/>
        <v>0</v>
      </c>
      <c r="W75" s="767">
        <f t="shared" si="13"/>
        <v>0</v>
      </c>
      <c r="X75" s="767">
        <f t="shared" si="13"/>
        <v>0</v>
      </c>
    </row>
    <row r="76" spans="1:24" ht="13" x14ac:dyDescent="0.3">
      <c r="A76" s="440">
        <v>1999</v>
      </c>
      <c r="B76" s="667">
        <v>4.8616026075361827</v>
      </c>
      <c r="C76" s="668">
        <v>5.3303750546254793</v>
      </c>
      <c r="D76" s="633">
        <v>4.4815124516309828</v>
      </c>
      <c r="E76" s="632">
        <v>4.2671826506889809</v>
      </c>
      <c r="F76" s="636" t="s">
        <v>141</v>
      </c>
      <c r="H76" s="371"/>
      <c r="M76" s="671"/>
      <c r="N76" s="375">
        <f>+'9.2 y 9.3'!B72/'8.2 y 8.3'!B69/10</f>
        <v>4.8616026075361827</v>
      </c>
      <c r="O76" s="375">
        <f>+'9.2 y 9.3'!C72/'8.2 y 8.3'!C69/10</f>
        <v>5.3303750546254793</v>
      </c>
      <c r="P76" s="375">
        <f>+'9.2 y 9.3'!D72/'8.2 y 8.3'!D69/10</f>
        <v>4.4815124516309828</v>
      </c>
      <c r="Q76" s="375">
        <f>+'9.2 y 9.3'!E72/'8.2 y 8.3'!E69/10</f>
        <v>4.2671826506889809</v>
      </c>
      <c r="R76" s="375"/>
      <c r="T76" s="767">
        <f t="shared" si="14"/>
        <v>0</v>
      </c>
      <c r="U76" s="767">
        <f t="shared" si="13"/>
        <v>0</v>
      </c>
      <c r="V76" s="767">
        <f t="shared" si="13"/>
        <v>0</v>
      </c>
      <c r="W76" s="767">
        <f t="shared" si="13"/>
        <v>0</v>
      </c>
      <c r="X76" s="767"/>
    </row>
    <row r="77" spans="1:24" ht="13" x14ac:dyDescent="0.3">
      <c r="A77" s="446">
        <v>2000</v>
      </c>
      <c r="B77" s="669">
        <v>5.1647954842633439</v>
      </c>
      <c r="C77" s="670">
        <v>5.6804671173079235</v>
      </c>
      <c r="D77" s="639">
        <v>4.7370595289108275</v>
      </c>
      <c r="E77" s="638">
        <v>4.6200914161573321</v>
      </c>
      <c r="F77" s="642" t="s">
        <v>141</v>
      </c>
      <c r="H77" s="371"/>
      <c r="N77" s="375">
        <f>+'9.2 y 9.3'!B73/'8.2 y 8.3'!B70/10</f>
        <v>5.1647954842633439</v>
      </c>
      <c r="O77" s="375">
        <f>+'9.2 y 9.3'!C73/'8.2 y 8.3'!C70/10</f>
        <v>5.6804671173079235</v>
      </c>
      <c r="P77" s="375">
        <f>+'9.2 y 9.3'!D73/'8.2 y 8.3'!D70/10</f>
        <v>4.7370595289108275</v>
      </c>
      <c r="Q77" s="375">
        <f>+'9.2 y 9.3'!E73/'8.2 y 8.3'!E70/10</f>
        <v>4.6200914161573321</v>
      </c>
      <c r="R77" s="375"/>
      <c r="T77" s="767">
        <f t="shared" si="14"/>
        <v>0</v>
      </c>
      <c r="U77" s="767">
        <f t="shared" si="13"/>
        <v>0</v>
      </c>
      <c r="V77" s="767">
        <f t="shared" si="13"/>
        <v>0</v>
      </c>
      <c r="W77" s="767">
        <f t="shared" si="13"/>
        <v>0</v>
      </c>
      <c r="X77" s="767"/>
    </row>
    <row r="78" spans="1:24" ht="13" x14ac:dyDescent="0.3">
      <c r="A78" s="440">
        <v>2001</v>
      </c>
      <c r="B78" s="667">
        <v>4.5317559390314024</v>
      </c>
      <c r="C78" s="668">
        <v>4.7881266229983108</v>
      </c>
      <c r="D78" s="633">
        <v>4.2330881206493487</v>
      </c>
      <c r="E78" s="632">
        <v>4.2234818564365559</v>
      </c>
      <c r="F78" s="636" t="s">
        <v>141</v>
      </c>
      <c r="H78" s="371"/>
      <c r="I78" s="371"/>
      <c r="N78" s="375">
        <f>+'9.2 y 9.3'!B74/'8.2 y 8.3'!B71/10</f>
        <v>4.5317559390314024</v>
      </c>
      <c r="O78" s="375">
        <f>+'9.2 y 9.3'!C74/'8.2 y 8.3'!C71/10</f>
        <v>4.7881266229983108</v>
      </c>
      <c r="P78" s="375">
        <f>+'9.2 y 9.3'!D74/'8.2 y 8.3'!D71/10</f>
        <v>4.2330881206493487</v>
      </c>
      <c r="Q78" s="375">
        <f>+'9.2 y 9.3'!E74/'8.2 y 8.3'!E71/10</f>
        <v>4.2234818564365559</v>
      </c>
      <c r="R78" s="375"/>
      <c r="T78" s="767">
        <f t="shared" si="14"/>
        <v>0</v>
      </c>
      <c r="U78" s="767">
        <f t="shared" si="13"/>
        <v>0</v>
      </c>
      <c r="V78" s="767">
        <f t="shared" si="13"/>
        <v>0</v>
      </c>
      <c r="W78" s="767">
        <f t="shared" si="13"/>
        <v>0</v>
      </c>
      <c r="X78" s="767"/>
    </row>
    <row r="79" spans="1:24" ht="13" x14ac:dyDescent="0.3">
      <c r="A79" s="446">
        <v>2002</v>
      </c>
      <c r="B79" s="669">
        <v>4.5417296862557039</v>
      </c>
      <c r="C79" s="670">
        <v>4.7789209585185777</v>
      </c>
      <c r="D79" s="639">
        <v>4.0982508214293567</v>
      </c>
      <c r="E79" s="638">
        <v>4.1599420718219955</v>
      </c>
      <c r="F79" s="642" t="s">
        <v>141</v>
      </c>
      <c r="H79" s="371"/>
      <c r="I79" s="371"/>
      <c r="N79" s="375">
        <f>+'9.2 y 9.3'!B75/'8.2 y 8.3'!B72/10</f>
        <v>4.5417296862557039</v>
      </c>
      <c r="O79" s="375">
        <f>+'9.2 y 9.3'!C75/'8.2 y 8.3'!C72/10</f>
        <v>4.7789209585185777</v>
      </c>
      <c r="P79" s="375">
        <f>+'9.2 y 9.3'!D75/'8.2 y 8.3'!D72/10</f>
        <v>4.0982508214293567</v>
      </c>
      <c r="Q79" s="375">
        <f>+'9.2 y 9.3'!E75/'8.2 y 8.3'!E72/10</f>
        <v>4.1599420718219955</v>
      </c>
      <c r="R79" s="375"/>
      <c r="T79" s="767">
        <f t="shared" si="14"/>
        <v>0</v>
      </c>
      <c r="U79" s="767">
        <f t="shared" si="13"/>
        <v>0</v>
      </c>
      <c r="V79" s="767">
        <f t="shared" si="13"/>
        <v>0</v>
      </c>
      <c r="W79" s="767">
        <f t="shared" si="13"/>
        <v>0</v>
      </c>
      <c r="X79" s="767"/>
    </row>
    <row r="80" spans="1:24" ht="13" x14ac:dyDescent="0.3">
      <c r="A80" s="440">
        <v>2003</v>
      </c>
      <c r="B80" s="667">
        <v>4.4701131993241967</v>
      </c>
      <c r="C80" s="668">
        <v>4.6662766956309749</v>
      </c>
      <c r="D80" s="633">
        <v>4.040412748083277</v>
      </c>
      <c r="E80" s="632">
        <v>4.1973905353654413</v>
      </c>
      <c r="F80" s="636" t="s">
        <v>141</v>
      </c>
      <c r="H80" s="371"/>
      <c r="I80" s="371"/>
      <c r="N80" s="375">
        <f>+'9.2 y 9.3'!B76/'8.2 y 8.3'!B73/10</f>
        <v>4.4701131993241967</v>
      </c>
      <c r="O80" s="375">
        <f>+'9.2 y 9.3'!C76/'8.2 y 8.3'!C73/10</f>
        <v>4.6662766956309749</v>
      </c>
      <c r="P80" s="375">
        <f>+'9.2 y 9.3'!D76/'8.2 y 8.3'!D73/10</f>
        <v>4.040412748083277</v>
      </c>
      <c r="Q80" s="375">
        <f>+'9.2 y 9.3'!E76/'8.2 y 8.3'!E73/10</f>
        <v>4.1973905353654413</v>
      </c>
      <c r="R80" s="375"/>
      <c r="T80" s="767">
        <f t="shared" si="14"/>
        <v>0</v>
      </c>
      <c r="U80" s="767">
        <f t="shared" si="13"/>
        <v>0</v>
      </c>
      <c r="V80" s="767">
        <f t="shared" si="13"/>
        <v>0</v>
      </c>
      <c r="W80" s="767">
        <f t="shared" si="13"/>
        <v>0</v>
      </c>
      <c r="X80" s="767"/>
    </row>
    <row r="81" spans="1:24" ht="13" x14ac:dyDescent="0.3">
      <c r="A81" s="446">
        <v>2004</v>
      </c>
      <c r="B81" s="669">
        <v>5.1762271900611463</v>
      </c>
      <c r="C81" s="670">
        <v>5.7212517337230357</v>
      </c>
      <c r="D81" s="639">
        <v>3.9424948306489789</v>
      </c>
      <c r="E81" s="638">
        <v>4.7962856152132289</v>
      </c>
      <c r="F81" s="642"/>
      <c r="H81" s="371"/>
      <c r="I81" s="371"/>
      <c r="N81" s="375">
        <f>+'9.2 y 9.3'!B77/'8.2 y 8.3'!B74/10</f>
        <v>5.1762271900611463</v>
      </c>
      <c r="O81" s="375">
        <f>+'9.2 y 9.3'!C77/'8.2 y 8.3'!C74/10</f>
        <v>5.7212517337230357</v>
      </c>
      <c r="P81" s="375">
        <f>+'9.2 y 9.3'!D77/'8.2 y 8.3'!D74/10</f>
        <v>3.9424948306489789</v>
      </c>
      <c r="Q81" s="375">
        <f>+'9.2 y 9.3'!E77/'8.2 y 8.3'!E74/10</f>
        <v>4.7962856152132289</v>
      </c>
      <c r="R81" s="375"/>
      <c r="T81" s="767">
        <f t="shared" si="14"/>
        <v>0</v>
      </c>
      <c r="U81" s="767">
        <f t="shared" si="13"/>
        <v>0</v>
      </c>
      <c r="V81" s="767">
        <f t="shared" si="13"/>
        <v>0</v>
      </c>
      <c r="W81" s="767">
        <f t="shared" si="13"/>
        <v>0</v>
      </c>
      <c r="X81" s="767"/>
    </row>
    <row r="82" spans="1:24" ht="13" x14ac:dyDescent="0.3">
      <c r="A82" s="440">
        <v>2005</v>
      </c>
      <c r="B82" s="667">
        <v>5.5416076080909722</v>
      </c>
      <c r="C82" s="668">
        <v>5.9483283221890026</v>
      </c>
      <c r="D82" s="633">
        <v>4.1719696704229188</v>
      </c>
      <c r="E82" s="632">
        <v>5.6430156113693268</v>
      </c>
      <c r="F82" s="636"/>
      <c r="H82" s="371"/>
      <c r="I82" s="371"/>
      <c r="M82" s="671"/>
      <c r="N82" s="375">
        <f>+'9.2 y 9.3'!B78/'8.2 y 8.3'!B75/10</f>
        <v>5.5403635608195572</v>
      </c>
      <c r="O82" s="375">
        <f>+'9.2 y 9.3'!C78/'8.2 y 8.3'!C75/10</f>
        <v>5.9483695144621853</v>
      </c>
      <c r="P82" s="375">
        <f>+'9.2 y 9.3'!D78/'8.2 y 8.3'!D75/10</f>
        <v>4.1678963694379263</v>
      </c>
      <c r="Q82" s="375">
        <f>+'9.2 y 9.3'!E78/'8.2 y 8.3'!E75/10</f>
        <v>5.6406432319879478</v>
      </c>
      <c r="R82" s="375"/>
      <c r="T82" s="767">
        <f t="shared" si="14"/>
        <v>-1.2440472714150275E-3</v>
      </c>
      <c r="U82" s="767">
        <f t="shared" si="13"/>
        <v>4.1192273182666383E-5</v>
      </c>
      <c r="V82" s="767">
        <f t="shared" si="13"/>
        <v>-4.0733009849924784E-3</v>
      </c>
      <c r="W82" s="767">
        <f t="shared" si="13"/>
        <v>-2.3723793813790195E-3</v>
      </c>
      <c r="X82" s="767"/>
    </row>
    <row r="83" spans="1:24" ht="13" x14ac:dyDescent="0.3">
      <c r="A83" s="446">
        <v>2006</v>
      </c>
      <c r="B83" s="669">
        <v>5.581447756240201</v>
      </c>
      <c r="C83" s="670">
        <v>5.8805100803549655</v>
      </c>
      <c r="D83" s="639">
        <v>4.5005714095885994</v>
      </c>
      <c r="E83" s="638">
        <v>5.7438256087318473</v>
      </c>
      <c r="F83" s="642"/>
      <c r="H83" s="371"/>
      <c r="I83" s="371"/>
      <c r="M83" s="671"/>
      <c r="N83" s="375">
        <f>+'9.2 y 9.3'!B79/'8.2 y 8.3'!B76/10</f>
        <v>5.5873349726099386</v>
      </c>
      <c r="O83" s="375">
        <f>+'9.2 y 9.3'!C79/'8.2 y 8.3'!C76/10</f>
        <v>5.8862583782610525</v>
      </c>
      <c r="P83" s="375">
        <f>+'9.2 y 9.3'!D79/'8.2 y 8.3'!D76/10</f>
        <v>4.5075607230599246</v>
      </c>
      <c r="Q83" s="375">
        <f>+'9.2 y 9.3'!E79/'8.2 y 8.3'!E76/10</f>
        <v>5.7489425508838687</v>
      </c>
      <c r="R83" s="375"/>
      <c r="T83" s="767">
        <f t="shared" si="14"/>
        <v>5.8872163697376578E-3</v>
      </c>
      <c r="U83" s="767">
        <f t="shared" si="13"/>
        <v>5.7482979060869965E-3</v>
      </c>
      <c r="V83" s="767">
        <f t="shared" si="13"/>
        <v>6.9893134713252536E-3</v>
      </c>
      <c r="W83" s="767">
        <f t="shared" si="13"/>
        <v>5.1169421520214087E-3</v>
      </c>
      <c r="X83" s="767"/>
    </row>
    <row r="84" spans="1:24" ht="13" x14ac:dyDescent="0.3">
      <c r="A84" s="440">
        <v>2007</v>
      </c>
      <c r="B84" s="667">
        <v>5.4200951405339648</v>
      </c>
      <c r="C84" s="668">
        <v>5.8108938647897581</v>
      </c>
      <c r="D84" s="633">
        <v>4.3728383314935604</v>
      </c>
      <c r="E84" s="632">
        <v>5.0741491324005645</v>
      </c>
      <c r="F84" s="636"/>
      <c r="H84" s="371"/>
      <c r="I84" s="371"/>
      <c r="M84" s="671"/>
      <c r="N84" s="375">
        <f>+'9.2 y 9.3'!B80/'8.2 y 8.3'!B77/10</f>
        <v>5.4200951405339648</v>
      </c>
      <c r="O84" s="375">
        <f>+'9.2 y 9.3'!C80/'8.2 y 8.3'!C77/10</f>
        <v>5.8108938647897581</v>
      </c>
      <c r="P84" s="375">
        <f>+'9.2 y 9.3'!D80/'8.2 y 8.3'!D77/10</f>
        <v>4.3728383314935604</v>
      </c>
      <c r="Q84" s="375">
        <f>+'9.2 y 9.3'!E80/'8.2 y 8.3'!E77/10</f>
        <v>5.0741491324005645</v>
      </c>
      <c r="R84" s="375"/>
      <c r="T84" s="767">
        <f t="shared" si="14"/>
        <v>0</v>
      </c>
      <c r="U84" s="767">
        <f t="shared" si="13"/>
        <v>0</v>
      </c>
      <c r="V84" s="767">
        <f t="shared" si="13"/>
        <v>0</v>
      </c>
      <c r="W84" s="767">
        <f t="shared" si="13"/>
        <v>0</v>
      </c>
      <c r="X84" s="767"/>
    </row>
    <row r="85" spans="1:24" ht="13" x14ac:dyDescent="0.3">
      <c r="A85" s="446">
        <v>2008</v>
      </c>
      <c r="B85" s="669">
        <v>6.703677483775019</v>
      </c>
      <c r="C85" s="670">
        <v>6.9485352671160685</v>
      </c>
      <c r="D85" s="639">
        <v>5.8577907414449886</v>
      </c>
      <c r="E85" s="638">
        <v>6.6411157523875675</v>
      </c>
      <c r="F85" s="642"/>
      <c r="H85" s="371"/>
      <c r="I85" s="371"/>
      <c r="N85" s="375">
        <f>+'9.2 y 9.3'!B81/'8.2 y 8.3'!B78/10</f>
        <v>6.7036774837750173</v>
      </c>
      <c r="O85" s="375">
        <f>+'9.2 y 9.3'!C81/'8.2 y 8.3'!C78/10</f>
        <v>6.9485352671160667</v>
      </c>
      <c r="P85" s="375">
        <f>+'9.2 y 9.3'!D81/'8.2 y 8.3'!D78/10</f>
        <v>5.8577907414449877</v>
      </c>
      <c r="Q85" s="375">
        <f>+'9.2 y 9.3'!E81/'8.2 y 8.3'!E78/10</f>
        <v>6.6411157523875675</v>
      </c>
      <c r="R85" s="375"/>
      <c r="T85" s="767">
        <f t="shared" si="14"/>
        <v>0</v>
      </c>
      <c r="U85" s="767">
        <f t="shared" si="13"/>
        <v>0</v>
      </c>
      <c r="V85" s="767">
        <f t="shared" si="13"/>
        <v>0</v>
      </c>
      <c r="W85" s="767">
        <f t="shared" si="13"/>
        <v>0</v>
      </c>
      <c r="X85" s="767"/>
    </row>
    <row r="86" spans="1:24" ht="13" x14ac:dyDescent="0.3">
      <c r="A86" s="440">
        <v>2009</v>
      </c>
      <c r="B86" s="667">
        <v>5.5559629193809172</v>
      </c>
      <c r="C86" s="668">
        <v>5.6201571063245215</v>
      </c>
      <c r="D86" s="633">
        <v>5.2898612931295075</v>
      </c>
      <c r="E86" s="632">
        <v>5.5144473896798099</v>
      </c>
      <c r="F86" s="636"/>
      <c r="H86" s="371"/>
      <c r="I86" s="371"/>
      <c r="N86" s="375">
        <f>+'9.2 y 9.3'!B82/'8.2 y 8.3'!B79/10</f>
        <v>5.5559629193809172</v>
      </c>
      <c r="O86" s="375">
        <f>+'9.2 y 9.3'!C82/'8.2 y 8.3'!C79/10</f>
        <v>5.6201571063245215</v>
      </c>
      <c r="P86" s="375">
        <f>+'9.2 y 9.3'!D82/'8.2 y 8.3'!D79/10</f>
        <v>5.2898612931295075</v>
      </c>
      <c r="Q86" s="375">
        <f>+'9.2 y 9.3'!E82/'8.2 y 8.3'!E79/10</f>
        <v>5.5144473896798099</v>
      </c>
      <c r="R86" s="375"/>
      <c r="T86" s="767">
        <f t="shared" si="14"/>
        <v>0</v>
      </c>
      <c r="U86" s="767">
        <f t="shared" si="13"/>
        <v>0</v>
      </c>
      <c r="V86" s="767">
        <f t="shared" si="13"/>
        <v>0</v>
      </c>
      <c r="W86" s="767">
        <f t="shared" si="13"/>
        <v>0</v>
      </c>
      <c r="X86" s="767"/>
    </row>
    <row r="87" spans="1:24" ht="13" x14ac:dyDescent="0.3">
      <c r="A87" s="446">
        <v>2010</v>
      </c>
      <c r="B87" s="669">
        <v>5.4037809461686521</v>
      </c>
      <c r="C87" s="670">
        <v>5.2888251099349493</v>
      </c>
      <c r="D87" s="639">
        <v>5.8273601811437308</v>
      </c>
      <c r="E87" s="638">
        <v>5.639009013480945</v>
      </c>
      <c r="F87" s="642"/>
      <c r="H87" s="371"/>
      <c r="I87" s="371"/>
      <c r="N87" s="375">
        <f>+'9.2 y 9.3'!B83/'8.2 y 8.3'!B80/10</f>
        <v>5.4037809461686521</v>
      </c>
      <c r="O87" s="375">
        <f>+'9.2 y 9.3'!C83/'8.2 y 8.3'!C80/10</f>
        <v>5.2888251099349484</v>
      </c>
      <c r="P87" s="375">
        <f>+'9.2 y 9.3'!D83/'8.2 y 8.3'!D80/10</f>
        <v>5.8273601811437326</v>
      </c>
      <c r="Q87" s="375">
        <f>+'9.2 y 9.3'!E83/'8.2 y 8.3'!E80/10</f>
        <v>5.6390090134809441</v>
      </c>
      <c r="R87" s="375"/>
      <c r="T87" s="767">
        <f t="shared" si="14"/>
        <v>0</v>
      </c>
      <c r="U87" s="767">
        <f t="shared" si="13"/>
        <v>0</v>
      </c>
      <c r="V87" s="767">
        <f t="shared" si="13"/>
        <v>0</v>
      </c>
      <c r="W87" s="767">
        <f t="shared" si="13"/>
        <v>0</v>
      </c>
      <c r="X87" s="767"/>
    </row>
    <row r="88" spans="1:24" ht="13" x14ac:dyDescent="0.3">
      <c r="A88" s="440">
        <v>2011</v>
      </c>
      <c r="B88" s="667">
        <v>6.048703533336055</v>
      </c>
      <c r="C88" s="668">
        <v>5.9853277935379676</v>
      </c>
      <c r="D88" s="633">
        <v>6.2505467652657982</v>
      </c>
      <c r="E88" s="632">
        <v>6.1476994937577381</v>
      </c>
      <c r="F88" s="636"/>
      <c r="H88" s="371"/>
      <c r="I88" s="371"/>
      <c r="N88" s="375">
        <f>+'9.2 y 9.3'!B84/'8.2 y 8.3'!B81/10</f>
        <v>6.0487035333360568</v>
      </c>
      <c r="O88" s="375">
        <f>+'9.2 y 9.3'!C84/'8.2 y 8.3'!C81/10</f>
        <v>5.9853277935379694</v>
      </c>
      <c r="P88" s="375">
        <f>+'9.2 y 9.3'!D84/'8.2 y 8.3'!D81/10</f>
        <v>6.2505467652657973</v>
      </c>
      <c r="Q88" s="375">
        <f>+'9.2 y 9.3'!E84/'8.2 y 8.3'!E81/10</f>
        <v>6.1476994937577363</v>
      </c>
      <c r="R88" s="375"/>
      <c r="T88" s="767">
        <f t="shared" si="14"/>
        <v>0</v>
      </c>
      <c r="U88" s="767">
        <f t="shared" ref="U88:U97" si="15">+O88-C88</f>
        <v>0</v>
      </c>
      <c r="V88" s="767">
        <f t="shared" ref="V88:V97" si="16">+P88-D88</f>
        <v>0</v>
      </c>
      <c r="W88" s="767">
        <f t="shared" ref="W88:W97" si="17">+Q88-E88</f>
        <v>0</v>
      </c>
      <c r="X88" s="767"/>
    </row>
    <row r="89" spans="1:24" ht="13" x14ac:dyDescent="0.3">
      <c r="A89" s="578">
        <v>2012</v>
      </c>
      <c r="B89" s="692">
        <v>6.4923946495678262</v>
      </c>
      <c r="C89" s="693">
        <v>6.5550109052661281</v>
      </c>
      <c r="D89" s="646">
        <v>6.3455598550986592</v>
      </c>
      <c r="E89" s="645">
        <v>6.3561253975628134</v>
      </c>
      <c r="F89" s="663"/>
      <c r="H89" s="371"/>
      <c r="I89" s="371"/>
      <c r="N89" s="375">
        <f>+'9.2 y 9.3'!B85/'8.2 y 8.3'!B82/10</f>
        <v>6.4923946495678262</v>
      </c>
      <c r="O89" s="375">
        <f>+'9.2 y 9.3'!C85/'8.2 y 8.3'!C82/10</f>
        <v>6.5550109052661281</v>
      </c>
      <c r="P89" s="375">
        <f>+'9.2 y 9.3'!D85/'8.2 y 8.3'!D82/10</f>
        <v>6.3455598550986592</v>
      </c>
      <c r="Q89" s="375">
        <f>+'9.2 y 9.3'!E85/'8.2 y 8.3'!E82/10</f>
        <v>6.3561253975628134</v>
      </c>
      <c r="R89" s="375"/>
      <c r="T89" s="768">
        <f t="shared" si="14"/>
        <v>0</v>
      </c>
      <c r="U89" s="768">
        <f t="shared" si="15"/>
        <v>0</v>
      </c>
      <c r="V89" s="768">
        <f t="shared" si="16"/>
        <v>0</v>
      </c>
      <c r="W89" s="768">
        <f t="shared" si="17"/>
        <v>0</v>
      </c>
      <c r="X89" s="768"/>
    </row>
    <row r="90" spans="1:24" ht="13" x14ac:dyDescent="0.3">
      <c r="A90" s="647">
        <v>2013</v>
      </c>
      <c r="B90" s="672">
        <v>6.7174837111051291</v>
      </c>
      <c r="C90" s="673">
        <v>6.8850184474905252</v>
      </c>
      <c r="D90" s="650">
        <v>6.0765233294310175</v>
      </c>
      <c r="E90" s="649">
        <v>6.7409806242385031</v>
      </c>
      <c r="F90" s="654"/>
      <c r="H90" s="371"/>
      <c r="I90" s="371"/>
      <c r="N90" s="375">
        <f>+'9.2 y 9.3'!B86/'8.2 y 8.3'!B83/10</f>
        <v>6.7174837111051291</v>
      </c>
      <c r="O90" s="375">
        <f>+'9.2 y 9.3'!C86/'8.2 y 8.3'!C83/10</f>
        <v>6.8850184474905252</v>
      </c>
      <c r="P90" s="375">
        <f>+'9.2 y 9.3'!D86/'8.2 y 8.3'!D83/10</f>
        <v>6.0765233294310175</v>
      </c>
      <c r="Q90" s="375">
        <f>+'9.2 y 9.3'!E86/'8.2 y 8.3'!E83/10</f>
        <v>6.7409806242385031</v>
      </c>
      <c r="R90" s="375"/>
      <c r="T90" s="767">
        <f t="shared" si="14"/>
        <v>0</v>
      </c>
      <c r="U90" s="767">
        <f t="shared" si="15"/>
        <v>0</v>
      </c>
      <c r="V90" s="767">
        <f t="shared" si="16"/>
        <v>0</v>
      </c>
      <c r="W90" s="767">
        <f t="shared" si="17"/>
        <v>0</v>
      </c>
      <c r="X90" s="767"/>
    </row>
    <row r="91" spans="1:24" ht="12.75" customHeight="1" x14ac:dyDescent="0.3">
      <c r="A91" s="446">
        <v>2014</v>
      </c>
      <c r="B91" s="669">
        <v>7.2263562019802494</v>
      </c>
      <c r="C91" s="670">
        <v>7.1740813800907315</v>
      </c>
      <c r="D91" s="639">
        <v>7.6354076317304731</v>
      </c>
      <c r="E91" s="638">
        <v>7.0182523221284558</v>
      </c>
      <c r="F91" s="642"/>
      <c r="H91" s="371"/>
      <c r="I91" s="371"/>
      <c r="M91" s="671"/>
      <c r="N91" s="375">
        <f>+'9.2 y 9.3'!B87/'8.2 y 8.3'!B84/10</f>
        <v>7.2263562019802494</v>
      </c>
      <c r="O91" s="375">
        <f>+'9.2 y 9.3'!C87/'8.2 y 8.3'!C84/10</f>
        <v>7.1740813800907315</v>
      </c>
      <c r="P91" s="375">
        <f>+'9.2 y 9.3'!D87/'8.2 y 8.3'!D84/10</f>
        <v>7.6354076317304731</v>
      </c>
      <c r="Q91" s="375">
        <f>+'9.2 y 9.3'!E87/'8.2 y 8.3'!E84/10</f>
        <v>7.0182523221284558</v>
      </c>
      <c r="R91" s="375"/>
      <c r="T91" s="767">
        <f t="shared" si="14"/>
        <v>0</v>
      </c>
      <c r="U91" s="767">
        <f t="shared" si="15"/>
        <v>0</v>
      </c>
      <c r="V91" s="767">
        <f t="shared" si="16"/>
        <v>0</v>
      </c>
      <c r="W91" s="767">
        <f t="shared" si="17"/>
        <v>0</v>
      </c>
      <c r="X91" s="767"/>
    </row>
    <row r="92" spans="1:24" ht="14.25" customHeight="1" x14ac:dyDescent="0.3">
      <c r="A92" s="647">
        <v>2015</v>
      </c>
      <c r="B92" s="672">
        <v>6.8623379076341848</v>
      </c>
      <c r="C92" s="673">
        <v>6.9978200281271254</v>
      </c>
      <c r="D92" s="650">
        <v>6.3226834352517942</v>
      </c>
      <c r="E92" s="649">
        <v>6.724474074313056</v>
      </c>
      <c r="F92" s="654"/>
      <c r="H92" s="371"/>
      <c r="I92" s="371"/>
      <c r="M92" s="671"/>
      <c r="N92" s="375">
        <f>+'9.2 y 9.3'!B88/'8.2 y 8.3'!B85/10</f>
        <v>6.8623379076341848</v>
      </c>
      <c r="O92" s="375">
        <f>+'9.2 y 9.3'!C88/'8.2 y 8.3'!C85/10</f>
        <v>6.9978200281271254</v>
      </c>
      <c r="P92" s="375">
        <f>+'9.2 y 9.3'!D88/'8.2 y 8.3'!D85/10</f>
        <v>6.3226834352517942</v>
      </c>
      <c r="Q92" s="375">
        <f>+'9.2 y 9.3'!E88/'8.2 y 8.3'!E85/10</f>
        <v>6.724474074313056</v>
      </c>
      <c r="R92" s="375"/>
      <c r="T92" s="767">
        <f t="shared" si="14"/>
        <v>0</v>
      </c>
      <c r="U92" s="767">
        <f t="shared" si="15"/>
        <v>0</v>
      </c>
      <c r="V92" s="767">
        <f t="shared" si="16"/>
        <v>0</v>
      </c>
      <c r="W92" s="767">
        <f t="shared" si="17"/>
        <v>0</v>
      </c>
      <c r="X92" s="767"/>
    </row>
    <row r="93" spans="1:24" ht="14.25" customHeight="1" x14ac:dyDescent="0.3">
      <c r="A93" s="446">
        <v>2016</v>
      </c>
      <c r="B93" s="669">
        <v>6.5501346167219952</v>
      </c>
      <c r="C93" s="670">
        <v>6.6134465155670368</v>
      </c>
      <c r="D93" s="639">
        <v>6.027157129516282</v>
      </c>
      <c r="E93" s="638">
        <v>6.5529112066075736</v>
      </c>
      <c r="F93" s="642"/>
      <c r="H93" s="371"/>
      <c r="I93" s="371"/>
      <c r="M93" s="671"/>
      <c r="N93" s="375">
        <f>+'9.2 y 9.3'!B89/'8.2 y 8.3'!B86/10</f>
        <v>6.5501346167219952</v>
      </c>
      <c r="O93" s="375">
        <f>+'9.2 y 9.3'!C89/'8.2 y 8.3'!C86/10</f>
        <v>6.6134465155670368</v>
      </c>
      <c r="P93" s="375">
        <f>+'9.2 y 9.3'!D89/'8.2 y 8.3'!D86/10</f>
        <v>6.027157129516282</v>
      </c>
      <c r="Q93" s="375">
        <f>+'9.2 y 9.3'!E89/'8.2 y 8.3'!E86/10</f>
        <v>6.5529112066075736</v>
      </c>
      <c r="R93" s="375"/>
      <c r="T93" s="767">
        <f t="shared" si="14"/>
        <v>0</v>
      </c>
      <c r="U93" s="767">
        <f t="shared" si="15"/>
        <v>0</v>
      </c>
      <c r="V93" s="767">
        <f t="shared" si="16"/>
        <v>0</v>
      </c>
      <c r="W93" s="767">
        <f t="shared" si="17"/>
        <v>0</v>
      </c>
      <c r="X93" s="767"/>
    </row>
    <row r="94" spans="1:24" ht="14.25" customHeight="1" x14ac:dyDescent="0.3">
      <c r="A94" s="647">
        <v>2017</v>
      </c>
      <c r="B94" s="672">
        <v>6.1601746495097016</v>
      </c>
      <c r="C94" s="673">
        <v>6.1883791616587551</v>
      </c>
      <c r="D94" s="650">
        <v>5.8553692403107478</v>
      </c>
      <c r="E94" s="649">
        <v>6.2137143861532937</v>
      </c>
      <c r="F94" s="654"/>
      <c r="H94" s="371"/>
      <c r="I94" s="371"/>
      <c r="M94" s="671"/>
      <c r="N94" s="375">
        <f>+'9.2 y 9.3'!B90/'8.2 y 8.3'!B87/10</f>
        <v>6.1601746495097016</v>
      </c>
      <c r="O94" s="375">
        <f>+'9.2 y 9.3'!C90/'8.2 y 8.3'!C87/10</f>
        <v>6.1883791616587551</v>
      </c>
      <c r="P94" s="375">
        <f>+'9.2 y 9.3'!D90/'8.2 y 8.3'!D87/10</f>
        <v>5.8553692403107478</v>
      </c>
      <c r="Q94" s="375">
        <f>+'9.2 y 9.3'!E90/'8.2 y 8.3'!E87/10</f>
        <v>6.2137143861532937</v>
      </c>
      <c r="R94" s="375"/>
      <c r="T94" s="767">
        <f t="shared" si="14"/>
        <v>0</v>
      </c>
      <c r="U94" s="767">
        <f t="shared" si="15"/>
        <v>0</v>
      </c>
      <c r="V94" s="767">
        <f t="shared" si="16"/>
        <v>0</v>
      </c>
      <c r="W94" s="767">
        <f t="shared" si="17"/>
        <v>0</v>
      </c>
      <c r="X94" s="767"/>
    </row>
    <row r="95" spans="1:24" ht="14.25" customHeight="1" x14ac:dyDescent="0.3">
      <c r="A95" s="446">
        <v>2018</v>
      </c>
      <c r="B95" s="669">
        <v>6.1800525650170997</v>
      </c>
      <c r="C95" s="670">
        <v>5.9771511977259868</v>
      </c>
      <c r="D95" s="639">
        <v>5.9354894425276399</v>
      </c>
      <c r="E95" s="638">
        <v>6.8925988837732648</v>
      </c>
      <c r="F95" s="642"/>
      <c r="H95" s="371"/>
      <c r="I95" s="371"/>
      <c r="M95" s="671"/>
      <c r="N95" s="375">
        <f>+'9.2 y 9.3'!B91/'8.2 y 8.3'!B88/10</f>
        <v>6.1800525650170997</v>
      </c>
      <c r="O95" s="375">
        <f>+'9.2 y 9.3'!C91/'8.2 y 8.3'!C88/10</f>
        <v>5.9771511977259868</v>
      </c>
      <c r="P95" s="375">
        <f>+'9.2 y 9.3'!D91/'8.2 y 8.3'!D88/10</f>
        <v>5.9354894425276399</v>
      </c>
      <c r="Q95" s="375">
        <f>+'9.2 y 9.3'!E91/'8.2 y 8.3'!E88/10</f>
        <v>6.8925988837732648</v>
      </c>
      <c r="R95" s="375"/>
      <c r="T95" s="767">
        <f t="shared" si="14"/>
        <v>0</v>
      </c>
      <c r="U95" s="767">
        <f t="shared" si="15"/>
        <v>0</v>
      </c>
      <c r="V95" s="767">
        <f t="shared" si="16"/>
        <v>0</v>
      </c>
      <c r="W95" s="767">
        <f t="shared" si="17"/>
        <v>0</v>
      </c>
      <c r="X95" s="767"/>
    </row>
    <row r="96" spans="1:24" ht="14.25" customHeight="1" x14ac:dyDescent="0.3">
      <c r="A96" s="647">
        <v>2019</v>
      </c>
      <c r="B96" s="672">
        <v>6.1532648604060309</v>
      </c>
      <c r="C96" s="673">
        <v>5.8073994049450999</v>
      </c>
      <c r="D96" s="650">
        <v>5.9815438022627117</v>
      </c>
      <c r="E96" s="649">
        <v>7.2210225211961028</v>
      </c>
      <c r="F96" s="654"/>
      <c r="H96" s="371"/>
      <c r="I96" s="371"/>
      <c r="M96" s="671"/>
      <c r="N96" s="375">
        <f>+'9.2 y 9.3'!B92/'8.2 y 8.3'!B89/10</f>
        <v>6.1532648604060309</v>
      </c>
      <c r="O96" s="375">
        <f>+'9.2 y 9.3'!C92/'8.2 y 8.3'!C89/10</f>
        <v>5.8073994049450999</v>
      </c>
      <c r="P96" s="375">
        <f>+'9.2 y 9.3'!D92/'8.2 y 8.3'!D89/10</f>
        <v>5.9815438022627117</v>
      </c>
      <c r="Q96" s="375">
        <f>+'9.2 y 9.3'!E92/'8.2 y 8.3'!E89/10</f>
        <v>7.2210225211961028</v>
      </c>
      <c r="R96" s="375"/>
      <c r="T96" s="767">
        <f t="shared" si="14"/>
        <v>0</v>
      </c>
      <c r="U96" s="767">
        <f t="shared" si="15"/>
        <v>0</v>
      </c>
      <c r="V96" s="767">
        <f t="shared" si="16"/>
        <v>0</v>
      </c>
      <c r="W96" s="767">
        <f t="shared" si="17"/>
        <v>0</v>
      </c>
      <c r="X96" s="767"/>
    </row>
    <row r="97" spans="1:44" ht="14.25" customHeight="1" x14ac:dyDescent="0.3">
      <c r="A97" s="446">
        <v>2020</v>
      </c>
      <c r="B97" s="669">
        <v>6.1441850626066676</v>
      </c>
      <c r="C97" s="670">
        <v>5.7805060740839558</v>
      </c>
      <c r="D97" s="639">
        <v>5.8967041864323217</v>
      </c>
      <c r="E97" s="638">
        <v>7.3017413978069241</v>
      </c>
      <c r="F97" s="642"/>
      <c r="H97" s="371"/>
      <c r="I97" s="371"/>
      <c r="M97" s="671"/>
      <c r="N97" s="375">
        <f>+'9.2 y 9.3'!B93/'8.2 y 8.3'!B90/10</f>
        <v>6.1441850626066676</v>
      </c>
      <c r="O97" s="375">
        <f>+'9.2 y 9.3'!C93/'8.2 y 8.3'!C90/10</f>
        <v>5.7805060740839558</v>
      </c>
      <c r="P97" s="375">
        <f>+'9.2 y 9.3'!D93/'8.2 y 8.3'!D90/10</f>
        <v>5.8967041864323217</v>
      </c>
      <c r="Q97" s="375">
        <f>+'9.2 y 9.3'!E93/'8.2 y 8.3'!E90/10</f>
        <v>7.3017413978069241</v>
      </c>
      <c r="R97" s="375"/>
      <c r="T97" s="767">
        <f t="shared" si="14"/>
        <v>0</v>
      </c>
      <c r="U97" s="767">
        <f t="shared" si="15"/>
        <v>0</v>
      </c>
      <c r="V97" s="767">
        <f t="shared" si="16"/>
        <v>0</v>
      </c>
      <c r="W97" s="767">
        <f t="shared" si="17"/>
        <v>0</v>
      </c>
      <c r="X97" s="767"/>
    </row>
    <row r="98" spans="1:44" ht="14.25" customHeight="1" x14ac:dyDescent="0.3">
      <c r="A98" s="647">
        <v>2021</v>
      </c>
      <c r="B98" s="672">
        <v>5.8836422426445072</v>
      </c>
      <c r="C98" s="673">
        <v>5.5310875867098135</v>
      </c>
      <c r="D98" s="650">
        <v>5.8649957025449249</v>
      </c>
      <c r="E98" s="649">
        <v>6.8932510439297641</v>
      </c>
      <c r="F98" s="654"/>
      <c r="H98" s="371"/>
      <c r="I98" s="371"/>
      <c r="M98" s="671"/>
      <c r="N98" s="375">
        <f>+'9.2 y 9.3'!B94/'8.2 y 8.3'!B91/10</f>
        <v>5.8836422426445072</v>
      </c>
      <c r="O98" s="375">
        <f>+'9.2 y 9.3'!C94/'8.2 y 8.3'!C91/10</f>
        <v>5.5310875867098135</v>
      </c>
      <c r="P98" s="375">
        <f>+'9.2 y 9.3'!D94/'8.2 y 8.3'!D91/10</f>
        <v>5.8649957025449249</v>
      </c>
      <c r="Q98" s="375">
        <f>+'9.2 y 9.3'!E94/'8.2 y 8.3'!E91/10</f>
        <v>6.8932510439297641</v>
      </c>
      <c r="R98" s="375"/>
      <c r="T98" s="767">
        <f t="shared" ref="T98:T99" si="18">+N98-B98</f>
        <v>0</v>
      </c>
      <c r="U98" s="767">
        <f t="shared" ref="U98:U99" si="19">+O98-C98</f>
        <v>0</v>
      </c>
      <c r="V98" s="767">
        <f t="shared" ref="V98:V99" si="20">+P98-D98</f>
        <v>0</v>
      </c>
      <c r="W98" s="767">
        <f t="shared" ref="W98:W99" si="21">+Q98-E98</f>
        <v>0</v>
      </c>
      <c r="X98" s="767"/>
    </row>
    <row r="99" spans="1:44" ht="17.5" customHeight="1" thickBot="1" x14ac:dyDescent="0.35">
      <c r="A99" s="979">
        <v>2022</v>
      </c>
      <c r="B99" s="669">
        <v>6.5018716699778647</v>
      </c>
      <c r="C99" s="670">
        <v>6.1432513425593402</v>
      </c>
      <c r="D99" s="639">
        <v>6.7693851245061056</v>
      </c>
      <c r="E99" s="638">
        <v>7.4483794849821168</v>
      </c>
      <c r="F99" s="642"/>
      <c r="H99" s="371"/>
      <c r="I99" s="371"/>
      <c r="M99" s="671"/>
      <c r="N99" s="375">
        <f>+'9.2 y 9.3'!B95/'8.2 y 8.3'!B92/10</f>
        <v>6.5018716699778647</v>
      </c>
      <c r="O99" s="375">
        <f>+'9.2 y 9.3'!C95/'8.2 y 8.3'!C92/10</f>
        <v>6.1432513425593402</v>
      </c>
      <c r="P99" s="375">
        <f>+'9.2 y 9.3'!D95/'8.2 y 8.3'!D92/10</f>
        <v>6.7693851245061056</v>
      </c>
      <c r="Q99" s="375">
        <f>+'9.2 y 9.3'!E95/'8.2 y 8.3'!E92/10</f>
        <v>7.4483794849821168</v>
      </c>
      <c r="R99" s="375"/>
      <c r="T99" s="767">
        <f t="shared" si="18"/>
        <v>0</v>
      </c>
      <c r="U99" s="767">
        <f t="shared" si="19"/>
        <v>0</v>
      </c>
      <c r="V99" s="767">
        <f t="shared" si="20"/>
        <v>0</v>
      </c>
      <c r="W99" s="767">
        <f t="shared" si="21"/>
        <v>0</v>
      </c>
      <c r="X99" s="767"/>
    </row>
    <row r="100" spans="1:44" s="493" customFormat="1" ht="16.899999999999999" customHeight="1" x14ac:dyDescent="0.25">
      <c r="A100" s="962" t="s">
        <v>161</v>
      </c>
      <c r="B100" s="930">
        <f>(B99/B98)-1</f>
        <v>0.10507597196383633</v>
      </c>
      <c r="C100" s="931">
        <f t="shared" ref="C100:E100" si="22">(C99/C98)-1</f>
        <v>0.11067692316434186</v>
      </c>
      <c r="D100" s="932">
        <f t="shared" si="22"/>
        <v>0.15420120795122672</v>
      </c>
      <c r="E100" s="932">
        <f t="shared" si="22"/>
        <v>8.0532166537181649E-2</v>
      </c>
      <c r="F100" s="963" t="s">
        <v>32</v>
      </c>
    </row>
    <row r="101" spans="1:44" s="493" customFormat="1" ht="16.899999999999999" customHeight="1" x14ac:dyDescent="0.25">
      <c r="A101" s="964" t="s">
        <v>162</v>
      </c>
      <c r="B101" s="953">
        <f>((B99/B94)^(1/5))-1</f>
        <v>1.0855488920676892E-2</v>
      </c>
      <c r="C101" s="988">
        <f t="shared" ref="C101:E101" si="23">((C99/C94)^(1/5))-1</f>
        <v>-1.4627427295352824E-3</v>
      </c>
      <c r="D101" s="866">
        <f t="shared" si="23"/>
        <v>2.9435135853098426E-2</v>
      </c>
      <c r="E101" s="866">
        <f t="shared" si="23"/>
        <v>3.6912480218770805E-2</v>
      </c>
      <c r="F101" s="965" t="s">
        <v>32</v>
      </c>
      <c r="H101" s="966"/>
    </row>
    <row r="102" spans="1:44" s="493" customFormat="1" ht="16.899999999999999" customHeight="1" x14ac:dyDescent="0.25">
      <c r="A102" s="967" t="s">
        <v>163</v>
      </c>
      <c r="B102" s="938">
        <f>(B99/B89)-1</f>
        <v>1.4597110806671143E-3</v>
      </c>
      <c r="C102" s="939">
        <f t="shared" ref="C102:E102" si="24">(C99/C89)-1</f>
        <v>-6.2815999646315013E-2</v>
      </c>
      <c r="D102" s="940">
        <f t="shared" si="24"/>
        <v>6.6790839435058258E-2</v>
      </c>
      <c r="E102" s="940">
        <f t="shared" si="24"/>
        <v>0.17184275310838215</v>
      </c>
      <c r="F102" s="968" t="s">
        <v>32</v>
      </c>
    </row>
    <row r="103" spans="1:44" s="493" customFormat="1" ht="16.899999999999999" customHeight="1" thickBot="1" x14ac:dyDescent="0.3">
      <c r="A103" s="969" t="s">
        <v>164</v>
      </c>
      <c r="B103" s="1206">
        <f>((B99/B89)^(1/10))-1</f>
        <v>1.4587531257648223E-4</v>
      </c>
      <c r="C103" s="948">
        <f t="shared" ref="C103:E103" si="25">((C99/C89)^(1/10))-1</f>
        <v>-6.4665656134960114E-3</v>
      </c>
      <c r="D103" s="870">
        <f t="shared" si="25"/>
        <v>6.4864390493877266E-3</v>
      </c>
      <c r="E103" s="870">
        <f t="shared" si="25"/>
        <v>1.5984152645774685E-2</v>
      </c>
      <c r="F103" s="970" t="s">
        <v>32</v>
      </c>
    </row>
    <row r="104" spans="1:44" x14ac:dyDescent="0.25">
      <c r="A104" s="333"/>
    </row>
    <row r="105" spans="1:44" x14ac:dyDescent="0.25">
      <c r="A105" s="383"/>
    </row>
    <row r="109" spans="1:44" x14ac:dyDescent="0.25">
      <c r="AN109" s="315">
        <v>1995</v>
      </c>
      <c r="AO109" s="371">
        <f>+C72</f>
        <v>2.6254026539122854</v>
      </c>
      <c r="AP109" s="371">
        <f t="shared" ref="AP109:AR109" si="26">+D72</f>
        <v>4.1124728445652465</v>
      </c>
      <c r="AQ109" s="371">
        <f t="shared" si="26"/>
        <v>5.2352863032107129</v>
      </c>
      <c r="AR109" s="371">
        <f t="shared" si="26"/>
        <v>12.259609384109694</v>
      </c>
    </row>
    <row r="110" spans="1:44" x14ac:dyDescent="0.25">
      <c r="AN110" s="315">
        <v>2000</v>
      </c>
      <c r="AO110" s="371">
        <f>+C77</f>
        <v>5.6804671173079235</v>
      </c>
      <c r="AP110" s="371">
        <f t="shared" ref="AP110:AR110" si="27">+D77</f>
        <v>4.7370595289108275</v>
      </c>
      <c r="AQ110" s="371">
        <f t="shared" si="27"/>
        <v>4.6200914161573321</v>
      </c>
      <c r="AR110" s="371" t="str">
        <f t="shared" si="27"/>
        <v/>
      </c>
    </row>
    <row r="111" spans="1:44" x14ac:dyDescent="0.25">
      <c r="AN111" s="315">
        <v>2005</v>
      </c>
      <c r="AO111" s="371">
        <f>+C82</f>
        <v>5.9483283221890026</v>
      </c>
      <c r="AP111" s="371">
        <f t="shared" ref="AP111:AQ111" si="28">+D82</f>
        <v>4.1719696704229188</v>
      </c>
      <c r="AQ111" s="371">
        <f t="shared" si="28"/>
        <v>5.6430156113693268</v>
      </c>
      <c r="AR111" s="371"/>
    </row>
    <row r="112" spans="1:44" x14ac:dyDescent="0.25">
      <c r="AN112" s="315">
        <v>2010</v>
      </c>
      <c r="AO112" s="371">
        <v>5.2888251099349493</v>
      </c>
      <c r="AP112" s="371">
        <v>5.8273601811437308</v>
      </c>
      <c r="AQ112" s="371">
        <v>5.639009013480945</v>
      </c>
      <c r="AR112" s="371"/>
    </row>
    <row r="113" spans="40:44" x14ac:dyDescent="0.25">
      <c r="AN113" s="315">
        <v>2011</v>
      </c>
      <c r="AO113" s="371">
        <v>5.9853277935379676</v>
      </c>
      <c r="AP113" s="371">
        <v>6.2505467652657982</v>
      </c>
      <c r="AQ113" s="371">
        <v>6.1476994937577381</v>
      </c>
      <c r="AR113" s="371"/>
    </row>
    <row r="114" spans="40:44" x14ac:dyDescent="0.25">
      <c r="AN114" s="315">
        <v>2012</v>
      </c>
      <c r="AO114" s="371">
        <v>6.5550109052661281</v>
      </c>
      <c r="AP114" s="371">
        <v>6.3455598550986592</v>
      </c>
      <c r="AQ114" s="371">
        <v>6.3561253975628134</v>
      </c>
      <c r="AR114" s="371"/>
    </row>
    <row r="115" spans="40:44" x14ac:dyDescent="0.25">
      <c r="AN115" s="315">
        <v>2013</v>
      </c>
      <c r="AO115" s="371">
        <v>6.8850184474905252</v>
      </c>
      <c r="AP115" s="371">
        <v>6.0765233294310175</v>
      </c>
      <c r="AQ115" s="371">
        <v>6.7409806242385031</v>
      </c>
      <c r="AR115" s="371"/>
    </row>
    <row r="116" spans="40:44" x14ac:dyDescent="0.25">
      <c r="AN116" s="315">
        <v>2014</v>
      </c>
      <c r="AO116" s="371">
        <v>7.1740813800907315</v>
      </c>
      <c r="AP116" s="371">
        <v>7.6354076317304731</v>
      </c>
      <c r="AQ116" s="371">
        <v>7.0182523221284558</v>
      </c>
      <c r="AR116" s="371"/>
    </row>
    <row r="117" spans="40:44" x14ac:dyDescent="0.25">
      <c r="AN117" s="315">
        <v>2015</v>
      </c>
      <c r="AO117" s="371">
        <v>6.9978200281271254</v>
      </c>
      <c r="AP117" s="371">
        <v>6.3226834352517942</v>
      </c>
      <c r="AQ117" s="371">
        <v>6.724474074313056</v>
      </c>
      <c r="AR117" s="371"/>
    </row>
    <row r="118" spans="40:44" x14ac:dyDescent="0.25">
      <c r="AN118" s="315">
        <v>2016</v>
      </c>
      <c r="AO118" s="371">
        <v>6.6134465155670368</v>
      </c>
      <c r="AP118" s="371">
        <v>6.027157129516282</v>
      </c>
      <c r="AQ118" s="371">
        <v>6.5529112066075736</v>
      </c>
      <c r="AR118" s="371"/>
    </row>
    <row r="119" spans="40:44" x14ac:dyDescent="0.25">
      <c r="AN119" s="315">
        <v>2017</v>
      </c>
      <c r="AO119" s="371">
        <v>6.1883791616587551</v>
      </c>
      <c r="AP119" s="371">
        <v>5.8553692403107478</v>
      </c>
      <c r="AQ119" s="371">
        <v>6.2137143861532937</v>
      </c>
      <c r="AR119" s="371"/>
    </row>
    <row r="120" spans="40:44" x14ac:dyDescent="0.25">
      <c r="AN120" s="315">
        <v>2018</v>
      </c>
      <c r="AO120" s="371">
        <v>5.9771511977259868</v>
      </c>
      <c r="AP120" s="371">
        <v>5.9354894425276399</v>
      </c>
      <c r="AQ120" s="371">
        <v>6.8925988837732648</v>
      </c>
      <c r="AR120" s="371"/>
    </row>
    <row r="121" spans="40:44" x14ac:dyDescent="0.25">
      <c r="AN121" s="315">
        <v>2019</v>
      </c>
      <c r="AO121" s="371">
        <v>5.8073994049450999</v>
      </c>
      <c r="AP121" s="371">
        <v>5.9815438022627117</v>
      </c>
      <c r="AQ121" s="371">
        <v>7.2210225211961028</v>
      </c>
      <c r="AR121" s="371"/>
    </row>
    <row r="122" spans="40:44" x14ac:dyDescent="0.25">
      <c r="AN122" s="315">
        <v>2020</v>
      </c>
      <c r="AO122" s="371">
        <v>5.7805060740839558</v>
      </c>
      <c r="AP122" s="371">
        <v>5.8967041864323217</v>
      </c>
      <c r="AQ122" s="371">
        <v>7.3017413978069241</v>
      </c>
      <c r="AR122" s="371"/>
    </row>
    <row r="123" spans="40:44" x14ac:dyDescent="0.25">
      <c r="AN123" s="315">
        <v>2021</v>
      </c>
      <c r="AO123" s="371">
        <v>5.5310875867098135</v>
      </c>
      <c r="AP123" s="371">
        <v>5.8649957025449249</v>
      </c>
      <c r="AQ123" s="371">
        <v>6.8932510439297641</v>
      </c>
      <c r="AR123" s="371"/>
    </row>
    <row r="124" spans="40:44" x14ac:dyDescent="0.25">
      <c r="AN124" s="315">
        <v>2022</v>
      </c>
      <c r="AO124" s="371">
        <v>6.1432513425593402</v>
      </c>
      <c r="AP124" s="371">
        <v>6.7693851245061056</v>
      </c>
      <c r="AQ124" s="371">
        <v>7.4483794849821168</v>
      </c>
      <c r="AR124" s="371"/>
    </row>
    <row r="132" spans="15:27" x14ac:dyDescent="0.25">
      <c r="O132" s="674"/>
      <c r="P132" s="675"/>
      <c r="Q132" s="676"/>
      <c r="R132" s="677">
        <v>945581.9160000002</v>
      </c>
      <c r="S132" s="678">
        <v>93.978999999999985</v>
      </c>
      <c r="T132" s="677">
        <v>945675.89500000025</v>
      </c>
      <c r="U132" s="677">
        <v>288970.27599999995</v>
      </c>
      <c r="V132" s="678">
        <v>119.90900000000001</v>
      </c>
      <c r="W132" s="677">
        <v>289090.18499999994</v>
      </c>
      <c r="X132" s="677">
        <v>1388656.3689999997</v>
      </c>
      <c r="Y132" s="678">
        <v>60944.434999999998</v>
      </c>
      <c r="Z132" s="677">
        <v>1449600.8039999998</v>
      </c>
      <c r="AA132" s="679">
        <v>2684366.8840000001</v>
      </c>
    </row>
    <row r="133" spans="15:27" x14ac:dyDescent="0.25">
      <c r="O133" s="674"/>
      <c r="P133" s="675"/>
      <c r="Q133" s="676"/>
      <c r="R133" s="677">
        <v>1067124.0049999999</v>
      </c>
      <c r="S133" s="678">
        <v>97.435000000000002</v>
      </c>
      <c r="T133" s="677">
        <v>1067221.44</v>
      </c>
      <c r="U133" s="677">
        <v>322223.28000000003</v>
      </c>
      <c r="V133" s="678">
        <v>120.273</v>
      </c>
      <c r="W133" s="677">
        <v>322343.55299999996</v>
      </c>
      <c r="X133" s="677">
        <v>1429897.6949999998</v>
      </c>
      <c r="Y133" s="678">
        <v>66000.584999999992</v>
      </c>
      <c r="Z133" s="677">
        <v>1495898.28</v>
      </c>
      <c r="AA133" s="679">
        <v>2885463.273</v>
      </c>
    </row>
    <row r="134" spans="15:27" x14ac:dyDescent="0.25">
      <c r="O134" s="674"/>
      <c r="P134" s="675"/>
      <c r="Q134" s="676"/>
      <c r="R134" s="677">
        <v>1052792.0250000004</v>
      </c>
      <c r="S134" s="678">
        <v>91.210999999999999</v>
      </c>
      <c r="T134" s="677">
        <v>1052883.2360000003</v>
      </c>
      <c r="U134" s="677">
        <v>321630.63800000004</v>
      </c>
      <c r="V134" s="678">
        <v>124.90900000000001</v>
      </c>
      <c r="W134" s="677">
        <v>321755.54700000002</v>
      </c>
      <c r="X134" s="677">
        <v>1435527.5689999997</v>
      </c>
      <c r="Y134" s="678">
        <v>65604.203999999998</v>
      </c>
      <c r="Z134" s="677">
        <v>1501131.7729999996</v>
      </c>
      <c r="AA134" s="679">
        <v>2875770.5559999999</v>
      </c>
    </row>
    <row r="135" spans="15:27" x14ac:dyDescent="0.25">
      <c r="O135" s="674"/>
      <c r="P135" s="675"/>
      <c r="Q135" s="676"/>
      <c r="R135" s="677">
        <v>1069230.7290000001</v>
      </c>
      <c r="S135" s="678">
        <v>39.456000000000003</v>
      </c>
      <c r="T135" s="677">
        <v>1069270.1850000001</v>
      </c>
      <c r="U135" s="677">
        <v>332738.13199999998</v>
      </c>
      <c r="V135" s="678">
        <v>143.09100000000001</v>
      </c>
      <c r="W135" s="677">
        <v>332881.223</v>
      </c>
      <c r="X135" s="677">
        <v>1437947.8660000004</v>
      </c>
      <c r="Y135" s="678">
        <v>68065.862082109801</v>
      </c>
      <c r="Z135" s="677">
        <v>1506013.7280821102</v>
      </c>
      <c r="AA135" s="679">
        <v>2908165.13608211</v>
      </c>
    </row>
    <row r="136" spans="15:27" x14ac:dyDescent="0.25">
      <c r="O136" s="674"/>
      <c r="P136" s="675"/>
      <c r="Q136" s="676"/>
      <c r="R136" s="677">
        <v>996453.78500000003</v>
      </c>
      <c r="S136" s="678">
        <v>7.5449999999999999</v>
      </c>
      <c r="T136" s="677">
        <v>996461.33</v>
      </c>
      <c r="U136" s="677">
        <v>317904.19400000002</v>
      </c>
      <c r="V136" s="678">
        <v>120.09099999999999</v>
      </c>
      <c r="W136" s="677">
        <v>318024.28500000003</v>
      </c>
      <c r="X136" s="677">
        <v>1401029.9340000006</v>
      </c>
      <c r="Y136" s="678">
        <v>64413.865437052373</v>
      </c>
      <c r="Z136" s="677">
        <v>1465443.799437053</v>
      </c>
      <c r="AA136" s="679">
        <v>2779929.4144370528</v>
      </c>
    </row>
    <row r="137" spans="15:27" x14ac:dyDescent="0.25">
      <c r="O137" s="674"/>
      <c r="P137" s="675"/>
      <c r="Q137" s="676"/>
      <c r="R137" s="677">
        <v>1033516.6749999998</v>
      </c>
      <c r="S137" s="678">
        <v>7.5470000000000006</v>
      </c>
      <c r="T137" s="677">
        <v>1033524.2219999998</v>
      </c>
      <c r="U137" s="677">
        <v>322782.90599999996</v>
      </c>
      <c r="V137" s="678">
        <v>114.09099999999999</v>
      </c>
      <c r="W137" s="677">
        <v>322896.99699999997</v>
      </c>
      <c r="X137" s="677">
        <v>1415044.5742875563</v>
      </c>
      <c r="Y137" s="678">
        <v>66178.702964972166</v>
      </c>
      <c r="Z137" s="677">
        <v>1481223.2772525286</v>
      </c>
      <c r="AA137" s="679">
        <v>2837644.4962525284</v>
      </c>
    </row>
    <row r="138" spans="15:27" x14ac:dyDescent="0.25">
      <c r="O138" s="674"/>
      <c r="P138" s="675"/>
      <c r="Q138" s="676"/>
      <c r="R138" s="677">
        <v>1044628.1639999995</v>
      </c>
      <c r="S138" s="678">
        <v>8.0069999999999997</v>
      </c>
      <c r="T138" s="677">
        <v>1044636.1709999995</v>
      </c>
      <c r="U138" s="677">
        <v>312335.353</v>
      </c>
      <c r="V138" s="678">
        <v>108.90900000000001</v>
      </c>
      <c r="W138" s="677">
        <v>312444.26199999999</v>
      </c>
      <c r="X138" s="677">
        <v>1426709.9548727721</v>
      </c>
      <c r="Y138" s="678">
        <v>61067.828304711198</v>
      </c>
      <c r="Z138" s="677">
        <v>1487777.7831774834</v>
      </c>
      <c r="AA138" s="679">
        <v>2844858.2161774826</v>
      </c>
    </row>
    <row r="139" spans="15:27" x14ac:dyDescent="0.25">
      <c r="O139" s="674"/>
      <c r="P139" s="675"/>
      <c r="Q139" s="676"/>
      <c r="R139" s="677">
        <v>1087489.3509999998</v>
      </c>
      <c r="S139" s="678">
        <v>7.343</v>
      </c>
      <c r="T139" s="677">
        <v>1087496.6939999999</v>
      </c>
      <c r="U139" s="677">
        <v>307009.46737500007</v>
      </c>
      <c r="V139" s="678">
        <v>0</v>
      </c>
      <c r="W139" s="677">
        <v>307009.46737500007</v>
      </c>
      <c r="X139" s="677">
        <v>1434257.7606533286</v>
      </c>
      <c r="Y139" s="678">
        <v>65178.193113212088</v>
      </c>
      <c r="Z139" s="677">
        <v>1499435.9537665406</v>
      </c>
      <c r="AA139" s="679">
        <v>2893942.1151415403</v>
      </c>
    </row>
    <row r="140" spans="15:27" x14ac:dyDescent="0.25">
      <c r="O140" s="674"/>
      <c r="P140" s="675"/>
      <c r="Q140" s="680"/>
      <c r="R140" s="681">
        <v>9344147.0650000013</v>
      </c>
      <c r="S140" s="682">
        <v>477.69600000000003</v>
      </c>
      <c r="T140" s="681">
        <v>9344624.7610000018</v>
      </c>
      <c r="U140" s="681">
        <v>2822578.3433750002</v>
      </c>
      <c r="V140" s="682">
        <v>986</v>
      </c>
      <c r="W140" s="681">
        <v>2823564.3433750002</v>
      </c>
      <c r="X140" s="681">
        <v>12784131.000813657</v>
      </c>
      <c r="Y140" s="682">
        <v>583370.87390205765</v>
      </c>
      <c r="Z140" s="681">
        <v>13367501.874715716</v>
      </c>
      <c r="AA140" s="683">
        <v>25535690.979090717</v>
      </c>
    </row>
    <row r="141" spans="15:27" x14ac:dyDescent="0.25">
      <c r="O141" s="684"/>
      <c r="P141" s="675"/>
      <c r="Q141" s="685"/>
      <c r="R141" s="686">
        <f>+R140/T140</f>
        <v>0.99994888013031902</v>
      </c>
      <c r="S141" s="686">
        <f>+S140/T140</f>
        <v>5.1119869680982255E-5</v>
      </c>
      <c r="T141" s="686"/>
      <c r="U141" s="686">
        <f>+U140/W140</f>
        <v>0.99965079598688322</v>
      </c>
      <c r="V141" s="686">
        <f>+V140/W140</f>
        <v>3.4920401311678146E-4</v>
      </c>
      <c r="W141" s="686"/>
      <c r="X141" s="686">
        <f>+X140/Z140</f>
        <v>0.95635902060313238</v>
      </c>
      <c r="Y141" s="686">
        <f>+Y140/Z140</f>
        <v>4.3640979396867605E-2</v>
      </c>
      <c r="Z141" s="687"/>
      <c r="AA141" s="684"/>
    </row>
  </sheetData>
  <mergeCells count="7">
    <mergeCell ref="C5:G5"/>
    <mergeCell ref="H5:L5"/>
    <mergeCell ref="C70:F70"/>
    <mergeCell ref="A5:A6"/>
    <mergeCell ref="B5:B6"/>
    <mergeCell ref="A70:A71"/>
    <mergeCell ref="B70:B71"/>
  </mergeCells>
  <printOptions horizontalCentered="1"/>
  <pageMargins left="0.35433070866141736" right="0.23622047244094491" top="0.62992125984251968" bottom="0.39370078740157483" header="0" footer="0"/>
  <pageSetup paperSize="9" scale="54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8"/>
  <sheetViews>
    <sheetView view="pageBreakPreview" zoomScaleNormal="100" zoomScaleSheetLayoutView="100" workbookViewId="0">
      <selection activeCell="B4" sqref="B4"/>
    </sheetView>
  </sheetViews>
  <sheetFormatPr baseColWidth="10" defaultColWidth="11.453125" defaultRowHeight="12.5" x14ac:dyDescent="0.25"/>
  <cols>
    <col min="1" max="1" width="7.26953125" style="333" customWidth="1"/>
    <col min="2" max="2" width="26.7265625" style="315" customWidth="1"/>
    <col min="3" max="3" width="25.7265625" style="315" customWidth="1"/>
    <col min="4" max="4" width="14.453125" style="333" customWidth="1"/>
    <col min="5" max="5" width="18.7265625" style="333" customWidth="1"/>
    <col min="6" max="7" width="11.453125" style="333"/>
    <col min="8" max="8" width="4.453125" style="333" customWidth="1"/>
    <col min="9" max="16384" width="11.453125" style="315"/>
  </cols>
  <sheetData>
    <row r="1" spans="1:13" ht="18" x14ac:dyDescent="0.4">
      <c r="A1" s="330" t="s">
        <v>142</v>
      </c>
      <c r="B1" s="333"/>
      <c r="C1" s="333"/>
    </row>
    <row r="2" spans="1:13" x14ac:dyDescent="0.25">
      <c r="B2" s="333"/>
      <c r="C2" s="333"/>
    </row>
    <row r="3" spans="1:13" ht="15.5" x14ac:dyDescent="0.35">
      <c r="B3" s="391" t="s">
        <v>226</v>
      </c>
      <c r="C3" s="333"/>
      <c r="J3" s="1663"/>
      <c r="K3" s="1663"/>
    </row>
    <row r="4" spans="1:13" ht="12.75" customHeight="1" x14ac:dyDescent="0.25">
      <c r="B4" s="333"/>
      <c r="C4" s="333"/>
      <c r="J4" s="1663"/>
      <c r="K4" s="1663" t="s">
        <v>174</v>
      </c>
    </row>
    <row r="5" spans="1:13" ht="38.25" customHeight="1" x14ac:dyDescent="0.25">
      <c r="B5" s="1133" t="s">
        <v>39</v>
      </c>
      <c r="C5" s="1134" t="s">
        <v>143</v>
      </c>
      <c r="J5" s="1664">
        <v>1995</v>
      </c>
      <c r="K5" s="1664">
        <v>19.7</v>
      </c>
    </row>
    <row r="6" spans="1:13" ht="12.75" customHeight="1" x14ac:dyDescent="0.25">
      <c r="B6" s="694">
        <v>1995</v>
      </c>
      <c r="C6" s="695">
        <v>19.7</v>
      </c>
      <c r="J6" s="1665">
        <v>2000</v>
      </c>
      <c r="K6" s="1665">
        <v>10.4</v>
      </c>
      <c r="M6" s="758"/>
    </row>
    <row r="7" spans="1:13" x14ac:dyDescent="0.25">
      <c r="B7" s="460">
        <v>1996</v>
      </c>
      <c r="C7" s="691">
        <v>17</v>
      </c>
      <c r="J7" s="1664">
        <v>2005</v>
      </c>
      <c r="K7" s="1666">
        <v>8.4</v>
      </c>
      <c r="M7" s="758"/>
    </row>
    <row r="8" spans="1:13" x14ac:dyDescent="0.25">
      <c r="B8" s="694">
        <v>1997</v>
      </c>
      <c r="C8" s="695">
        <v>14.5</v>
      </c>
      <c r="J8" s="1665">
        <v>2010</v>
      </c>
      <c r="K8" s="1667">
        <v>7.81</v>
      </c>
      <c r="M8" s="758"/>
    </row>
    <row r="9" spans="1:13" x14ac:dyDescent="0.25">
      <c r="B9" s="460">
        <v>1998</v>
      </c>
      <c r="C9" s="696">
        <v>12.4</v>
      </c>
      <c r="J9" s="1664">
        <v>2011</v>
      </c>
      <c r="K9" s="1666">
        <v>7.5990000000000002</v>
      </c>
      <c r="M9" s="758"/>
    </row>
    <row r="10" spans="1:13" x14ac:dyDescent="0.25">
      <c r="B10" s="694">
        <v>1999</v>
      </c>
      <c r="C10" s="695">
        <v>11.3</v>
      </c>
      <c r="J10" s="1665">
        <v>2012</v>
      </c>
      <c r="K10" s="1667">
        <v>7.7190000000000003</v>
      </c>
      <c r="M10" s="758"/>
    </row>
    <row r="11" spans="1:13" x14ac:dyDescent="0.25">
      <c r="B11" s="460">
        <v>2000</v>
      </c>
      <c r="C11" s="696">
        <v>10.4</v>
      </c>
      <c r="J11" s="1664">
        <v>2013</v>
      </c>
      <c r="K11" s="1666">
        <v>7.468</v>
      </c>
      <c r="M11" s="758"/>
    </row>
    <row r="12" spans="1:13" x14ac:dyDescent="0.25">
      <c r="B12" s="694">
        <v>2001</v>
      </c>
      <c r="C12" s="695">
        <v>9.6999999999999993</v>
      </c>
      <c r="J12" s="1665">
        <v>2014</v>
      </c>
      <c r="K12" s="1667">
        <v>7.468</v>
      </c>
      <c r="M12" s="758"/>
    </row>
    <row r="13" spans="1:13" x14ac:dyDescent="0.25">
      <c r="B13" s="460">
        <v>2002</v>
      </c>
      <c r="C13" s="691">
        <v>9.1</v>
      </c>
      <c r="J13" s="1664">
        <v>2015</v>
      </c>
      <c r="K13" s="1666">
        <v>7.6669999999999998</v>
      </c>
      <c r="M13" s="758"/>
    </row>
    <row r="14" spans="1:13" x14ac:dyDescent="0.25">
      <c r="B14" s="694">
        <v>2003</v>
      </c>
      <c r="C14" s="697">
        <v>9.07</v>
      </c>
      <c r="J14" s="1665">
        <v>2016</v>
      </c>
      <c r="K14" s="1667">
        <v>8.0868298841374706</v>
      </c>
      <c r="M14" s="758"/>
    </row>
    <row r="15" spans="1:13" x14ac:dyDescent="0.25">
      <c r="B15" s="460">
        <v>2004</v>
      </c>
      <c r="C15" s="691">
        <v>8.6999999999999993</v>
      </c>
      <c r="J15" s="1664">
        <v>2017</v>
      </c>
      <c r="K15" s="1666">
        <v>8.3132160624575295</v>
      </c>
      <c r="M15" s="758"/>
    </row>
    <row r="16" spans="1:13" x14ac:dyDescent="0.25">
      <c r="B16" s="694">
        <v>2005</v>
      </c>
      <c r="C16" s="697">
        <v>8.4</v>
      </c>
      <c r="J16" s="1665">
        <v>2018</v>
      </c>
      <c r="K16" s="1667">
        <v>8.3628766338051097</v>
      </c>
      <c r="M16" s="758"/>
    </row>
    <row r="17" spans="2:13" x14ac:dyDescent="0.25">
      <c r="B17" s="460">
        <v>2006</v>
      </c>
      <c r="C17" s="691">
        <v>8.5519999999999996</v>
      </c>
      <c r="J17" s="1664">
        <v>2019</v>
      </c>
      <c r="K17" s="1666">
        <v>9.8285884259999996</v>
      </c>
      <c r="M17" s="758"/>
    </row>
    <row r="18" spans="2:13" x14ac:dyDescent="0.25">
      <c r="B18" s="694">
        <v>2007</v>
      </c>
      <c r="C18" s="697">
        <v>8.1739999999999995</v>
      </c>
      <c r="J18" s="1665">
        <v>2020</v>
      </c>
      <c r="K18" s="1667">
        <v>9.5966758321755492</v>
      </c>
      <c r="M18" s="758"/>
    </row>
    <row r="19" spans="2:13" x14ac:dyDescent="0.25">
      <c r="B19" s="460">
        <v>2008</v>
      </c>
      <c r="C19" s="691">
        <v>8.0039999999999996</v>
      </c>
      <c r="J19" s="1664">
        <v>2021</v>
      </c>
      <c r="K19" s="1666">
        <v>9.8759261542055405</v>
      </c>
      <c r="M19" s="758"/>
    </row>
    <row r="20" spans="2:13" ht="13" x14ac:dyDescent="0.3">
      <c r="B20" s="694">
        <v>2009</v>
      </c>
      <c r="C20" s="697">
        <v>7.85</v>
      </c>
      <c r="J20" s="1668">
        <v>2022</v>
      </c>
      <c r="K20" s="1667">
        <v>9.7630849467818308</v>
      </c>
      <c r="M20" s="758"/>
    </row>
    <row r="21" spans="2:13" x14ac:dyDescent="0.25">
      <c r="B21" s="460">
        <v>2010</v>
      </c>
      <c r="C21" s="691">
        <v>7.81</v>
      </c>
      <c r="J21" s="1663"/>
      <c r="K21" s="1663"/>
      <c r="M21" s="758"/>
    </row>
    <row r="22" spans="2:13" x14ac:dyDescent="0.25">
      <c r="B22" s="694">
        <v>2011</v>
      </c>
      <c r="C22" s="697">
        <v>7.5990000000000002</v>
      </c>
      <c r="J22" s="1663"/>
      <c r="K22" s="1663"/>
      <c r="M22" s="758"/>
    </row>
    <row r="23" spans="2:13" x14ac:dyDescent="0.25">
      <c r="B23" s="460">
        <v>2012</v>
      </c>
      <c r="C23" s="691">
        <v>7.7190000000000003</v>
      </c>
      <c r="M23" s="758"/>
    </row>
    <row r="24" spans="2:13" x14ac:dyDescent="0.25">
      <c r="B24" s="694">
        <v>2013</v>
      </c>
      <c r="C24" s="697">
        <v>7.468</v>
      </c>
      <c r="M24" s="758"/>
    </row>
    <row r="25" spans="2:13" x14ac:dyDescent="0.25">
      <c r="B25" s="460">
        <v>2014</v>
      </c>
      <c r="C25" s="691">
        <v>7.468</v>
      </c>
      <c r="M25" s="758"/>
    </row>
    <row r="26" spans="2:13" x14ac:dyDescent="0.25">
      <c r="B26" s="694">
        <v>2015</v>
      </c>
      <c r="C26" s="697">
        <v>7.6669999999999998</v>
      </c>
      <c r="M26" s="758"/>
    </row>
    <row r="27" spans="2:13" x14ac:dyDescent="0.25">
      <c r="B27" s="460">
        <v>2016</v>
      </c>
      <c r="C27" s="691">
        <v>8.0868298841374706</v>
      </c>
      <c r="M27" s="758"/>
    </row>
    <row r="28" spans="2:13" x14ac:dyDescent="0.25">
      <c r="B28" s="694">
        <v>2017</v>
      </c>
      <c r="C28" s="697">
        <v>8.3132160624575295</v>
      </c>
      <c r="M28" s="758"/>
    </row>
    <row r="29" spans="2:13" x14ac:dyDescent="0.25">
      <c r="B29" s="460">
        <v>2018</v>
      </c>
      <c r="C29" s="691">
        <v>8.3628766338051097</v>
      </c>
      <c r="M29" s="758"/>
    </row>
    <row r="30" spans="2:13" x14ac:dyDescent="0.25">
      <c r="B30" s="694">
        <v>2019</v>
      </c>
      <c r="C30" s="697">
        <v>9.8285884259999996</v>
      </c>
      <c r="M30" s="758"/>
    </row>
    <row r="31" spans="2:13" x14ac:dyDescent="0.25">
      <c r="B31" s="460">
        <v>2020</v>
      </c>
      <c r="C31" s="691">
        <v>9.5966758321755492</v>
      </c>
      <c r="M31" s="758"/>
    </row>
    <row r="32" spans="2:13" x14ac:dyDescent="0.25">
      <c r="B32" s="1196">
        <v>2021</v>
      </c>
      <c r="C32" s="697">
        <v>9.8759261542055405</v>
      </c>
      <c r="M32" s="758"/>
    </row>
    <row r="33" spans="1:13" ht="13" x14ac:dyDescent="0.3">
      <c r="B33" s="1195">
        <v>2022</v>
      </c>
      <c r="C33" s="691">
        <v>9.7630849467818308</v>
      </c>
      <c r="J33" s="375"/>
      <c r="K33" s="758"/>
      <c r="M33" s="758"/>
    </row>
    <row r="34" spans="1:13" s="493" customFormat="1" ht="18.75" customHeight="1" x14ac:dyDescent="0.25">
      <c r="A34" s="492"/>
      <c r="B34" s="1376" t="s">
        <v>161</v>
      </c>
      <c r="C34" s="1380">
        <f>(C33/C32)-1</f>
        <v>-1.1425886105442151E-2</v>
      </c>
      <c r="D34" s="492"/>
      <c r="E34" s="492"/>
      <c r="F34" s="492"/>
      <c r="G34" s="492"/>
      <c r="H34" s="492"/>
    </row>
    <row r="35" spans="1:13" s="493" customFormat="1" ht="18.75" customHeight="1" x14ac:dyDescent="0.25">
      <c r="A35" s="492"/>
      <c r="B35" s="1377" t="s">
        <v>162</v>
      </c>
      <c r="C35" s="866">
        <f>((C33/C28)^(1/5))-1</f>
        <v>3.2674849413065088E-2</v>
      </c>
      <c r="D35" s="492"/>
      <c r="E35" s="492"/>
      <c r="F35" s="492"/>
      <c r="G35" s="492"/>
      <c r="H35" s="492"/>
    </row>
    <row r="36" spans="1:13" s="493" customFormat="1" ht="18.75" customHeight="1" x14ac:dyDescent="0.25">
      <c r="A36" s="492"/>
      <c r="B36" s="1378" t="s">
        <v>163</v>
      </c>
      <c r="C36" s="940">
        <f>(C33/C23)-1</f>
        <v>0.26481214493870064</v>
      </c>
      <c r="D36" s="492"/>
      <c r="E36" s="492"/>
      <c r="F36" s="492"/>
      <c r="G36" s="492"/>
      <c r="H36" s="492"/>
    </row>
    <row r="37" spans="1:13" s="493" customFormat="1" ht="18.75" customHeight="1" x14ac:dyDescent="0.25">
      <c r="A37" s="492"/>
      <c r="B37" s="1379" t="s">
        <v>164</v>
      </c>
      <c r="C37" s="1381">
        <f>((C33/C23)^(1/10))-1</f>
        <v>2.3770480044708497E-2</v>
      </c>
      <c r="D37" s="492"/>
      <c r="E37" s="492"/>
      <c r="F37" s="492"/>
      <c r="G37" s="492"/>
      <c r="H37" s="492"/>
    </row>
    <row r="38" spans="1:13" s="333" customFormat="1" x14ac:dyDescent="0.25"/>
    <row r="39" spans="1:13" s="333" customFormat="1" x14ac:dyDescent="0.25">
      <c r="B39" s="388"/>
    </row>
    <row r="40" spans="1:13" s="333" customFormat="1" x14ac:dyDescent="0.25"/>
    <row r="41" spans="1:13" s="333" customFormat="1" x14ac:dyDescent="0.25"/>
    <row r="42" spans="1:13" s="333" customFormat="1" x14ac:dyDescent="0.25"/>
    <row r="43" spans="1:13" s="333" customFormat="1" x14ac:dyDescent="0.25"/>
    <row r="44" spans="1:13" s="333" customFormat="1" x14ac:dyDescent="0.25"/>
    <row r="45" spans="1:13" s="333" customFormat="1" x14ac:dyDescent="0.25"/>
    <row r="46" spans="1:13" s="333" customFormat="1" x14ac:dyDescent="0.25"/>
    <row r="47" spans="1:13" s="333" customFormat="1" x14ac:dyDescent="0.25"/>
    <row r="48" spans="1:13" s="333" customFormat="1" x14ac:dyDescent="0.25"/>
    <row r="49" s="333" customFormat="1" x14ac:dyDescent="0.25"/>
    <row r="50" s="333" customFormat="1" x14ac:dyDescent="0.25"/>
    <row r="51" s="333" customFormat="1" x14ac:dyDescent="0.25"/>
    <row r="52" s="333" customFormat="1" x14ac:dyDescent="0.25"/>
    <row r="53" s="333" customFormat="1" x14ac:dyDescent="0.25"/>
    <row r="54" s="333" customFormat="1" x14ac:dyDescent="0.25"/>
    <row r="55" s="333" customFormat="1" x14ac:dyDescent="0.25"/>
    <row r="56" s="333" customFormat="1" x14ac:dyDescent="0.25"/>
    <row r="57" s="333" customFormat="1" x14ac:dyDescent="0.25"/>
    <row r="58" s="333" customFormat="1" x14ac:dyDescent="0.25"/>
    <row r="59" s="333" customFormat="1" x14ac:dyDescent="0.25"/>
    <row r="60" s="333" customFormat="1" x14ac:dyDescent="0.25"/>
    <row r="61" s="333" customFormat="1" x14ac:dyDescent="0.25"/>
    <row r="62" s="333" customFormat="1" x14ac:dyDescent="0.25"/>
    <row r="63" s="333" customFormat="1" x14ac:dyDescent="0.25"/>
    <row r="64" s="333" customFormat="1" x14ac:dyDescent="0.25"/>
    <row r="68" spans="2:2" x14ac:dyDescent="0.25">
      <c r="B68" s="471"/>
    </row>
  </sheetData>
  <printOptions horizontalCentered="1"/>
  <pageMargins left="0.55118110236220474" right="0.43307086614173229" top="0.39370078740157483" bottom="0.19685039370078741" header="0" footer="0"/>
  <pageSetup paperSize="9" scale="8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0"/>
  <sheetViews>
    <sheetView showGridLines="0" view="pageBreakPreview" zoomScaleNormal="80" zoomScaleSheetLayoutView="100" workbookViewId="0">
      <selection activeCell="B4" sqref="B4"/>
    </sheetView>
  </sheetViews>
  <sheetFormatPr baseColWidth="10" defaultColWidth="11.453125" defaultRowHeight="12.5" x14ac:dyDescent="0.25"/>
  <cols>
    <col min="1" max="1" width="7.26953125" style="315" customWidth="1"/>
    <col min="2" max="2" width="22.453125" style="315" customWidth="1"/>
    <col min="3" max="7" width="16.1796875" style="315" customWidth="1"/>
    <col min="8" max="8" width="5.81640625" style="315" customWidth="1"/>
    <col min="9" max="9" width="13.81640625" style="315" customWidth="1"/>
    <col min="10" max="10" width="20.453125" style="315" bestFit="1" customWidth="1"/>
    <col min="11" max="12" width="13.453125" style="315" customWidth="1"/>
    <col min="13" max="13" width="12.453125" style="315" customWidth="1"/>
    <col min="14" max="14" width="12.7265625" style="315" bestFit="1" customWidth="1"/>
    <col min="15" max="15" width="13.453125" style="315" bestFit="1" customWidth="1"/>
    <col min="16" max="16384" width="11.453125" style="315"/>
  </cols>
  <sheetData>
    <row r="1" spans="1:18" ht="18" x14ac:dyDescent="0.4">
      <c r="A1" s="438" t="s">
        <v>144</v>
      </c>
    </row>
    <row r="3" spans="1:18" ht="18" x14ac:dyDescent="0.4">
      <c r="B3" s="438" t="s">
        <v>225</v>
      </c>
    </row>
    <row r="4" spans="1:18" ht="13" thickBot="1" x14ac:dyDescent="0.3">
      <c r="B4" s="698"/>
      <c r="C4" s="698"/>
      <c r="D4" s="698"/>
      <c r="E4" s="698"/>
      <c r="F4" s="698"/>
      <c r="G4" s="698"/>
      <c r="I4" s="1631"/>
      <c r="J4" s="1631"/>
      <c r="K4" s="1631"/>
      <c r="L4" s="1631"/>
      <c r="M4" s="1631"/>
      <c r="N4" s="1631"/>
      <c r="O4" s="1631"/>
      <c r="P4" s="1631"/>
      <c r="Q4" s="1631"/>
      <c r="R4" s="1631"/>
    </row>
    <row r="5" spans="1:18" s="493" customFormat="1" ht="13" x14ac:dyDescent="0.25">
      <c r="B5" s="1562" t="s">
        <v>39</v>
      </c>
      <c r="C5" s="1587" t="s">
        <v>158</v>
      </c>
      <c r="D5" s="1563" t="s">
        <v>145</v>
      </c>
      <c r="E5" s="1585"/>
      <c r="F5" s="1585"/>
      <c r="G5" s="1588" t="s">
        <v>159</v>
      </c>
      <c r="I5" s="1646"/>
      <c r="J5" s="1646"/>
      <c r="K5" s="1646"/>
      <c r="L5" s="1646"/>
      <c r="M5" s="1646"/>
      <c r="N5" s="1646"/>
      <c r="O5" s="1646"/>
      <c r="P5" s="1646"/>
      <c r="Q5" s="1646"/>
      <c r="R5" s="1646"/>
    </row>
    <row r="6" spans="1:18" s="493" customFormat="1" ht="13.5" thickBot="1" x14ac:dyDescent="0.3">
      <c r="B6" s="1586"/>
      <c r="C6" s="1576"/>
      <c r="D6" s="1104" t="s">
        <v>53</v>
      </c>
      <c r="E6" s="1104" t="s">
        <v>56</v>
      </c>
      <c r="F6" s="1104" t="s">
        <v>54</v>
      </c>
      <c r="G6" s="1589"/>
      <c r="I6" s="1603"/>
      <c r="J6" s="1631" t="s">
        <v>176</v>
      </c>
      <c r="K6" s="1631" t="s">
        <v>177</v>
      </c>
      <c r="L6" s="1646" t="s">
        <v>175</v>
      </c>
      <c r="M6" s="1646"/>
      <c r="N6" s="1603"/>
      <c r="O6" s="1631" t="s">
        <v>178</v>
      </c>
      <c r="P6" s="1646" t="s">
        <v>175</v>
      </c>
      <c r="Q6" s="1646"/>
      <c r="R6" s="1646"/>
    </row>
    <row r="7" spans="1:18" x14ac:dyDescent="0.25">
      <c r="B7" s="1384">
        <v>1995</v>
      </c>
      <c r="C7" s="1385">
        <f t="shared" ref="C7:C22" si="0">SUM(E7+F7+G7)</f>
        <v>13623.057632000004</v>
      </c>
      <c r="D7" s="351">
        <f>+E7+F7</f>
        <v>9849.2561280000045</v>
      </c>
      <c r="E7" s="769">
        <v>8673.7080870000045</v>
      </c>
      <c r="F7" s="770">
        <v>1175.548041</v>
      </c>
      <c r="G7" s="771">
        <v>3773.801504</v>
      </c>
      <c r="I7" s="1631">
        <f>+B7</f>
        <v>1995</v>
      </c>
      <c r="J7" s="1656">
        <f>+E7</f>
        <v>8673.7080870000045</v>
      </c>
      <c r="K7" s="1656">
        <f t="shared" ref="K7:L7" si="1">+F7</f>
        <v>1175.548041</v>
      </c>
      <c r="L7" s="1656">
        <f t="shared" si="1"/>
        <v>3773.801504</v>
      </c>
      <c r="M7" s="1669"/>
      <c r="N7" s="1631">
        <v>1995</v>
      </c>
      <c r="O7" s="1656">
        <f>+D7</f>
        <v>9849.2561280000045</v>
      </c>
      <c r="P7" s="1656">
        <f>+G7</f>
        <v>3773.801504</v>
      </c>
      <c r="Q7" s="1656"/>
      <c r="R7" s="1631"/>
    </row>
    <row r="8" spans="1:18" x14ac:dyDescent="0.25">
      <c r="B8" s="703">
        <v>1996</v>
      </c>
      <c r="C8" s="1386">
        <f t="shared" si="0"/>
        <v>14303.074869999991</v>
      </c>
      <c r="D8" s="371">
        <f t="shared" ref="D8:D22" si="2">+E8+F8</f>
        <v>10330.839597999991</v>
      </c>
      <c r="E8" s="772">
        <v>8770.6107359999914</v>
      </c>
      <c r="F8" s="773">
        <v>1560.2288619999999</v>
      </c>
      <c r="G8" s="774">
        <v>3972.2352720000004</v>
      </c>
      <c r="I8" s="1631">
        <f>+B12</f>
        <v>2000</v>
      </c>
      <c r="J8" s="1656">
        <f>+E12</f>
        <v>10763.269271000014</v>
      </c>
      <c r="K8" s="1656">
        <f t="shared" ref="K8:L8" si="3">+F12</f>
        <v>4782.3261210000001</v>
      </c>
      <c r="L8" s="1656">
        <f t="shared" si="3"/>
        <v>1594.7996189999994</v>
      </c>
      <c r="M8" s="1669"/>
      <c r="N8" s="1631">
        <v>2000</v>
      </c>
      <c r="O8" s="1656">
        <f>+D12</f>
        <v>15545.595392000014</v>
      </c>
      <c r="P8" s="1656">
        <f>+G12</f>
        <v>1594.7996189999994</v>
      </c>
      <c r="Q8" s="1656"/>
      <c r="R8" s="1631"/>
    </row>
    <row r="9" spans="1:18" x14ac:dyDescent="0.25">
      <c r="B9" s="702">
        <v>1997</v>
      </c>
      <c r="C9" s="1387">
        <f t="shared" si="0"/>
        <v>15056.080858999991</v>
      </c>
      <c r="D9" s="351">
        <f t="shared" si="2"/>
        <v>12451.23015999999</v>
      </c>
      <c r="E9" s="769">
        <v>9377.8946799999903</v>
      </c>
      <c r="F9" s="770">
        <v>3073.3354799999997</v>
      </c>
      <c r="G9" s="771">
        <v>2604.8506989999996</v>
      </c>
      <c r="I9" s="1631">
        <f>+B17</f>
        <v>2005</v>
      </c>
      <c r="J9" s="1656">
        <f>+E17</f>
        <v>12914.287800222222</v>
      </c>
      <c r="K9" s="1656">
        <f t="shared" ref="K9:L9" si="4">+F17</f>
        <v>7787.095080000001</v>
      </c>
      <c r="L9" s="1656">
        <f t="shared" si="4"/>
        <v>1698.8618702072531</v>
      </c>
      <c r="M9" s="1669"/>
      <c r="N9" s="1631">
        <v>2005</v>
      </c>
      <c r="O9" s="1656">
        <f>+D17</f>
        <v>20701.382880222223</v>
      </c>
      <c r="P9" s="1656">
        <f>+G17</f>
        <v>1698.8618702072531</v>
      </c>
      <c r="Q9" s="1656"/>
      <c r="R9" s="1631"/>
    </row>
    <row r="10" spans="1:18" x14ac:dyDescent="0.25">
      <c r="B10" s="703">
        <v>1998</v>
      </c>
      <c r="C10" s="1386">
        <f t="shared" si="0"/>
        <v>15775.178822</v>
      </c>
      <c r="D10" s="371">
        <f t="shared" si="2"/>
        <v>14008.576822999999</v>
      </c>
      <c r="E10" s="772">
        <v>9878.6615729999976</v>
      </c>
      <c r="F10" s="773">
        <v>4129.9152500000009</v>
      </c>
      <c r="G10" s="774">
        <v>1766.6019990000002</v>
      </c>
      <c r="I10" s="1631">
        <f>+B22</f>
        <v>2010</v>
      </c>
      <c r="J10" s="1656">
        <f t="shared" ref="J10:J22" si="5">+E22</f>
        <v>18195.325098000001</v>
      </c>
      <c r="K10" s="1656">
        <f t="shared" ref="K10:L10" si="6">+F22</f>
        <v>11240.850026</v>
      </c>
      <c r="L10" s="1656">
        <f t="shared" si="6"/>
        <v>2362.1921339999999</v>
      </c>
      <c r="M10" s="1669"/>
      <c r="N10" s="1631">
        <v>2010</v>
      </c>
      <c r="O10" s="1656">
        <f>+C22</f>
        <v>31798.367258000002</v>
      </c>
      <c r="P10" s="1656">
        <f>+G22</f>
        <v>2362.1921339999999</v>
      </c>
      <c r="Q10" s="1656"/>
      <c r="R10" s="1631"/>
    </row>
    <row r="11" spans="1:18" x14ac:dyDescent="0.25">
      <c r="B11" s="702">
        <v>1999</v>
      </c>
      <c r="C11" s="1387">
        <f t="shared" si="0"/>
        <v>16275.287911000001</v>
      </c>
      <c r="D11" s="351">
        <f t="shared" si="2"/>
        <v>14591.892392000002</v>
      </c>
      <c r="E11" s="769">
        <v>10198.891860000002</v>
      </c>
      <c r="F11" s="770">
        <v>4393.000532</v>
      </c>
      <c r="G11" s="771">
        <v>1683.3955190000001</v>
      </c>
      <c r="I11" s="1631">
        <f t="shared" ref="I11:I22" si="7">+B23</f>
        <v>2011</v>
      </c>
      <c r="J11" s="1656">
        <f t="shared" si="5"/>
        <v>19753.040698251105</v>
      </c>
      <c r="K11" s="1656">
        <f t="shared" ref="K11:L11" si="8">+F23</f>
        <v>12067.310107000005</v>
      </c>
      <c r="L11" s="1656">
        <f t="shared" si="8"/>
        <v>2557.9289537736718</v>
      </c>
      <c r="M11" s="1669"/>
      <c r="N11" s="1631">
        <v>2011</v>
      </c>
      <c r="O11" s="1656">
        <f t="shared" ref="O11:O22" si="9">+C23</f>
        <v>34378.279759024779</v>
      </c>
      <c r="P11" s="1656">
        <f t="shared" ref="P11:P22" si="10">+G23</f>
        <v>2557.9289537736718</v>
      </c>
      <c r="Q11" s="1656"/>
      <c r="R11" s="1631"/>
    </row>
    <row r="12" spans="1:18" x14ac:dyDescent="0.25">
      <c r="B12" s="703">
        <v>2000</v>
      </c>
      <c r="C12" s="1386">
        <f t="shared" si="0"/>
        <v>17140.395011000015</v>
      </c>
      <c r="D12" s="371">
        <f t="shared" si="2"/>
        <v>15545.595392000014</v>
      </c>
      <c r="E12" s="772">
        <v>10763.269271000014</v>
      </c>
      <c r="F12" s="773">
        <v>4782.3261210000001</v>
      </c>
      <c r="G12" s="774">
        <v>1594.7996189999994</v>
      </c>
      <c r="I12" s="1631">
        <f t="shared" si="7"/>
        <v>2012</v>
      </c>
      <c r="J12" s="1656">
        <f t="shared" si="5"/>
        <v>20947.295380999996</v>
      </c>
      <c r="K12" s="1656">
        <f t="shared" ref="K12:L12" si="11">+F24</f>
        <v>12700.890554</v>
      </c>
      <c r="L12" s="1656">
        <f t="shared" si="11"/>
        <v>2674.9537324079465</v>
      </c>
      <c r="M12" s="1669"/>
      <c r="N12" s="1631">
        <v>2012</v>
      </c>
      <c r="O12" s="1656">
        <f t="shared" si="9"/>
        <v>36323.139667407944</v>
      </c>
      <c r="P12" s="1656">
        <f t="shared" si="10"/>
        <v>2674.9537324079465</v>
      </c>
      <c r="Q12" s="1656"/>
      <c r="R12" s="1631"/>
    </row>
    <row r="13" spans="1:18" x14ac:dyDescent="0.25">
      <c r="B13" s="702">
        <v>2001</v>
      </c>
      <c r="C13" s="1387">
        <f t="shared" si="0"/>
        <v>18199.97343799999</v>
      </c>
      <c r="D13" s="351">
        <f t="shared" si="2"/>
        <v>16628.754544999989</v>
      </c>
      <c r="E13" s="769">
        <v>10522.374724999987</v>
      </c>
      <c r="F13" s="770">
        <v>6106.3798200000001</v>
      </c>
      <c r="G13" s="771">
        <v>1571.2188929999998</v>
      </c>
      <c r="I13" s="1631">
        <f t="shared" si="7"/>
        <v>2013</v>
      </c>
      <c r="J13" s="1656">
        <f t="shared" si="5"/>
        <v>21938.578439285997</v>
      </c>
      <c r="K13" s="1656">
        <f t="shared" ref="K13:L13" si="12">+F25</f>
        <v>13674.172223</v>
      </c>
      <c r="L13" s="1656">
        <f t="shared" si="12"/>
        <v>2665.5115413064063</v>
      </c>
      <c r="M13" s="1669"/>
      <c r="N13" s="1631">
        <v>2013</v>
      </c>
      <c r="O13" s="1656">
        <f t="shared" si="9"/>
        <v>38278.2622035924</v>
      </c>
      <c r="P13" s="1656">
        <f t="shared" si="10"/>
        <v>2665.5115413064063</v>
      </c>
      <c r="Q13" s="1656"/>
      <c r="R13" s="1631"/>
    </row>
    <row r="14" spans="1:18" x14ac:dyDescent="0.25">
      <c r="B14" s="703">
        <v>2002</v>
      </c>
      <c r="C14" s="1386">
        <f t="shared" si="0"/>
        <v>19168.140412848003</v>
      </c>
      <c r="D14" s="371">
        <f t="shared" si="2"/>
        <v>17605.325913847999</v>
      </c>
      <c r="E14" s="772">
        <v>11113.547163000001</v>
      </c>
      <c r="F14" s="773">
        <v>6491.7787508479996</v>
      </c>
      <c r="G14" s="774">
        <v>1562.8144990000035</v>
      </c>
      <c r="I14" s="1631">
        <f t="shared" si="7"/>
        <v>2014</v>
      </c>
      <c r="J14" s="1656">
        <f t="shared" si="5"/>
        <v>22779.996057397198</v>
      </c>
      <c r="K14" s="1656">
        <f t="shared" ref="K14:L14" si="13">+F26</f>
        <v>14545.805000799999</v>
      </c>
      <c r="L14" s="1656">
        <f t="shared" si="13"/>
        <v>2703.5718431337973</v>
      </c>
      <c r="M14" s="1669"/>
      <c r="N14" s="1631">
        <v>2014</v>
      </c>
      <c r="O14" s="1656">
        <f t="shared" si="9"/>
        <v>40029.372901330993</v>
      </c>
      <c r="P14" s="1656">
        <f t="shared" si="10"/>
        <v>2703.5718431337973</v>
      </c>
      <c r="Q14" s="1656"/>
      <c r="R14" s="1631"/>
    </row>
    <row r="15" spans="1:18" x14ac:dyDescent="0.25">
      <c r="B15" s="647">
        <v>2003</v>
      </c>
      <c r="C15" s="1387">
        <f>SUM(E15+F15+G15)</f>
        <v>19937.226353999999</v>
      </c>
      <c r="D15" s="351">
        <f t="shared" si="2"/>
        <v>18375.335409999996</v>
      </c>
      <c r="E15" s="769">
        <v>11303.613572999999</v>
      </c>
      <c r="F15" s="770">
        <v>7071.7218369999982</v>
      </c>
      <c r="G15" s="771">
        <v>1561.8909440000034</v>
      </c>
      <c r="I15" s="1631">
        <f t="shared" si="7"/>
        <v>2015</v>
      </c>
      <c r="J15" s="1656">
        <f t="shared" si="5"/>
        <v>23494.038699999997</v>
      </c>
      <c r="K15" s="1656">
        <f t="shared" ref="K15:L15" si="14">+F27</f>
        <v>16280.711282799999</v>
      </c>
      <c r="L15" s="1656">
        <f t="shared" si="14"/>
        <v>2559.0236383301703</v>
      </c>
      <c r="M15" s="1669"/>
      <c r="N15" s="1631">
        <v>2015</v>
      </c>
      <c r="O15" s="1656">
        <f t="shared" si="9"/>
        <v>42333.773621130167</v>
      </c>
      <c r="P15" s="1656">
        <f t="shared" si="10"/>
        <v>2559.0236383301703</v>
      </c>
      <c r="Q15" s="1656"/>
      <c r="R15" s="1631"/>
    </row>
    <row r="16" spans="1:18" x14ac:dyDescent="0.25">
      <c r="B16" s="703">
        <v>2004</v>
      </c>
      <c r="C16" s="1386">
        <f t="shared" si="0"/>
        <v>21287.724389999999</v>
      </c>
      <c r="D16" s="371">
        <f t="shared" si="2"/>
        <v>19640.651109999999</v>
      </c>
      <c r="E16" s="772">
        <v>12001.305316</v>
      </c>
      <c r="F16" s="773">
        <v>7639.3457940000008</v>
      </c>
      <c r="G16" s="774">
        <v>1647.0732800000003</v>
      </c>
      <c r="I16" s="1631">
        <f t="shared" si="7"/>
        <v>2016</v>
      </c>
      <c r="J16" s="1656">
        <f t="shared" si="5"/>
        <v>22886.332354000002</v>
      </c>
      <c r="K16" s="1656">
        <f t="shared" ref="K16:L16" si="15">+F28</f>
        <v>20480.666756700004</v>
      </c>
      <c r="L16" s="1656">
        <f t="shared" si="15"/>
        <v>2165.8930204205285</v>
      </c>
      <c r="M16" s="1669"/>
      <c r="N16" s="1631">
        <v>2016</v>
      </c>
      <c r="O16" s="1656">
        <f t="shared" si="9"/>
        <v>45532.892131120541</v>
      </c>
      <c r="P16" s="1656">
        <f t="shared" si="10"/>
        <v>2165.8930204205285</v>
      </c>
      <c r="Q16" s="1656"/>
      <c r="R16" s="1631"/>
    </row>
    <row r="17" spans="2:18" x14ac:dyDescent="0.25">
      <c r="B17" s="702">
        <v>2005</v>
      </c>
      <c r="C17" s="1387">
        <f t="shared" si="0"/>
        <v>22400.244750429476</v>
      </c>
      <c r="D17" s="351">
        <f t="shared" si="2"/>
        <v>20701.382880222223</v>
      </c>
      <c r="E17" s="769">
        <v>12914.287800222222</v>
      </c>
      <c r="F17" s="770">
        <v>7787.095080000001</v>
      </c>
      <c r="G17" s="771">
        <v>1698.8618702072531</v>
      </c>
      <c r="I17" s="1631">
        <f t="shared" si="7"/>
        <v>2017</v>
      </c>
      <c r="J17" s="1656">
        <f t="shared" si="5"/>
        <v>22399.543247369966</v>
      </c>
      <c r="K17" s="1656">
        <f t="shared" ref="K17:L17" si="16">+F29</f>
        <v>21823.709569899995</v>
      </c>
      <c r="L17" s="1656">
        <f t="shared" si="16"/>
        <v>2355.1911354963022</v>
      </c>
      <c r="M17" s="1669"/>
      <c r="N17" s="1631">
        <v>2017</v>
      </c>
      <c r="O17" s="1656">
        <f t="shared" si="9"/>
        <v>46578.443952766262</v>
      </c>
      <c r="P17" s="1656">
        <f t="shared" si="10"/>
        <v>2355.1911354963022</v>
      </c>
      <c r="Q17" s="1656"/>
      <c r="R17" s="1631"/>
    </row>
    <row r="18" spans="2:18" x14ac:dyDescent="0.25">
      <c r="B18" s="703">
        <v>2006</v>
      </c>
      <c r="C18" s="1386">
        <f t="shared" si="0"/>
        <v>24046.126090621408</v>
      </c>
      <c r="D18" s="371">
        <f t="shared" si="2"/>
        <v>22290.061152999995</v>
      </c>
      <c r="E18" s="772">
        <v>14043.638326999999</v>
      </c>
      <c r="F18" s="773">
        <v>8246.4228259999982</v>
      </c>
      <c r="G18" s="774">
        <v>1756.0649376214139</v>
      </c>
      <c r="I18" s="1631">
        <f t="shared" si="7"/>
        <v>2018</v>
      </c>
      <c r="J18" s="1656">
        <f t="shared" si="5"/>
        <v>22073.874790390117</v>
      </c>
      <c r="K18" s="1656">
        <f t="shared" ref="K18:L18" si="17">+F30</f>
        <v>23793.913051799947</v>
      </c>
      <c r="L18" s="1656">
        <f t="shared" si="17"/>
        <v>2530.7625727270452</v>
      </c>
      <c r="M18" s="1669"/>
      <c r="N18" s="1631">
        <v>2018</v>
      </c>
      <c r="O18" s="1656">
        <f t="shared" si="9"/>
        <v>48398.55041491711</v>
      </c>
      <c r="P18" s="1656">
        <f t="shared" si="10"/>
        <v>2530.7625727270452</v>
      </c>
      <c r="Q18" s="1656"/>
      <c r="R18" s="1631"/>
    </row>
    <row r="19" spans="2:18" x14ac:dyDescent="0.25">
      <c r="B19" s="702">
        <v>2007</v>
      </c>
      <c r="C19" s="1387">
        <f t="shared" si="0"/>
        <v>26464.304604659999</v>
      </c>
      <c r="D19" s="351">
        <f t="shared" si="2"/>
        <v>24721.748552999998</v>
      </c>
      <c r="E19" s="769">
        <v>15032.180854999999</v>
      </c>
      <c r="F19" s="770">
        <v>9689.5676979999989</v>
      </c>
      <c r="G19" s="771">
        <v>1742.5560516600003</v>
      </c>
      <c r="I19" s="1631">
        <f t="shared" si="7"/>
        <v>2019</v>
      </c>
      <c r="J19" s="1656">
        <f t="shared" si="5"/>
        <v>22355.024662000003</v>
      </c>
      <c r="K19" s="1656">
        <f t="shared" ref="K19:L19" si="18">+F31</f>
        <v>25065.713250000001</v>
      </c>
      <c r="L19" s="1656">
        <f t="shared" si="18"/>
        <v>2519.9121636030145</v>
      </c>
      <c r="M19" s="1669"/>
      <c r="N19" s="1631">
        <v>2019</v>
      </c>
      <c r="O19" s="1656">
        <f t="shared" si="9"/>
        <v>49940.650075603022</v>
      </c>
      <c r="P19" s="1656">
        <f t="shared" si="10"/>
        <v>2519.9121636030145</v>
      </c>
      <c r="Q19" s="1656"/>
      <c r="R19" s="1631"/>
    </row>
    <row r="20" spans="2:18" x14ac:dyDescent="0.25">
      <c r="B20" s="703">
        <v>2008</v>
      </c>
      <c r="C20" s="1386">
        <f t="shared" si="0"/>
        <v>28852.809623000008</v>
      </c>
      <c r="D20" s="371">
        <f t="shared" si="2"/>
        <v>26964.41459600001</v>
      </c>
      <c r="E20" s="772">
        <v>16297.176545000008</v>
      </c>
      <c r="F20" s="773">
        <v>10667.238051000004</v>
      </c>
      <c r="G20" s="774">
        <v>1888.3950269999998</v>
      </c>
      <c r="I20" s="1631">
        <f t="shared" si="7"/>
        <v>2020</v>
      </c>
      <c r="J20" s="1656">
        <f t="shared" si="5"/>
        <v>20893.361044550002</v>
      </c>
      <c r="K20" s="1656">
        <f t="shared" ref="K20:L20" si="19">+F32</f>
        <v>22857.708323600058</v>
      </c>
      <c r="L20" s="1656">
        <f t="shared" si="19"/>
        <v>2086.689326059829</v>
      </c>
      <c r="M20" s="1669"/>
      <c r="N20" s="1631">
        <v>2020</v>
      </c>
      <c r="O20" s="1656">
        <f t="shared" si="9"/>
        <v>45837.758694209886</v>
      </c>
      <c r="P20" s="1656">
        <f t="shared" si="10"/>
        <v>2086.689326059829</v>
      </c>
      <c r="Q20" s="1656"/>
      <c r="R20" s="1631"/>
    </row>
    <row r="21" spans="2:18" x14ac:dyDescent="0.25">
      <c r="B21" s="702">
        <v>2009</v>
      </c>
      <c r="C21" s="1387">
        <f t="shared" si="0"/>
        <v>29109.838815000003</v>
      </c>
      <c r="D21" s="351">
        <f t="shared" si="2"/>
        <v>27087.005777000002</v>
      </c>
      <c r="E21" s="769">
        <v>17000.664145000002</v>
      </c>
      <c r="F21" s="770">
        <v>10086.341632</v>
      </c>
      <c r="G21" s="771">
        <v>2022.8330380000002</v>
      </c>
      <c r="I21" s="1631">
        <f t="shared" si="7"/>
        <v>2021</v>
      </c>
      <c r="J21" s="1656">
        <f t="shared" si="5"/>
        <v>21959.303937619599</v>
      </c>
      <c r="K21" s="1656">
        <f t="shared" ref="K21:L21" si="20">+F33</f>
        <v>26094.440055399904</v>
      </c>
      <c r="L21" s="1656">
        <f t="shared" si="20"/>
        <v>1859.2599257616712</v>
      </c>
      <c r="M21" s="1669"/>
      <c r="N21" s="1631">
        <v>2021</v>
      </c>
      <c r="O21" s="1656">
        <f t="shared" si="9"/>
        <v>49913.003918781178</v>
      </c>
      <c r="P21" s="1656">
        <f t="shared" si="10"/>
        <v>1859.2599257616712</v>
      </c>
      <c r="Q21" s="1656"/>
      <c r="R21" s="1631"/>
    </row>
    <row r="22" spans="2:18" x14ac:dyDescent="0.25">
      <c r="B22" s="703">
        <v>2010</v>
      </c>
      <c r="C22" s="1386">
        <f t="shared" si="0"/>
        <v>31798.367258000002</v>
      </c>
      <c r="D22" s="371">
        <f t="shared" si="2"/>
        <v>29436.175124000001</v>
      </c>
      <c r="E22" s="772">
        <v>18195.325098000001</v>
      </c>
      <c r="F22" s="773">
        <v>11240.850026</v>
      </c>
      <c r="G22" s="774">
        <v>2362.1921339999999</v>
      </c>
      <c r="I22" s="1631">
        <f t="shared" si="7"/>
        <v>2022</v>
      </c>
      <c r="J22" s="1656">
        <f t="shared" si="5"/>
        <v>22653.61</v>
      </c>
      <c r="K22" s="1656">
        <f t="shared" ref="K22:L22" si="21">+F34</f>
        <v>27779.469999999998</v>
      </c>
      <c r="L22" s="1656">
        <f t="shared" si="21"/>
        <v>1898.1158772272756</v>
      </c>
      <c r="M22" s="1669"/>
      <c r="N22" s="1631">
        <v>2022</v>
      </c>
      <c r="O22" s="1656">
        <f t="shared" si="9"/>
        <v>52331.195877227277</v>
      </c>
      <c r="P22" s="1656">
        <f t="shared" si="10"/>
        <v>1898.1158772272756</v>
      </c>
      <c r="Q22" s="1656"/>
      <c r="R22" s="1631"/>
    </row>
    <row r="23" spans="2:18" x14ac:dyDescent="0.25">
      <c r="B23" s="702">
        <v>2011</v>
      </c>
      <c r="C23" s="1387">
        <f>SUM(E23+F23+G23)</f>
        <v>34378.279759024779</v>
      </c>
      <c r="D23" s="351">
        <f>+E23+F23</f>
        <v>31820.35080525111</v>
      </c>
      <c r="E23" s="769">
        <v>19753.040698251105</v>
      </c>
      <c r="F23" s="770">
        <v>12067.310107000005</v>
      </c>
      <c r="G23" s="771">
        <v>2557.9289537736718</v>
      </c>
      <c r="I23" s="1631"/>
      <c r="J23" s="1612"/>
      <c r="K23" s="1612"/>
      <c r="L23" s="1670"/>
      <c r="M23" s="1669"/>
      <c r="N23" s="1670"/>
      <c r="O23" s="1631"/>
      <c r="P23" s="1631"/>
      <c r="Q23" s="1631"/>
      <c r="R23" s="1631"/>
    </row>
    <row r="24" spans="2:18" x14ac:dyDescent="0.25">
      <c r="B24" s="703">
        <v>2012</v>
      </c>
      <c r="C24" s="1386">
        <f>SUM(E24+F24+G24)</f>
        <v>36323.139667407944</v>
      </c>
      <c r="D24" s="371">
        <f>+E24+F24</f>
        <v>33648.185934999994</v>
      </c>
      <c r="E24" s="772">
        <v>20947.295380999996</v>
      </c>
      <c r="F24" s="773">
        <v>12700.890554</v>
      </c>
      <c r="G24" s="774">
        <v>2674.9537324079465</v>
      </c>
      <c r="I24" s="780"/>
      <c r="J24" s="781"/>
      <c r="K24" s="371"/>
      <c r="L24" s="775"/>
      <c r="M24" s="780"/>
      <c r="N24" s="775"/>
    </row>
    <row r="25" spans="2:18" x14ac:dyDescent="0.25">
      <c r="B25" s="702">
        <v>2013</v>
      </c>
      <c r="C25" s="1387">
        <f>SUM(E25+F25+G25)</f>
        <v>38278.2622035924</v>
      </c>
      <c r="D25" s="351">
        <f>+E25+F25</f>
        <v>35612.750662285995</v>
      </c>
      <c r="E25" s="769">
        <v>21938.578439285997</v>
      </c>
      <c r="F25" s="770">
        <v>13674.172223</v>
      </c>
      <c r="G25" s="771">
        <v>2665.5115413064063</v>
      </c>
      <c r="I25" s="780"/>
      <c r="J25" s="781"/>
      <c r="K25" s="371"/>
      <c r="L25" s="775"/>
      <c r="M25" s="780"/>
      <c r="N25" s="775"/>
      <c r="O25" s="780"/>
    </row>
    <row r="26" spans="2:18" x14ac:dyDescent="0.25">
      <c r="B26" s="703">
        <v>2014</v>
      </c>
      <c r="C26" s="1386">
        <f>SUM(E26+F26+G26)</f>
        <v>40029.372901330993</v>
      </c>
      <c r="D26" s="371">
        <f>+E26+F26</f>
        <v>37325.801058197198</v>
      </c>
      <c r="E26" s="772">
        <v>22779.996057397198</v>
      </c>
      <c r="F26" s="773">
        <v>14545.805000799999</v>
      </c>
      <c r="G26" s="774">
        <v>2703.5718431337973</v>
      </c>
      <c r="I26" s="780"/>
      <c r="J26" s="781"/>
      <c r="K26" s="371"/>
      <c r="L26" s="775"/>
      <c r="M26" s="780"/>
      <c r="N26" s="775"/>
    </row>
    <row r="27" spans="2:18" x14ac:dyDescent="0.25">
      <c r="B27" s="702">
        <v>2015</v>
      </c>
      <c r="C27" s="1387">
        <f>SUM(E27+F27+G27)</f>
        <v>42333.773621130167</v>
      </c>
      <c r="D27" s="351">
        <f>+E27+F27</f>
        <v>39774.7499828</v>
      </c>
      <c r="E27" s="769">
        <v>23494.038699999997</v>
      </c>
      <c r="F27" s="770">
        <v>16280.711282799999</v>
      </c>
      <c r="G27" s="771">
        <v>2559.0236383301703</v>
      </c>
      <c r="I27" s="780"/>
      <c r="J27" s="781"/>
      <c r="K27" s="371"/>
      <c r="L27" s="775"/>
      <c r="M27" s="780"/>
      <c r="N27" s="775"/>
      <c r="O27" s="780"/>
      <c r="P27" s="780"/>
    </row>
    <row r="28" spans="2:18" x14ac:dyDescent="0.25">
      <c r="B28" s="703">
        <v>2016</v>
      </c>
      <c r="C28" s="1386">
        <f t="shared" ref="C28:C34" si="22">SUM(E28+F28+G28)</f>
        <v>45532.892131120541</v>
      </c>
      <c r="D28" s="371">
        <f t="shared" ref="D28:D34" si="23">+E28+F28</f>
        <v>43366.99911070001</v>
      </c>
      <c r="E28" s="772">
        <v>22886.332354000002</v>
      </c>
      <c r="F28" s="773">
        <v>20480.666756700004</v>
      </c>
      <c r="G28" s="774">
        <v>2165.8930204205285</v>
      </c>
      <c r="I28" s="780"/>
      <c r="J28" s="781"/>
      <c r="K28" s="371"/>
      <c r="L28" s="775"/>
      <c r="M28" s="780"/>
      <c r="N28" s="775"/>
    </row>
    <row r="29" spans="2:18" x14ac:dyDescent="0.25">
      <c r="B29" s="702">
        <v>2017</v>
      </c>
      <c r="C29" s="1387">
        <f t="shared" si="22"/>
        <v>46578.443952766262</v>
      </c>
      <c r="D29" s="351">
        <f t="shared" si="23"/>
        <v>44223.25281726996</v>
      </c>
      <c r="E29" s="769">
        <v>22399.543247369966</v>
      </c>
      <c r="F29" s="770">
        <v>21823.709569899995</v>
      </c>
      <c r="G29" s="771">
        <v>2355.1911354963022</v>
      </c>
      <c r="I29" s="780"/>
      <c r="J29" s="781"/>
      <c r="K29" s="371"/>
      <c r="L29" s="775"/>
      <c r="M29" s="780"/>
      <c r="N29" s="775"/>
    </row>
    <row r="30" spans="2:18" x14ac:dyDescent="0.25">
      <c r="B30" s="703">
        <v>2018</v>
      </c>
      <c r="C30" s="1386">
        <f t="shared" si="22"/>
        <v>48398.55041491711</v>
      </c>
      <c r="D30" s="371">
        <f t="shared" si="23"/>
        <v>45867.787842190068</v>
      </c>
      <c r="E30" s="772">
        <v>22073.874790390117</v>
      </c>
      <c r="F30" s="773">
        <v>23793.913051799947</v>
      </c>
      <c r="G30" s="774">
        <v>2530.7625727270452</v>
      </c>
      <c r="I30" s="780"/>
      <c r="J30" s="781"/>
      <c r="K30" s="371"/>
      <c r="L30" s="775"/>
      <c r="M30" s="780"/>
      <c r="N30" s="775"/>
    </row>
    <row r="31" spans="2:18" x14ac:dyDescent="0.25">
      <c r="B31" s="702">
        <v>2019</v>
      </c>
      <c r="C31" s="1387">
        <f t="shared" si="22"/>
        <v>49940.650075603022</v>
      </c>
      <c r="D31" s="351">
        <f t="shared" si="23"/>
        <v>47420.737912000004</v>
      </c>
      <c r="E31" s="769">
        <v>22355.024662000003</v>
      </c>
      <c r="F31" s="770">
        <v>25065.713250000001</v>
      </c>
      <c r="G31" s="771">
        <v>2519.9121636030145</v>
      </c>
      <c r="I31" s="780"/>
      <c r="J31" s="781"/>
      <c r="K31" s="371"/>
      <c r="L31" s="775"/>
      <c r="M31" s="780"/>
      <c r="N31" s="775"/>
    </row>
    <row r="32" spans="2:18" x14ac:dyDescent="0.25">
      <c r="B32" s="703">
        <v>2020</v>
      </c>
      <c r="C32" s="1386">
        <f t="shared" si="22"/>
        <v>45837.758694209886</v>
      </c>
      <c r="D32" s="371">
        <f t="shared" si="23"/>
        <v>43751.069368150056</v>
      </c>
      <c r="E32" s="772">
        <v>20893.361044550002</v>
      </c>
      <c r="F32" s="773">
        <v>22857.708323600058</v>
      </c>
      <c r="G32" s="774">
        <v>2086.689326059829</v>
      </c>
      <c r="I32" s="780"/>
      <c r="J32" s="781"/>
      <c r="K32" s="371"/>
      <c r="L32" s="775"/>
      <c r="M32" s="780"/>
      <c r="N32" s="775"/>
    </row>
    <row r="33" spans="2:14" x14ac:dyDescent="0.25">
      <c r="B33" s="702">
        <v>2021</v>
      </c>
      <c r="C33" s="1387">
        <f t="shared" ref="C33" si="24">SUM(E33+F33+G33)</f>
        <v>49913.003918781178</v>
      </c>
      <c r="D33" s="351">
        <f t="shared" ref="D33" si="25">+E33+F33</f>
        <v>48053.743993019503</v>
      </c>
      <c r="E33" s="769">
        <v>21959.303937619599</v>
      </c>
      <c r="F33" s="770">
        <v>26094.440055399904</v>
      </c>
      <c r="G33" s="771">
        <v>1859.2599257616712</v>
      </c>
      <c r="I33" s="780"/>
      <c r="J33" s="781"/>
      <c r="K33" s="371"/>
      <c r="L33" s="775"/>
      <c r="M33" s="780"/>
      <c r="N33" s="775"/>
    </row>
    <row r="34" spans="2:14" ht="13.5" thickBot="1" x14ac:dyDescent="0.35">
      <c r="B34" s="699">
        <v>2022</v>
      </c>
      <c r="C34" s="1386">
        <f t="shared" si="22"/>
        <v>52331.195877227277</v>
      </c>
      <c r="D34" s="371">
        <f t="shared" si="23"/>
        <v>50433.08</v>
      </c>
      <c r="E34" s="772">
        <v>22653.61</v>
      </c>
      <c r="F34" s="773">
        <v>27779.469999999998</v>
      </c>
      <c r="G34" s="774">
        <v>1898.1158772272756</v>
      </c>
      <c r="I34" s="780"/>
      <c r="J34" s="781"/>
      <c r="K34" s="371"/>
      <c r="L34" s="775"/>
      <c r="M34" s="780"/>
      <c r="N34" s="775"/>
    </row>
    <row r="35" spans="2:14" s="493" customFormat="1" ht="18.75" customHeight="1" x14ac:dyDescent="0.25">
      <c r="B35" s="740" t="s">
        <v>161</v>
      </c>
      <c r="C35" s="1388">
        <f>(C34/C33)-1</f>
        <v>4.8448135126889946E-2</v>
      </c>
      <c r="D35" s="1383">
        <f t="shared" ref="D35:G35" si="26">(D34/D33)-1</f>
        <v>4.9514060909096491E-2</v>
      </c>
      <c r="E35" s="704">
        <f t="shared" si="26"/>
        <v>3.1617853842395682E-2</v>
      </c>
      <c r="F35" s="705">
        <f t="shared" si="26"/>
        <v>6.4574290194489015E-2</v>
      </c>
      <c r="G35" s="706">
        <f t="shared" si="26"/>
        <v>2.0898611822489865E-2</v>
      </c>
      <c r="N35" s="890"/>
    </row>
    <row r="36" spans="2:14" s="493" customFormat="1" ht="18.75" customHeight="1" x14ac:dyDescent="0.25">
      <c r="B36" s="971" t="s">
        <v>162</v>
      </c>
      <c r="C36" s="1141">
        <f>((C34/C29)^(1/5))-1</f>
        <v>2.3564315516254819E-2</v>
      </c>
      <c r="D36" s="946">
        <f t="shared" ref="D36:G36" si="27">((D34/D29)^(1/5))-1</f>
        <v>2.6627661220740562E-2</v>
      </c>
      <c r="E36" s="983">
        <f t="shared" si="27"/>
        <v>2.2582767178001006E-3</v>
      </c>
      <c r="F36" s="708">
        <f t="shared" si="27"/>
        <v>4.9443534963233615E-2</v>
      </c>
      <c r="G36" s="709">
        <f t="shared" si="27"/>
        <v>-4.2234227285613213E-2</v>
      </c>
    </row>
    <row r="37" spans="2:14" s="493" customFormat="1" ht="18.75" customHeight="1" x14ac:dyDescent="0.25">
      <c r="B37" s="742" t="s">
        <v>163</v>
      </c>
      <c r="C37" s="1144">
        <f>(C34/C24)-1</f>
        <v>0.44071234910849566</v>
      </c>
      <c r="D37" s="1143">
        <f t="shared" ref="D37:G37" si="28">(D34/D24)-1</f>
        <v>0.49883503667699314</v>
      </c>
      <c r="E37" s="711">
        <f t="shared" si="28"/>
        <v>8.1457514584326596E-2</v>
      </c>
      <c r="F37" s="712">
        <f t="shared" si="28"/>
        <v>1.1872064704353487</v>
      </c>
      <c r="G37" s="713">
        <f t="shared" si="28"/>
        <v>-0.29041169788061161</v>
      </c>
    </row>
    <row r="38" spans="2:14" s="493" customFormat="1" ht="18.75" customHeight="1" thickBot="1" x14ac:dyDescent="0.3">
      <c r="B38" s="868" t="s">
        <v>164</v>
      </c>
      <c r="C38" s="1147">
        <f>((C34/C24)^(1/10))-1</f>
        <v>3.7188583740155323E-2</v>
      </c>
      <c r="D38" s="1146">
        <f t="shared" ref="D38:G38" si="29">((D34/D24)^(1/10))-1</f>
        <v>4.1298837765408658E-2</v>
      </c>
      <c r="E38" s="715">
        <f t="shared" si="29"/>
        <v>7.8617104113272163E-3</v>
      </c>
      <c r="F38" s="716">
        <f t="shared" si="29"/>
        <v>8.1406506332370565E-2</v>
      </c>
      <c r="G38" s="717">
        <f t="shared" si="29"/>
        <v>-3.3725219475649659E-2</v>
      </c>
    </row>
    <row r="39" spans="2:14" x14ac:dyDescent="0.25">
      <c r="B39" s="382"/>
    </row>
    <row r="40" spans="2:14" x14ac:dyDescent="0.25">
      <c r="B40" s="383"/>
    </row>
  </sheetData>
  <mergeCells count="4">
    <mergeCell ref="D5:F5"/>
    <mergeCell ref="B5:B6"/>
    <mergeCell ref="C5:C6"/>
    <mergeCell ref="G5:G6"/>
  </mergeCells>
  <printOptions horizontalCentered="1"/>
  <pageMargins left="0.47244094488188981" right="0.35433070866141736" top="0.43307086614173229" bottom="0.19685039370078741" header="0" footer="0"/>
  <pageSetup paperSize="9" scale="67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67"/>
  <sheetViews>
    <sheetView showGridLines="0" view="pageBreakPreview" zoomScaleNormal="70" zoomScaleSheetLayoutView="100" workbookViewId="0">
      <selection activeCell="A4" sqref="A4"/>
    </sheetView>
  </sheetViews>
  <sheetFormatPr baseColWidth="10" defaultColWidth="11.453125" defaultRowHeight="12.5" x14ac:dyDescent="0.25"/>
  <cols>
    <col min="1" max="1" width="18.54296875" style="315" customWidth="1"/>
    <col min="2" max="6" width="12.7265625" style="315" customWidth="1"/>
    <col min="7" max="7" width="13.81640625" style="315" bestFit="1" customWidth="1"/>
    <col min="8" max="8" width="16.1796875" style="315" customWidth="1"/>
    <col min="9" max="9" width="10.7265625" style="333" customWidth="1"/>
    <col min="10" max="10" width="10.7265625" style="315" customWidth="1"/>
    <col min="11" max="11" width="17.453125" style="315" customWidth="1"/>
    <col min="12" max="12" width="12.26953125" style="315" bestFit="1" customWidth="1"/>
    <col min="13" max="13" width="13.26953125" style="315" bestFit="1" customWidth="1"/>
    <col min="14" max="14" width="15.54296875" style="315" customWidth="1"/>
    <col min="15" max="19" width="10.7265625" style="315" customWidth="1"/>
    <col min="20" max="22" width="11.453125" style="315"/>
    <col min="23" max="23" width="12.54296875" style="315" bestFit="1" customWidth="1"/>
    <col min="24" max="16384" width="11.453125" style="315"/>
  </cols>
  <sheetData>
    <row r="1" spans="1:25" ht="18" x14ac:dyDescent="0.4">
      <c r="A1" s="972" t="s">
        <v>180</v>
      </c>
      <c r="B1" s="332"/>
      <c r="C1" s="332"/>
      <c r="D1" s="332"/>
      <c r="E1" s="332"/>
      <c r="F1" s="332"/>
      <c r="G1" s="332"/>
      <c r="H1" s="332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</row>
    <row r="2" spans="1:25" ht="14" x14ac:dyDescent="0.3">
      <c r="A2" s="718"/>
      <c r="B2" s="718"/>
      <c r="C2" s="718"/>
      <c r="D2" s="718"/>
      <c r="E2" s="718"/>
      <c r="F2" s="718"/>
      <c r="G2" s="718"/>
      <c r="H2" s="718"/>
      <c r="V2" s="375"/>
      <c r="W2" s="375"/>
      <c r="X2" s="719"/>
      <c r="Y2" s="371"/>
    </row>
    <row r="3" spans="1:25" ht="14" x14ac:dyDescent="0.3">
      <c r="A3" s="718" t="s">
        <v>224</v>
      </c>
      <c r="B3" s="718"/>
      <c r="C3" s="718"/>
      <c r="D3" s="718"/>
      <c r="E3" s="718"/>
      <c r="F3" s="718"/>
      <c r="G3" s="718"/>
      <c r="H3" s="718"/>
      <c r="V3" s="375"/>
      <c r="W3" s="375"/>
      <c r="X3" s="719"/>
      <c r="Y3" s="371"/>
    </row>
    <row r="4" spans="1:25" ht="13" thickBot="1" x14ac:dyDescent="0.3">
      <c r="A4" s="333"/>
      <c r="B4" s="333"/>
      <c r="C4" s="333"/>
      <c r="D4" s="333"/>
      <c r="E4" s="333"/>
      <c r="F4" s="333"/>
      <c r="G4" s="333"/>
      <c r="H4" s="333"/>
      <c r="V4" s="375"/>
      <c r="W4" s="375"/>
      <c r="X4" s="719"/>
      <c r="Y4" s="371"/>
    </row>
    <row r="5" spans="1:25" s="493" customFormat="1" ht="18" customHeight="1" thickBot="1" x14ac:dyDescent="0.3">
      <c r="A5" s="1514" t="s">
        <v>39</v>
      </c>
      <c r="B5" s="1531" t="s">
        <v>146</v>
      </c>
      <c r="C5" s="1532"/>
      <c r="D5" s="1532"/>
      <c r="E5" s="1532"/>
      <c r="F5" s="1533"/>
      <c r="G5" s="1558" t="s">
        <v>160</v>
      </c>
      <c r="H5" s="1558" t="s">
        <v>147</v>
      </c>
      <c r="I5" s="492"/>
      <c r="V5" s="864"/>
      <c r="W5" s="864"/>
      <c r="X5" s="973"/>
      <c r="Y5" s="743"/>
    </row>
    <row r="6" spans="1:25" s="493" customFormat="1" ht="24.65" customHeight="1" x14ac:dyDescent="0.25">
      <c r="A6" s="1553"/>
      <c r="B6" s="1135" t="s">
        <v>148</v>
      </c>
      <c r="C6" s="1103" t="s">
        <v>149</v>
      </c>
      <c r="D6" s="1103" t="s">
        <v>150</v>
      </c>
      <c r="E6" s="1136" t="s">
        <v>151</v>
      </c>
      <c r="F6" s="1137" t="s">
        <v>53</v>
      </c>
      <c r="G6" s="1553"/>
      <c r="H6" s="1590"/>
      <c r="I6" s="974"/>
      <c r="J6" s="1646"/>
      <c r="K6" s="1646" t="s">
        <v>148</v>
      </c>
      <c r="L6" s="1646" t="s">
        <v>149</v>
      </c>
      <c r="M6" s="1646" t="s">
        <v>150</v>
      </c>
      <c r="N6" s="1646" t="s">
        <v>151</v>
      </c>
      <c r="O6" s="1646" t="s">
        <v>175</v>
      </c>
      <c r="P6" s="1646"/>
      <c r="V6" s="864"/>
      <c r="W6" s="864"/>
      <c r="X6" s="973"/>
      <c r="Y6" s="743"/>
    </row>
    <row r="7" spans="1:25" ht="14" x14ac:dyDescent="0.3">
      <c r="A7" s="725">
        <v>1995</v>
      </c>
      <c r="B7" s="726">
        <v>3963.76629</v>
      </c>
      <c r="C7" s="727">
        <f>1375.844691+872.823814</f>
        <v>2248.6685050000001</v>
      </c>
      <c r="D7" s="727">
        <v>3154.1445019999996</v>
      </c>
      <c r="E7" s="727">
        <v>482.67683</v>
      </c>
      <c r="F7" s="728">
        <f>+SUM(B7:E7)</f>
        <v>9849.2561270000006</v>
      </c>
      <c r="G7" s="729">
        <v>3773.801504</v>
      </c>
      <c r="H7" s="730">
        <f t="shared" ref="H7:H34" si="0">SUM(F7:G7)</f>
        <v>13623.057631</v>
      </c>
      <c r="I7" s="731"/>
      <c r="J7" s="1631">
        <f>+A7</f>
        <v>1995</v>
      </c>
      <c r="K7" s="1627">
        <f>+B7</f>
        <v>3963.76629</v>
      </c>
      <c r="L7" s="1627">
        <f>+C7</f>
        <v>2248.6685050000001</v>
      </c>
      <c r="M7" s="1669">
        <f>+D7</f>
        <v>3154.1445019999996</v>
      </c>
      <c r="N7" s="1657">
        <f>+E7</f>
        <v>482.67683</v>
      </c>
      <c r="O7" s="1657">
        <f>+G7</f>
        <v>3773.801504</v>
      </c>
      <c r="P7" s="1631"/>
    </row>
    <row r="8" spans="1:25" ht="14" x14ac:dyDescent="0.3">
      <c r="A8" s="720">
        <v>1996</v>
      </c>
      <c r="B8" s="721">
        <v>4305.2964009999996</v>
      </c>
      <c r="C8" s="722">
        <f>1475.713399+875.27503</f>
        <v>2350.988429</v>
      </c>
      <c r="D8" s="722">
        <v>3185.061631</v>
      </c>
      <c r="E8" s="722">
        <v>489.44556999999998</v>
      </c>
      <c r="F8" s="723">
        <f t="shared" ref="F8:F24" si="1">+SUM(B8:E8)</f>
        <v>10330.792030999999</v>
      </c>
      <c r="G8" s="555">
        <v>3972.2352720000004</v>
      </c>
      <c r="H8" s="724">
        <f t="shared" si="0"/>
        <v>14303.027302999999</v>
      </c>
      <c r="I8" s="731"/>
      <c r="J8" s="1631">
        <f>+A12</f>
        <v>2000</v>
      </c>
      <c r="K8" s="1612">
        <f>+B12</f>
        <v>8375.0166531150007</v>
      </c>
      <c r="L8" s="1612">
        <f>+C12</f>
        <v>2693.3458028849996</v>
      </c>
      <c r="M8" s="1669">
        <f>+D12</f>
        <v>3936.241469000001</v>
      </c>
      <c r="N8" s="1657">
        <f>+E12</f>
        <v>540.99195400000008</v>
      </c>
      <c r="O8" s="1657">
        <f>+G12</f>
        <v>1594.7996189999994</v>
      </c>
      <c r="P8" s="1631"/>
    </row>
    <row r="9" spans="1:25" ht="14" x14ac:dyDescent="0.3">
      <c r="A9" s="725">
        <v>1997</v>
      </c>
      <c r="B9" s="726">
        <v>6058.1311180000002</v>
      </c>
      <c r="C9" s="727">
        <v>2480.103368</v>
      </c>
      <c r="D9" s="727">
        <f>3385523/1000</f>
        <v>3385.5230000000001</v>
      </c>
      <c r="E9" s="727">
        <f>527473/1000</f>
        <v>527.47299999999996</v>
      </c>
      <c r="F9" s="728">
        <f t="shared" si="1"/>
        <v>12451.230486000002</v>
      </c>
      <c r="G9" s="729">
        <v>2604.8506989999996</v>
      </c>
      <c r="H9" s="730">
        <f t="shared" si="0"/>
        <v>15056.081185000003</v>
      </c>
      <c r="I9" s="731"/>
      <c r="J9" s="1631">
        <f>+A17</f>
        <v>2005</v>
      </c>
      <c r="K9" s="1612">
        <f>+B17</f>
        <v>11280.688346002735</v>
      </c>
      <c r="L9" s="1612">
        <f>+C17</f>
        <v>3767.9322343479389</v>
      </c>
      <c r="M9" s="1669">
        <f>+D17</f>
        <v>5020.7356088993256</v>
      </c>
      <c r="N9" s="1657">
        <f>+E17</f>
        <v>632.02669097222213</v>
      </c>
      <c r="O9" s="1657">
        <f>+G17</f>
        <v>1698.8618702072531</v>
      </c>
      <c r="P9" s="1631"/>
    </row>
    <row r="10" spans="1:25" ht="14" x14ac:dyDescent="0.3">
      <c r="A10" s="720">
        <v>1998</v>
      </c>
      <c r="B10" s="721">
        <v>7473.8484379999991</v>
      </c>
      <c r="C10" s="722">
        <v>2360.4</v>
      </c>
      <c r="D10" s="722">
        <v>3639.3127929999982</v>
      </c>
      <c r="E10" s="722">
        <v>534.98359500000004</v>
      </c>
      <c r="F10" s="723">
        <f t="shared" si="1"/>
        <v>14008.544825999996</v>
      </c>
      <c r="G10" s="555">
        <v>1766.6019990000002</v>
      </c>
      <c r="H10" s="724">
        <f t="shared" si="0"/>
        <v>15775.146824999996</v>
      </c>
      <c r="I10" s="731"/>
      <c r="J10" s="1631">
        <f t="shared" ref="J10:J22" si="2">+A22</f>
        <v>2010</v>
      </c>
      <c r="K10" s="1612">
        <f t="shared" ref="K10:K22" si="3">+B22</f>
        <v>16434.708415297537</v>
      </c>
      <c r="L10" s="1612">
        <f t="shared" ref="L10:L22" si="4">+C22</f>
        <v>5205.8243711895484</v>
      </c>
      <c r="M10" s="1669">
        <f t="shared" ref="M10:M22" si="5">+D22</f>
        <v>7086.2453335129212</v>
      </c>
      <c r="N10" s="1657">
        <f t="shared" ref="N10:N22" si="6">+E22</f>
        <v>709.39700400000015</v>
      </c>
      <c r="O10" s="1657">
        <f t="shared" ref="O10:O22" si="7">+G22</f>
        <v>2362.1921339999999</v>
      </c>
      <c r="P10" s="1631"/>
    </row>
    <row r="11" spans="1:25" ht="14" x14ac:dyDescent="0.3">
      <c r="A11" s="725">
        <v>1999</v>
      </c>
      <c r="B11" s="726">
        <v>7855.6</v>
      </c>
      <c r="C11" s="727">
        <v>2420.3000000000002</v>
      </c>
      <c r="D11" s="727">
        <v>3772.7</v>
      </c>
      <c r="E11" s="727">
        <v>543.29999999999995</v>
      </c>
      <c r="F11" s="728">
        <f t="shared" si="1"/>
        <v>14591.900000000001</v>
      </c>
      <c r="G11" s="729">
        <v>1683.3955190000001</v>
      </c>
      <c r="H11" s="730">
        <f t="shared" si="0"/>
        <v>16275.295519000001</v>
      </c>
      <c r="I11" s="731"/>
      <c r="J11" s="1631">
        <f t="shared" si="2"/>
        <v>2011</v>
      </c>
      <c r="K11" s="1612">
        <f t="shared" si="3"/>
        <v>17841.423398594416</v>
      </c>
      <c r="L11" s="1612">
        <f t="shared" si="4"/>
        <v>5563.1179861174478</v>
      </c>
      <c r="M11" s="1669">
        <f t="shared" si="5"/>
        <v>7663.0902881815</v>
      </c>
      <c r="N11" s="1657">
        <f t="shared" si="6"/>
        <v>752.71913235773729</v>
      </c>
      <c r="O11" s="1657">
        <f t="shared" si="7"/>
        <v>2557.9289537736718</v>
      </c>
      <c r="P11" s="1631"/>
    </row>
    <row r="12" spans="1:25" ht="14" x14ac:dyDescent="0.3">
      <c r="A12" s="720">
        <v>2000</v>
      </c>
      <c r="B12" s="721">
        <v>8375.0166531150007</v>
      </c>
      <c r="C12" s="722">
        <v>2693.3458028849996</v>
      </c>
      <c r="D12" s="722">
        <v>3936.241469000001</v>
      </c>
      <c r="E12" s="722">
        <v>540.99195400000008</v>
      </c>
      <c r="F12" s="723">
        <f t="shared" si="1"/>
        <v>15545.595879</v>
      </c>
      <c r="G12" s="555">
        <v>1594.7996189999994</v>
      </c>
      <c r="H12" s="724">
        <f t="shared" si="0"/>
        <v>17140.395497999998</v>
      </c>
      <c r="I12" s="731"/>
      <c r="J12" s="1631">
        <f t="shared" si="2"/>
        <v>2012</v>
      </c>
      <c r="K12" s="1612">
        <f t="shared" si="3"/>
        <v>18690.461999999996</v>
      </c>
      <c r="L12" s="1612">
        <f t="shared" si="4"/>
        <v>6061.7719999999999</v>
      </c>
      <c r="M12" s="1669">
        <f t="shared" si="5"/>
        <v>8110.4380000000001</v>
      </c>
      <c r="N12" s="1657">
        <f t="shared" si="6"/>
        <v>785.51400000000012</v>
      </c>
      <c r="O12" s="1657">
        <f t="shared" si="7"/>
        <v>2674.9537324079465</v>
      </c>
      <c r="P12" s="1631"/>
    </row>
    <row r="13" spans="1:25" ht="14" x14ac:dyDescent="0.3">
      <c r="A13" s="725">
        <v>2001</v>
      </c>
      <c r="B13" s="726">
        <v>9280.5600399650011</v>
      </c>
      <c r="C13" s="727">
        <v>2762.2040670349998</v>
      </c>
      <c r="D13" s="727">
        <v>4043.9688309999992</v>
      </c>
      <c r="E13" s="727">
        <v>542.02161799999999</v>
      </c>
      <c r="F13" s="728">
        <f t="shared" si="1"/>
        <v>16628.754556</v>
      </c>
      <c r="G13" s="729">
        <v>1571.2188929999998</v>
      </c>
      <c r="H13" s="730">
        <f t="shared" si="0"/>
        <v>18199.973449000001</v>
      </c>
      <c r="I13" s="731"/>
      <c r="J13" s="1631">
        <f t="shared" si="2"/>
        <v>2013</v>
      </c>
      <c r="K13" s="1612">
        <f t="shared" si="3"/>
        <v>19216.100910646099</v>
      </c>
      <c r="L13" s="1612">
        <f t="shared" si="4"/>
        <v>6760.1032092000005</v>
      </c>
      <c r="M13" s="1669">
        <f t="shared" si="5"/>
        <v>8759.4197613635915</v>
      </c>
      <c r="N13" s="1657">
        <f t="shared" si="6"/>
        <v>877.12678307631279</v>
      </c>
      <c r="O13" s="1657">
        <f t="shared" si="7"/>
        <v>2665.5115413064063</v>
      </c>
      <c r="P13" s="1631"/>
    </row>
    <row r="14" spans="1:25" ht="14" x14ac:dyDescent="0.3">
      <c r="A14" s="720">
        <v>2002</v>
      </c>
      <c r="B14" s="721">
        <v>9567.6060768480002</v>
      </c>
      <c r="C14" s="722">
        <v>3013.1152699999998</v>
      </c>
      <c r="D14" s="722">
        <v>4464.8754000000008</v>
      </c>
      <c r="E14" s="722">
        <v>559.72912000000008</v>
      </c>
      <c r="F14" s="723">
        <f t="shared" si="1"/>
        <v>17605.325866848001</v>
      </c>
      <c r="G14" s="555">
        <v>1562.8144990000035</v>
      </c>
      <c r="H14" s="724">
        <f t="shared" si="0"/>
        <v>19168.140365848005</v>
      </c>
      <c r="I14" s="731"/>
      <c r="J14" s="1631">
        <f t="shared" si="2"/>
        <v>2014</v>
      </c>
      <c r="K14" s="1612">
        <f t="shared" si="3"/>
        <v>20737.172222269885</v>
      </c>
      <c r="L14" s="1612">
        <f t="shared" si="4"/>
        <v>6802.8150635601469</v>
      </c>
      <c r="M14" s="1669">
        <f t="shared" si="5"/>
        <v>8920.5096610756154</v>
      </c>
      <c r="N14" s="1657">
        <f t="shared" si="6"/>
        <v>865.30411129276445</v>
      </c>
      <c r="O14" s="1657">
        <f t="shared" si="7"/>
        <v>2703.5718431337973</v>
      </c>
      <c r="P14" s="1631"/>
    </row>
    <row r="15" spans="1:25" ht="14" x14ac:dyDescent="0.3">
      <c r="A15" s="725">
        <v>2003</v>
      </c>
      <c r="B15" s="726">
        <v>10038.680803439998</v>
      </c>
      <c r="C15" s="727">
        <v>3341.0911065599998</v>
      </c>
      <c r="D15" s="727">
        <v>4425.3378269999994</v>
      </c>
      <c r="E15" s="727">
        <v>570.22551099999998</v>
      </c>
      <c r="F15" s="728">
        <f t="shared" si="1"/>
        <v>18375.335247999999</v>
      </c>
      <c r="G15" s="729">
        <v>1561.8909440000034</v>
      </c>
      <c r="H15" s="730">
        <f t="shared" si="0"/>
        <v>19937.226192000002</v>
      </c>
      <c r="I15" s="731"/>
      <c r="J15" s="1631">
        <f t="shared" si="2"/>
        <v>2015</v>
      </c>
      <c r="K15" s="1612">
        <f t="shared" si="3"/>
        <v>22440.164448804302</v>
      </c>
      <c r="L15" s="1612">
        <f t="shared" si="4"/>
        <v>7201.708533995672</v>
      </c>
      <c r="M15" s="1669">
        <f t="shared" si="5"/>
        <v>9177.1515000000054</v>
      </c>
      <c r="N15" s="1657">
        <f t="shared" si="6"/>
        <v>955.72550000000001</v>
      </c>
      <c r="O15" s="1657">
        <f t="shared" si="7"/>
        <v>2559.0236383301703</v>
      </c>
      <c r="P15" s="1631"/>
    </row>
    <row r="16" spans="1:25" ht="14" x14ac:dyDescent="0.3">
      <c r="A16" s="720">
        <v>2004</v>
      </c>
      <c r="B16" s="721">
        <v>10813.356356900718</v>
      </c>
      <c r="C16" s="722">
        <v>3504.8279079211602</v>
      </c>
      <c r="D16" s="722">
        <v>4720.0091641781228</v>
      </c>
      <c r="E16" s="722">
        <v>602.45768099999998</v>
      </c>
      <c r="F16" s="723">
        <f t="shared" si="1"/>
        <v>19640.651110000003</v>
      </c>
      <c r="G16" s="555">
        <v>1647.0732800000003</v>
      </c>
      <c r="H16" s="724">
        <f t="shared" si="0"/>
        <v>21287.724390000003</v>
      </c>
      <c r="I16" s="731"/>
      <c r="J16" s="1631">
        <f t="shared" si="2"/>
        <v>2016</v>
      </c>
      <c r="K16" s="1612">
        <f t="shared" si="3"/>
        <v>25483.049576663041</v>
      </c>
      <c r="L16" s="1612">
        <f t="shared" si="4"/>
        <v>7558.3953055872307</v>
      </c>
      <c r="M16" s="1669">
        <f t="shared" si="5"/>
        <v>9360.7744521665827</v>
      </c>
      <c r="N16" s="1657">
        <f t="shared" si="6"/>
        <v>964.77977628310441</v>
      </c>
      <c r="O16" s="1657">
        <f t="shared" si="7"/>
        <v>2165.8930204205285</v>
      </c>
      <c r="P16" s="1631"/>
    </row>
    <row r="17" spans="1:18" ht="14" x14ac:dyDescent="0.3">
      <c r="A17" s="725">
        <v>2005</v>
      </c>
      <c r="B17" s="726">
        <v>11280.688346002735</v>
      </c>
      <c r="C17" s="727">
        <v>3767.9322343479389</v>
      </c>
      <c r="D17" s="727">
        <v>5020.7356088993256</v>
      </c>
      <c r="E17" s="727">
        <v>632.02669097222213</v>
      </c>
      <c r="F17" s="728">
        <f t="shared" si="1"/>
        <v>20701.382880222223</v>
      </c>
      <c r="G17" s="729">
        <v>1698.8618702072531</v>
      </c>
      <c r="H17" s="730">
        <f t="shared" si="0"/>
        <v>22400.244750429476</v>
      </c>
      <c r="I17" s="731"/>
      <c r="J17" s="1631">
        <f t="shared" si="2"/>
        <v>2017</v>
      </c>
      <c r="K17" s="1612">
        <f t="shared" si="3"/>
        <v>26022.125011752891</v>
      </c>
      <c r="L17" s="1612">
        <f t="shared" si="4"/>
        <v>7624.0574832145912</v>
      </c>
      <c r="M17" s="1669">
        <f t="shared" si="5"/>
        <v>9614.2816077233983</v>
      </c>
      <c r="N17" s="1657">
        <f t="shared" si="6"/>
        <v>962.78871457919092</v>
      </c>
      <c r="O17" s="1657">
        <f t="shared" si="7"/>
        <v>2355.1911354963022</v>
      </c>
      <c r="P17" s="1631"/>
      <c r="R17" s="260"/>
    </row>
    <row r="18" spans="1:18" ht="14" x14ac:dyDescent="0.3">
      <c r="A18" s="720">
        <v>2006</v>
      </c>
      <c r="B18" s="721">
        <v>12136.089942735412</v>
      </c>
      <c r="C18" s="722">
        <v>4105.6804275968852</v>
      </c>
      <c r="D18" s="722">
        <v>5404.3689646677021</v>
      </c>
      <c r="E18" s="722">
        <v>643.92181799999992</v>
      </c>
      <c r="F18" s="723">
        <f t="shared" si="1"/>
        <v>22290.061152999999</v>
      </c>
      <c r="G18" s="555">
        <v>1756.0649376214139</v>
      </c>
      <c r="H18" s="724">
        <f t="shared" si="0"/>
        <v>24046.126090621412</v>
      </c>
      <c r="I18" s="731"/>
      <c r="J18" s="1631">
        <f t="shared" si="2"/>
        <v>2018</v>
      </c>
      <c r="K18" s="1612">
        <f t="shared" si="3"/>
        <v>27133.007183966703</v>
      </c>
      <c r="L18" s="1612">
        <f t="shared" si="4"/>
        <v>7797.5141442171644</v>
      </c>
      <c r="M18" s="1669">
        <f t="shared" si="5"/>
        <v>9904.6664415354062</v>
      </c>
      <c r="N18" s="1657">
        <f t="shared" si="6"/>
        <v>1032.6000724708028</v>
      </c>
      <c r="O18" s="1657">
        <f t="shared" si="7"/>
        <v>2530.7625727270452</v>
      </c>
      <c r="P18" s="1631"/>
      <c r="R18" s="260"/>
    </row>
    <row r="19" spans="1:18" ht="14" x14ac:dyDescent="0.3">
      <c r="A19" s="725">
        <v>2007</v>
      </c>
      <c r="B19" s="726">
        <v>13798.540004759721</v>
      </c>
      <c r="C19" s="727">
        <v>4390.6377944514816</v>
      </c>
      <c r="D19" s="727">
        <v>5877.1253377887988</v>
      </c>
      <c r="E19" s="727">
        <v>655.44541600000002</v>
      </c>
      <c r="F19" s="728">
        <f t="shared" si="1"/>
        <v>24721.748553000001</v>
      </c>
      <c r="G19" s="729">
        <v>1742.5560516600003</v>
      </c>
      <c r="H19" s="730">
        <f t="shared" si="0"/>
        <v>26464.304604660003</v>
      </c>
      <c r="I19" s="731"/>
      <c r="J19" s="1631">
        <f t="shared" si="2"/>
        <v>2019</v>
      </c>
      <c r="K19" s="1612">
        <f t="shared" si="3"/>
        <v>28004.48880091</v>
      </c>
      <c r="L19" s="1612">
        <f t="shared" si="4"/>
        <v>8122.9008766600236</v>
      </c>
      <c r="M19" s="1669">
        <f t="shared" si="5"/>
        <v>10186.869619900006</v>
      </c>
      <c r="N19" s="1657">
        <f t="shared" si="6"/>
        <v>1106.4786215099998</v>
      </c>
      <c r="O19" s="1657">
        <f t="shared" si="7"/>
        <v>2519.9121636030145</v>
      </c>
      <c r="P19" s="1631"/>
      <c r="R19" s="260"/>
    </row>
    <row r="20" spans="1:18" ht="14" x14ac:dyDescent="0.3">
      <c r="A20" s="720">
        <v>2008</v>
      </c>
      <c r="B20" s="721">
        <v>15437.253867346535</v>
      </c>
      <c r="C20" s="722">
        <v>4494.8960123117677</v>
      </c>
      <c r="D20" s="722">
        <v>6357.3192643417178</v>
      </c>
      <c r="E20" s="722">
        <v>674.94545200000016</v>
      </c>
      <c r="F20" s="723">
        <f t="shared" si="1"/>
        <v>26964.414596000021</v>
      </c>
      <c r="G20" s="555">
        <v>1888.3950269999998</v>
      </c>
      <c r="H20" s="724">
        <f t="shared" si="0"/>
        <v>28852.809623000019</v>
      </c>
      <c r="I20" s="731"/>
      <c r="J20" s="1631">
        <f t="shared" si="2"/>
        <v>2020</v>
      </c>
      <c r="K20" s="1612">
        <f t="shared" si="3"/>
        <v>25333.041677940018</v>
      </c>
      <c r="L20" s="1612">
        <f t="shared" si="4"/>
        <v>7035.4279755799917</v>
      </c>
      <c r="M20" s="1669">
        <f t="shared" si="5"/>
        <v>10260.323185790006</v>
      </c>
      <c r="N20" s="1657">
        <f t="shared" si="6"/>
        <v>1122.276528840001</v>
      </c>
      <c r="O20" s="1657">
        <f t="shared" si="7"/>
        <v>2086.689326059829</v>
      </c>
      <c r="P20" s="1631"/>
      <c r="R20" s="260"/>
    </row>
    <row r="21" spans="1:18" ht="14" x14ac:dyDescent="0.3">
      <c r="A21" s="725">
        <v>2009</v>
      </c>
      <c r="B21" s="726">
        <v>14942.95020594519</v>
      </c>
      <c r="C21" s="727">
        <v>4815.0810091037401</v>
      </c>
      <c r="D21" s="727">
        <v>6644.5992379510635</v>
      </c>
      <c r="E21" s="727">
        <v>684.37532399999998</v>
      </c>
      <c r="F21" s="728">
        <f t="shared" si="1"/>
        <v>27087.005776999995</v>
      </c>
      <c r="G21" s="729">
        <v>2022.8330380000002</v>
      </c>
      <c r="H21" s="730">
        <f t="shared" si="0"/>
        <v>29109.838814999996</v>
      </c>
      <c r="I21" s="731"/>
      <c r="J21" s="1631">
        <f t="shared" si="2"/>
        <v>2021</v>
      </c>
      <c r="K21" s="1612">
        <f t="shared" si="3"/>
        <v>28970.630198329949</v>
      </c>
      <c r="L21" s="1612">
        <f t="shared" si="4"/>
        <v>7388.229548409995</v>
      </c>
      <c r="M21" s="1669">
        <f t="shared" si="5"/>
        <v>10550.053065859998</v>
      </c>
      <c r="N21" s="1657">
        <f t="shared" si="6"/>
        <v>1144.83118042</v>
      </c>
      <c r="O21" s="1657">
        <f t="shared" si="7"/>
        <v>1859.2599257616712</v>
      </c>
      <c r="P21" s="1631"/>
      <c r="R21" s="260"/>
    </row>
    <row r="22" spans="1:18" ht="14" x14ac:dyDescent="0.3">
      <c r="A22" s="732">
        <v>2010</v>
      </c>
      <c r="B22" s="733">
        <v>16434.708415297537</v>
      </c>
      <c r="C22" s="734">
        <v>5205.8243711895484</v>
      </c>
      <c r="D22" s="734">
        <v>7086.2453335129212</v>
      </c>
      <c r="E22" s="734">
        <v>709.39700400000015</v>
      </c>
      <c r="F22" s="735">
        <f t="shared" si="1"/>
        <v>29436.175124000005</v>
      </c>
      <c r="G22" s="736">
        <v>2362.1921339999999</v>
      </c>
      <c r="H22" s="737">
        <f t="shared" si="0"/>
        <v>31798.367258000006</v>
      </c>
      <c r="I22" s="731"/>
      <c r="J22" s="1631">
        <f t="shared" si="2"/>
        <v>2022</v>
      </c>
      <c r="K22" s="1612">
        <f t="shared" si="3"/>
        <v>30643.1</v>
      </c>
      <c r="L22" s="1612">
        <f t="shared" si="4"/>
        <v>8015.8</v>
      </c>
      <c r="M22" s="1669">
        <f t="shared" si="5"/>
        <v>10606.35</v>
      </c>
      <c r="N22" s="1657">
        <f t="shared" si="6"/>
        <v>1167.8399999999999</v>
      </c>
      <c r="O22" s="1657">
        <f t="shared" si="7"/>
        <v>1898.1158772272756</v>
      </c>
      <c r="P22" s="1631"/>
      <c r="R22" s="260"/>
    </row>
    <row r="23" spans="1:18" ht="14" x14ac:dyDescent="0.3">
      <c r="A23" s="725">
        <v>2011</v>
      </c>
      <c r="B23" s="726">
        <v>17841.423398594416</v>
      </c>
      <c r="C23" s="727">
        <v>5563.1179861174478</v>
      </c>
      <c r="D23" s="727">
        <v>7663.0902881815</v>
      </c>
      <c r="E23" s="727">
        <v>752.71913235773729</v>
      </c>
      <c r="F23" s="728">
        <f t="shared" si="1"/>
        <v>31820.350805251099</v>
      </c>
      <c r="G23" s="729">
        <v>2557.9289537736718</v>
      </c>
      <c r="H23" s="730">
        <f t="shared" si="0"/>
        <v>34378.279759024772</v>
      </c>
      <c r="I23" s="731"/>
      <c r="J23" s="1669"/>
      <c r="K23" s="1669"/>
      <c r="L23" s="1671"/>
      <c r="M23" s="1669"/>
      <c r="N23" s="1657"/>
      <c r="O23" s="1656"/>
      <c r="P23" s="1631"/>
      <c r="R23" s="260"/>
    </row>
    <row r="24" spans="1:18" ht="14" x14ac:dyDescent="0.3">
      <c r="A24" s="732">
        <v>2012</v>
      </c>
      <c r="B24" s="733">
        <v>18690.461999999996</v>
      </c>
      <c r="C24" s="734">
        <v>6061.7719999999999</v>
      </c>
      <c r="D24" s="734">
        <v>8110.4380000000001</v>
      </c>
      <c r="E24" s="734">
        <v>785.51400000000012</v>
      </c>
      <c r="F24" s="735">
        <f t="shared" si="1"/>
        <v>33648.186000000002</v>
      </c>
      <c r="G24" s="736">
        <v>2674.9537324079465</v>
      </c>
      <c r="H24" s="737">
        <f>SUM(F24:G24)</f>
        <v>36323.139732407944</v>
      </c>
      <c r="I24" s="731"/>
      <c r="J24" s="780"/>
      <c r="K24" s="780"/>
      <c r="L24" s="776"/>
      <c r="M24" s="780"/>
      <c r="N24" s="762"/>
      <c r="O24" s="371"/>
      <c r="R24" s="260"/>
    </row>
    <row r="25" spans="1:18" ht="14" x14ac:dyDescent="0.3">
      <c r="A25" s="725">
        <v>2013</v>
      </c>
      <c r="B25" s="726">
        <v>19216.100910646099</v>
      </c>
      <c r="C25" s="727">
        <v>6760.1032092000005</v>
      </c>
      <c r="D25" s="727">
        <v>8759.4197613635915</v>
      </c>
      <c r="E25" s="727">
        <v>877.12678307631279</v>
      </c>
      <c r="F25" s="728">
        <f>+SUM(B25:E25)</f>
        <v>35612.750664286003</v>
      </c>
      <c r="G25" s="729">
        <v>2665.5115413064063</v>
      </c>
      <c r="H25" s="730">
        <f t="shared" si="0"/>
        <v>38278.262205592408</v>
      </c>
      <c r="I25" s="731"/>
      <c r="J25" s="780"/>
      <c r="K25" s="780"/>
      <c r="L25" s="776"/>
      <c r="M25" s="780"/>
      <c r="N25" s="762"/>
      <c r="O25" s="371"/>
      <c r="R25" s="260"/>
    </row>
    <row r="26" spans="1:18" ht="14" x14ac:dyDescent="0.3">
      <c r="A26" s="732">
        <v>2014</v>
      </c>
      <c r="B26" s="733">
        <v>20737.172222269885</v>
      </c>
      <c r="C26" s="734">
        <v>6802.8150635601469</v>
      </c>
      <c r="D26" s="734">
        <v>8920.5096610756154</v>
      </c>
      <c r="E26" s="734">
        <v>865.30411129276445</v>
      </c>
      <c r="F26" s="735">
        <f>+SUM(B26:E26)</f>
        <v>37325.801058198413</v>
      </c>
      <c r="G26" s="736">
        <v>2703.5718431337973</v>
      </c>
      <c r="H26" s="737">
        <f t="shared" si="0"/>
        <v>40029.372901332208</v>
      </c>
      <c r="I26" s="738"/>
      <c r="J26" s="780"/>
      <c r="K26" s="780"/>
      <c r="L26" s="777"/>
      <c r="M26" s="780"/>
      <c r="N26" s="764"/>
      <c r="O26" s="371"/>
      <c r="R26" s="259"/>
    </row>
    <row r="27" spans="1:18" ht="14" x14ac:dyDescent="0.3">
      <c r="A27" s="725">
        <v>2015</v>
      </c>
      <c r="B27" s="726">
        <v>22440.164448804302</v>
      </c>
      <c r="C27" s="727">
        <v>7201.708533995672</v>
      </c>
      <c r="D27" s="727">
        <v>9177.1515000000054</v>
      </c>
      <c r="E27" s="727">
        <v>955.72550000000001</v>
      </c>
      <c r="F27" s="728">
        <f t="shared" ref="F27:F34" si="8">+SUM(B27:E27)</f>
        <v>39774.749982799978</v>
      </c>
      <c r="G27" s="729">
        <v>2559.0236383301703</v>
      </c>
      <c r="H27" s="730">
        <f t="shared" si="0"/>
        <v>42333.773621130145</v>
      </c>
      <c r="I27" s="731"/>
      <c r="J27" s="780"/>
      <c r="K27" s="780"/>
      <c r="L27" s="778"/>
      <c r="M27" s="780"/>
      <c r="N27" s="767"/>
      <c r="O27" s="371"/>
      <c r="R27" s="739"/>
    </row>
    <row r="28" spans="1:18" ht="14" x14ac:dyDescent="0.3">
      <c r="A28" s="732">
        <v>2016</v>
      </c>
      <c r="B28" s="733">
        <v>25483.049576663041</v>
      </c>
      <c r="C28" s="734">
        <v>7558.3953055872307</v>
      </c>
      <c r="D28" s="734">
        <v>9360.7744521665827</v>
      </c>
      <c r="E28" s="734">
        <v>964.77977628310441</v>
      </c>
      <c r="F28" s="735">
        <f t="shared" si="8"/>
        <v>43366.999110699959</v>
      </c>
      <c r="G28" s="736">
        <v>2165.8930204205285</v>
      </c>
      <c r="H28" s="737">
        <f t="shared" si="0"/>
        <v>45532.89213112049</v>
      </c>
      <c r="I28" s="731"/>
      <c r="J28" s="780"/>
      <c r="K28" s="780"/>
      <c r="L28" s="778"/>
      <c r="M28" s="780"/>
      <c r="N28" s="767"/>
      <c r="O28" s="371"/>
      <c r="P28" s="758"/>
      <c r="R28" s="739"/>
    </row>
    <row r="29" spans="1:18" ht="14" x14ac:dyDescent="0.3">
      <c r="A29" s="725">
        <v>2017</v>
      </c>
      <c r="B29" s="726">
        <v>26022.125011752891</v>
      </c>
      <c r="C29" s="727">
        <v>7624.0574832145912</v>
      </c>
      <c r="D29" s="727">
        <v>9614.2816077233983</v>
      </c>
      <c r="E29" s="727">
        <v>962.78871457919092</v>
      </c>
      <c r="F29" s="728">
        <f t="shared" si="8"/>
        <v>44223.252817270069</v>
      </c>
      <c r="G29" s="729">
        <v>2355.1911354963022</v>
      </c>
      <c r="H29" s="730">
        <f t="shared" si="0"/>
        <v>46578.443952766371</v>
      </c>
      <c r="I29" s="731"/>
      <c r="J29" s="780"/>
      <c r="K29" s="780"/>
      <c r="L29" s="779"/>
      <c r="M29" s="780"/>
      <c r="N29" s="762"/>
      <c r="O29" s="371"/>
      <c r="R29" s="739"/>
    </row>
    <row r="30" spans="1:18" ht="14" x14ac:dyDescent="0.3">
      <c r="A30" s="732">
        <v>2018</v>
      </c>
      <c r="B30" s="733">
        <v>27133.007183966703</v>
      </c>
      <c r="C30" s="734">
        <v>7797.5141442171644</v>
      </c>
      <c r="D30" s="734">
        <v>9904.6664415354062</v>
      </c>
      <c r="E30" s="734">
        <v>1032.6000724708028</v>
      </c>
      <c r="F30" s="735">
        <f t="shared" si="8"/>
        <v>45867.787842190068</v>
      </c>
      <c r="G30" s="736">
        <v>2530.7625727270452</v>
      </c>
      <c r="H30" s="737">
        <f t="shared" si="0"/>
        <v>48398.55041491711</v>
      </c>
      <c r="I30" s="731"/>
      <c r="J30" s="780"/>
      <c r="K30" s="780"/>
      <c r="L30" s="688"/>
      <c r="M30" s="780"/>
      <c r="N30" s="767"/>
      <c r="O30" s="371"/>
      <c r="R30" s="739"/>
    </row>
    <row r="31" spans="1:18" ht="14" x14ac:dyDescent="0.3">
      <c r="A31" s="725">
        <v>2019</v>
      </c>
      <c r="B31" s="726">
        <v>28004.48880091</v>
      </c>
      <c r="C31" s="727">
        <v>8122.9008766600236</v>
      </c>
      <c r="D31" s="727">
        <v>10186.869619900006</v>
      </c>
      <c r="E31" s="727">
        <v>1106.4786215099998</v>
      </c>
      <c r="F31" s="728">
        <f t="shared" si="8"/>
        <v>47420.737918980034</v>
      </c>
      <c r="G31" s="729">
        <v>2519.9121636030145</v>
      </c>
      <c r="H31" s="730">
        <f t="shared" si="0"/>
        <v>49940.650082583052</v>
      </c>
      <c r="I31" s="731"/>
      <c r="J31" s="780"/>
      <c r="K31" s="780"/>
      <c r="L31" s="688"/>
      <c r="M31" s="780"/>
      <c r="N31" s="767"/>
      <c r="O31" s="371"/>
      <c r="R31" s="739"/>
    </row>
    <row r="32" spans="1:18" ht="14" x14ac:dyDescent="0.3">
      <c r="A32" s="732">
        <v>2020</v>
      </c>
      <c r="B32" s="733">
        <v>25333.041677940018</v>
      </c>
      <c r="C32" s="734">
        <v>7035.4279755799917</v>
      </c>
      <c r="D32" s="734">
        <v>10260.323185790006</v>
      </c>
      <c r="E32" s="734">
        <v>1122.276528840001</v>
      </c>
      <c r="F32" s="735">
        <f t="shared" si="8"/>
        <v>43751.06936815002</v>
      </c>
      <c r="G32" s="736">
        <v>2086.689326059829</v>
      </c>
      <c r="H32" s="737">
        <f t="shared" si="0"/>
        <v>45837.75869420985</v>
      </c>
      <c r="I32" s="731"/>
      <c r="J32" s="780"/>
      <c r="K32" s="780"/>
      <c r="L32" s="688"/>
      <c r="M32" s="780"/>
      <c r="N32" s="767"/>
      <c r="O32" s="371"/>
      <c r="R32" s="739"/>
    </row>
    <row r="33" spans="1:18" ht="14" x14ac:dyDescent="0.3">
      <c r="A33" s="725">
        <v>2021</v>
      </c>
      <c r="B33" s="726">
        <v>28970.630198329949</v>
      </c>
      <c r="C33" s="727">
        <v>7388.229548409995</v>
      </c>
      <c r="D33" s="727">
        <v>10550.053065859998</v>
      </c>
      <c r="E33" s="727">
        <v>1144.83118042</v>
      </c>
      <c r="F33" s="728">
        <f t="shared" ref="F33" si="9">+SUM(B33:E33)</f>
        <v>48053.74399301994</v>
      </c>
      <c r="G33" s="729">
        <v>1859.2599257616712</v>
      </c>
      <c r="H33" s="730">
        <f t="shared" ref="H33" si="10">SUM(F33:G33)</f>
        <v>49913.003918781615</v>
      </c>
      <c r="I33" s="731"/>
      <c r="J33" s="780"/>
      <c r="K33" s="780"/>
      <c r="L33" s="688"/>
      <c r="M33" s="780"/>
      <c r="N33" s="767"/>
      <c r="O33" s="371"/>
      <c r="R33" s="739"/>
    </row>
    <row r="34" spans="1:18" ht="14.5" thickBot="1" x14ac:dyDescent="0.35">
      <c r="A34" s="732">
        <v>2022</v>
      </c>
      <c r="B34" s="733">
        <v>30643.1</v>
      </c>
      <c r="C34" s="734">
        <v>8015.8</v>
      </c>
      <c r="D34" s="734">
        <v>10606.35</v>
      </c>
      <c r="E34" s="734">
        <v>1167.8399999999999</v>
      </c>
      <c r="F34" s="735">
        <f t="shared" si="8"/>
        <v>50433.09</v>
      </c>
      <c r="G34" s="736">
        <v>1898.1158772272756</v>
      </c>
      <c r="H34" s="737">
        <f t="shared" si="0"/>
        <v>52331.205877227272</v>
      </c>
      <c r="I34" s="731"/>
      <c r="J34" s="780"/>
      <c r="K34" s="780"/>
      <c r="L34" s="688"/>
      <c r="M34" s="780"/>
      <c r="N34" s="767"/>
      <c r="O34" s="371"/>
      <c r="R34" s="739"/>
    </row>
    <row r="35" spans="1:18" ht="18.75" customHeight="1" x14ac:dyDescent="0.25">
      <c r="A35" s="740" t="s">
        <v>161</v>
      </c>
      <c r="B35" s="1138">
        <f>(B34/B33)-1</f>
        <v>5.7729838468148387E-2</v>
      </c>
      <c r="C35" s="862">
        <f t="shared" ref="C35:H35" si="11">(C34/C33)-1</f>
        <v>8.4941926543831148E-2</v>
      </c>
      <c r="D35" s="862">
        <f t="shared" si="11"/>
        <v>5.3361754475129697E-3</v>
      </c>
      <c r="E35" s="1139">
        <f t="shared" si="11"/>
        <v>2.0098002197632914E-2</v>
      </c>
      <c r="F35" s="1138">
        <f t="shared" si="11"/>
        <v>4.9514269009417244E-2</v>
      </c>
      <c r="G35" s="1138">
        <f t="shared" si="11"/>
        <v>2.0898611822489865E-2</v>
      </c>
      <c r="H35" s="1140">
        <f t="shared" si="11"/>
        <v>4.8448335475471449E-2</v>
      </c>
      <c r="I35" s="386"/>
    </row>
    <row r="36" spans="1:18" ht="18.75" customHeight="1" x14ac:dyDescent="0.25">
      <c r="A36" s="741" t="s">
        <v>162</v>
      </c>
      <c r="B36" s="707">
        <f>((B34/B29)^(1/5))-1</f>
        <v>3.3232332504250728E-2</v>
      </c>
      <c r="C36" s="945">
        <f t="shared" ref="C36:H36" si="12">((C34/C29)^(1/5))-1</f>
        <v>1.0071557716140322E-2</v>
      </c>
      <c r="D36" s="945">
        <f t="shared" si="12"/>
        <v>1.9834789989510826E-2</v>
      </c>
      <c r="E36" s="946">
        <f t="shared" si="12"/>
        <v>3.9370702920178635E-2</v>
      </c>
      <c r="F36" s="1141">
        <f t="shared" si="12"/>
        <v>2.6627701933208181E-2</v>
      </c>
      <c r="G36" s="1141">
        <f t="shared" si="12"/>
        <v>-4.2234227285613213E-2</v>
      </c>
      <c r="H36" s="1141">
        <f t="shared" si="12"/>
        <v>2.3564354634956652E-2</v>
      </c>
      <c r="I36" s="386"/>
    </row>
    <row r="37" spans="1:18" ht="18.75" customHeight="1" x14ac:dyDescent="0.25">
      <c r="A37" s="742" t="s">
        <v>163</v>
      </c>
      <c r="B37" s="710">
        <f>(B34/B24)-1</f>
        <v>0.63950468426088158</v>
      </c>
      <c r="C37" s="1142">
        <f t="shared" ref="C37:H37" si="13">(C34/C24)-1</f>
        <v>0.32235260580569514</v>
      </c>
      <c r="D37" s="1142">
        <f t="shared" si="13"/>
        <v>0.30774071634602218</v>
      </c>
      <c r="E37" s="1143">
        <f t="shared" si="13"/>
        <v>0.48672079682857294</v>
      </c>
      <c r="F37" s="710">
        <f t="shared" si="13"/>
        <v>0.49883533097445421</v>
      </c>
      <c r="G37" s="710">
        <f t="shared" si="13"/>
        <v>-0.29041169788061161</v>
      </c>
      <c r="H37" s="1144">
        <f t="shared" si="13"/>
        <v>0.44071262183694815</v>
      </c>
      <c r="I37" s="386"/>
      <c r="O37" s="743"/>
    </row>
    <row r="38" spans="1:18" ht="16.5" customHeight="1" thickBot="1" x14ac:dyDescent="0.3">
      <c r="A38" s="744" t="s">
        <v>164</v>
      </c>
      <c r="B38" s="714">
        <f>((B34/B24)^(1/10))-1</f>
        <v>5.0681937287900158E-2</v>
      </c>
      <c r="C38" s="1145">
        <f t="shared" ref="C38:H38" si="14">((C34/C24)^(1/10))-1</f>
        <v>2.8335260479123381E-2</v>
      </c>
      <c r="D38" s="1145">
        <f t="shared" si="14"/>
        <v>2.7193268241812341E-2</v>
      </c>
      <c r="E38" s="1146">
        <f t="shared" si="14"/>
        <v>4.0454137706963822E-2</v>
      </c>
      <c r="F38" s="714">
        <f t="shared" si="14"/>
        <v>4.1298858211392897E-2</v>
      </c>
      <c r="G38" s="714">
        <f t="shared" si="14"/>
        <v>-3.3725219475649659E-2</v>
      </c>
      <c r="H38" s="1147">
        <f t="shared" si="14"/>
        <v>3.7188603374249007E-2</v>
      </c>
      <c r="I38" s="386"/>
    </row>
    <row r="39" spans="1:18" x14ac:dyDescent="0.25">
      <c r="A39" s="389"/>
      <c r="B39" s="333"/>
      <c r="C39" s="333"/>
      <c r="D39" s="333"/>
      <c r="E39" s="333"/>
      <c r="F39" s="333"/>
      <c r="G39" s="333"/>
      <c r="H39" s="333"/>
      <c r="I39" s="386"/>
    </row>
    <row r="40" spans="1:18" ht="15.5" x14ac:dyDescent="0.35">
      <c r="A40" s="388"/>
      <c r="B40" s="425"/>
      <c r="C40" s="425"/>
      <c r="D40" s="425"/>
      <c r="E40" s="745"/>
      <c r="F40" s="746"/>
      <c r="G40" s="746"/>
      <c r="H40" s="746"/>
      <c r="I40" s="386"/>
    </row>
    <row r="41" spans="1:18" x14ac:dyDescent="0.25">
      <c r="A41" s="333"/>
      <c r="B41" s="333"/>
      <c r="C41" s="333"/>
      <c r="D41" s="333"/>
      <c r="E41" s="333"/>
      <c r="F41" s="333"/>
      <c r="G41" s="333"/>
      <c r="H41" s="333"/>
      <c r="I41" s="386"/>
      <c r="J41" s="260"/>
      <c r="K41" s="260"/>
      <c r="L41" s="260"/>
      <c r="M41" s="260"/>
      <c r="N41" s="260"/>
    </row>
    <row r="42" spans="1:18" x14ac:dyDescent="0.25">
      <c r="A42" s="333"/>
      <c r="B42" s="333"/>
      <c r="C42" s="333"/>
      <c r="D42" s="333"/>
      <c r="E42" s="333"/>
      <c r="F42" s="333"/>
      <c r="G42" s="333"/>
      <c r="H42" s="333"/>
      <c r="J42" s="747"/>
      <c r="K42" s="747"/>
      <c r="L42" s="747"/>
      <c r="M42" s="747"/>
      <c r="N42" s="747"/>
    </row>
    <row r="43" spans="1:18" x14ac:dyDescent="0.25">
      <c r="A43" s="333"/>
      <c r="B43" s="333"/>
      <c r="C43" s="333"/>
      <c r="D43" s="333"/>
      <c r="E43" s="333"/>
      <c r="F43" s="333"/>
      <c r="G43" s="333"/>
      <c r="H43" s="333"/>
    </row>
    <row r="44" spans="1:18" x14ac:dyDescent="0.25">
      <c r="A44" s="333"/>
      <c r="B44" s="333"/>
      <c r="C44" s="333"/>
      <c r="D44" s="333"/>
      <c r="E44" s="333"/>
      <c r="F44" s="333"/>
      <c r="G44" s="333"/>
      <c r="H44" s="333"/>
    </row>
    <row r="45" spans="1:18" x14ac:dyDescent="0.25">
      <c r="A45" s="333"/>
      <c r="B45" s="333"/>
      <c r="C45" s="333"/>
      <c r="D45" s="333"/>
      <c r="E45" s="333"/>
      <c r="F45" s="333"/>
      <c r="G45" s="333"/>
      <c r="H45" s="333"/>
    </row>
    <row r="46" spans="1:18" x14ac:dyDescent="0.25">
      <c r="A46" s="333"/>
      <c r="B46" s="333"/>
      <c r="C46" s="333"/>
      <c r="D46" s="333"/>
      <c r="E46" s="333"/>
      <c r="F46" s="333"/>
      <c r="G46" s="333"/>
      <c r="H46" s="333"/>
    </row>
    <row r="47" spans="1:18" x14ac:dyDescent="0.25">
      <c r="A47" s="333"/>
      <c r="B47" s="333"/>
      <c r="C47" s="333"/>
      <c r="D47" s="333"/>
      <c r="E47" s="333"/>
      <c r="F47" s="333"/>
      <c r="G47" s="333"/>
      <c r="H47" s="333"/>
    </row>
    <row r="48" spans="1:18" x14ac:dyDescent="0.25">
      <c r="A48" s="333"/>
      <c r="B48" s="333"/>
      <c r="C48" s="333"/>
      <c r="D48" s="333"/>
      <c r="E48" s="333"/>
      <c r="F48" s="333"/>
      <c r="G48" s="333"/>
      <c r="H48" s="333"/>
    </row>
    <row r="49" spans="1:8" x14ac:dyDescent="0.25">
      <c r="A49" s="333"/>
      <c r="B49" s="333"/>
      <c r="C49" s="333"/>
      <c r="D49" s="333"/>
      <c r="E49" s="333"/>
      <c r="F49" s="333"/>
      <c r="G49" s="333"/>
      <c r="H49" s="333"/>
    </row>
    <row r="50" spans="1:8" x14ac:dyDescent="0.25">
      <c r="A50" s="333"/>
      <c r="B50" s="333"/>
      <c r="C50" s="333"/>
      <c r="D50" s="333"/>
      <c r="E50" s="333"/>
      <c r="F50" s="333"/>
      <c r="G50" s="333"/>
      <c r="H50" s="333"/>
    </row>
    <row r="51" spans="1:8" x14ac:dyDescent="0.25">
      <c r="A51" s="333"/>
      <c r="B51" s="333"/>
      <c r="C51" s="333"/>
      <c r="D51" s="333"/>
      <c r="E51" s="333"/>
      <c r="F51" s="333"/>
      <c r="G51" s="333"/>
      <c r="H51" s="333"/>
    </row>
    <row r="52" spans="1:8" x14ac:dyDescent="0.25">
      <c r="A52" s="333"/>
      <c r="B52" s="333"/>
      <c r="C52" s="333"/>
      <c r="D52" s="333"/>
      <c r="E52" s="333"/>
      <c r="F52" s="333"/>
      <c r="G52" s="333"/>
      <c r="H52" s="333"/>
    </row>
    <row r="53" spans="1:8" x14ac:dyDescent="0.25">
      <c r="A53" s="333"/>
      <c r="B53" s="333"/>
      <c r="C53" s="333"/>
      <c r="D53" s="333"/>
      <c r="E53" s="333"/>
      <c r="F53" s="333"/>
      <c r="G53" s="333"/>
      <c r="H53" s="333"/>
    </row>
    <row r="54" spans="1:8" x14ac:dyDescent="0.25">
      <c r="A54" s="333"/>
      <c r="B54" s="333"/>
      <c r="C54" s="333"/>
      <c r="D54" s="333"/>
      <c r="E54" s="333"/>
      <c r="F54" s="333"/>
      <c r="G54" s="333"/>
      <c r="H54" s="333"/>
    </row>
    <row r="55" spans="1:8" x14ac:dyDescent="0.25">
      <c r="A55" s="333"/>
      <c r="B55" s="333"/>
      <c r="C55" s="333"/>
      <c r="D55" s="333"/>
      <c r="E55" s="333"/>
      <c r="F55" s="333"/>
      <c r="G55" s="333"/>
      <c r="H55" s="333"/>
    </row>
    <row r="56" spans="1:8" x14ac:dyDescent="0.25">
      <c r="A56" s="333"/>
      <c r="B56" s="333"/>
      <c r="C56" s="333"/>
      <c r="D56" s="333"/>
      <c r="E56" s="333"/>
      <c r="F56" s="333"/>
      <c r="G56" s="333"/>
      <c r="H56" s="333"/>
    </row>
    <row r="57" spans="1:8" x14ac:dyDescent="0.25">
      <c r="A57" s="333"/>
      <c r="B57" s="333"/>
      <c r="C57" s="333"/>
      <c r="D57" s="333"/>
      <c r="E57" s="333"/>
      <c r="F57" s="333"/>
      <c r="G57" s="333"/>
      <c r="H57" s="333"/>
    </row>
    <row r="58" spans="1:8" x14ac:dyDescent="0.25">
      <c r="A58" s="333"/>
      <c r="B58" s="333"/>
      <c r="C58" s="333"/>
      <c r="D58" s="333"/>
      <c r="E58" s="333"/>
      <c r="F58" s="333"/>
      <c r="G58" s="333"/>
      <c r="H58" s="333"/>
    </row>
    <row r="59" spans="1:8" x14ac:dyDescent="0.25">
      <c r="A59" s="333"/>
      <c r="B59" s="333"/>
      <c r="C59" s="333"/>
      <c r="D59" s="333"/>
      <c r="E59" s="333"/>
      <c r="F59" s="333"/>
      <c r="G59" s="333"/>
      <c r="H59" s="333"/>
    </row>
    <row r="60" spans="1:8" x14ac:dyDescent="0.25">
      <c r="A60" s="333"/>
      <c r="B60" s="333"/>
      <c r="C60" s="333"/>
      <c r="D60" s="333"/>
      <c r="E60" s="333"/>
      <c r="F60" s="333"/>
      <c r="G60" s="333"/>
      <c r="H60" s="333"/>
    </row>
    <row r="61" spans="1:8" x14ac:dyDescent="0.25">
      <c r="A61" s="333"/>
      <c r="B61" s="333"/>
      <c r="C61" s="333"/>
      <c r="D61" s="333"/>
      <c r="E61" s="333"/>
      <c r="F61" s="333"/>
      <c r="G61" s="333"/>
      <c r="H61" s="333"/>
    </row>
    <row r="62" spans="1:8" x14ac:dyDescent="0.25">
      <c r="A62" s="333"/>
      <c r="B62" s="333"/>
      <c r="C62" s="333"/>
      <c r="D62" s="333"/>
      <c r="E62" s="333"/>
      <c r="F62" s="333"/>
      <c r="G62" s="333"/>
      <c r="H62" s="333"/>
    </row>
    <row r="63" spans="1:8" x14ac:dyDescent="0.25">
      <c r="A63" s="333"/>
      <c r="B63" s="333"/>
      <c r="C63" s="333"/>
      <c r="D63" s="333"/>
      <c r="E63" s="333"/>
      <c r="F63" s="333"/>
      <c r="G63" s="333"/>
      <c r="H63" s="333"/>
    </row>
    <row r="64" spans="1:8" x14ac:dyDescent="0.25">
      <c r="A64" s="333"/>
      <c r="B64" s="333"/>
      <c r="C64" s="333"/>
      <c r="D64" s="333"/>
      <c r="E64" s="333"/>
      <c r="F64" s="333"/>
      <c r="G64" s="333"/>
      <c r="H64" s="333"/>
    </row>
    <row r="65" spans="1:8" x14ac:dyDescent="0.25">
      <c r="A65" s="333"/>
      <c r="B65" s="333"/>
      <c r="C65" s="333"/>
      <c r="D65" s="333"/>
      <c r="E65" s="333"/>
      <c r="F65" s="333"/>
      <c r="G65" s="333"/>
      <c r="H65" s="333"/>
    </row>
    <row r="66" spans="1:8" x14ac:dyDescent="0.25">
      <c r="A66" s="333"/>
      <c r="B66" s="333"/>
      <c r="C66" s="333"/>
      <c r="D66" s="333"/>
      <c r="E66" s="333"/>
      <c r="F66" s="333"/>
      <c r="G66" s="333"/>
      <c r="H66" s="333"/>
    </row>
    <row r="67" spans="1:8" x14ac:dyDescent="0.25">
      <c r="A67" s="333"/>
      <c r="B67" s="333"/>
      <c r="C67" s="333"/>
      <c r="D67" s="333"/>
      <c r="E67" s="333"/>
      <c r="F67" s="333"/>
      <c r="G67" s="333"/>
      <c r="H67" s="333"/>
    </row>
  </sheetData>
  <mergeCells count="4">
    <mergeCell ref="A5:A6"/>
    <mergeCell ref="H5:H6"/>
    <mergeCell ref="G5:G6"/>
    <mergeCell ref="B5:F5"/>
  </mergeCells>
  <printOptions horizontalCentered="1"/>
  <pageMargins left="0.31496062992125984" right="7.874015748031496E-2" top="0.55118110236220474" bottom="0.39370078740157483" header="0" footer="0"/>
  <pageSetup paperSize="9" scale="75" orientation="portrait" r:id="rId1"/>
  <headerFooter alignWithMargins="0"/>
  <ignoredErrors>
    <ignoredError sqref="F34 F10:F32 F33:H33" formulaRange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2"/>
  <sheetViews>
    <sheetView showGridLines="0" view="pageBreakPreview" zoomScaleNormal="80" zoomScaleSheetLayoutView="100" workbookViewId="0">
      <selection activeCell="L8" sqref="L8"/>
    </sheetView>
  </sheetViews>
  <sheetFormatPr baseColWidth="10" defaultColWidth="11.453125" defaultRowHeight="12.5" x14ac:dyDescent="0.25"/>
  <cols>
    <col min="1" max="1" width="21.26953125" style="315" customWidth="1"/>
    <col min="2" max="6" width="16.453125" style="315" customWidth="1"/>
    <col min="7" max="8" width="10.7265625" style="315" customWidth="1"/>
    <col min="9" max="9" width="2" style="315" customWidth="1"/>
    <col min="10" max="10" width="12.81640625" style="315" customWidth="1"/>
    <col min="11" max="11" width="10.7265625" style="315" customWidth="1"/>
    <col min="12" max="12" width="11.81640625" style="315" bestFit="1" customWidth="1"/>
    <col min="13" max="14" width="11.453125" style="315"/>
    <col min="15" max="15" width="12.54296875" style="315" bestFit="1" customWidth="1"/>
    <col min="16" max="16384" width="11.453125" style="315"/>
  </cols>
  <sheetData>
    <row r="1" spans="1:17" ht="15.5" x14ac:dyDescent="0.35">
      <c r="A1" s="749" t="s">
        <v>179</v>
      </c>
      <c r="B1" s="591"/>
      <c r="C1" s="591"/>
      <c r="D1" s="591"/>
      <c r="E1" s="591"/>
      <c r="F1" s="591"/>
      <c r="I1" s="328"/>
      <c r="J1" s="328"/>
      <c r="K1" s="328"/>
      <c r="L1" s="328"/>
      <c r="M1" s="328"/>
      <c r="N1" s="328"/>
      <c r="O1" s="328"/>
      <c r="P1" s="328"/>
      <c r="Q1" s="328"/>
    </row>
    <row r="2" spans="1:17" ht="14" x14ac:dyDescent="0.3">
      <c r="A2" s="750"/>
      <c r="B2" s="751"/>
      <c r="C2" s="751"/>
      <c r="D2" s="751"/>
      <c r="E2" s="751"/>
      <c r="F2" s="751"/>
      <c r="I2" s="375"/>
      <c r="J2" s="375"/>
      <c r="K2" s="375"/>
      <c r="L2" s="375"/>
      <c r="M2" s="375"/>
      <c r="N2" s="375"/>
      <c r="O2" s="375"/>
      <c r="P2" s="719"/>
      <c r="Q2" s="371"/>
    </row>
    <row r="3" spans="1:17" ht="14" x14ac:dyDescent="0.3">
      <c r="A3" s="751" t="s">
        <v>223</v>
      </c>
      <c r="B3" s="751"/>
      <c r="C3" s="751"/>
      <c r="D3" s="751"/>
      <c r="E3" s="751"/>
      <c r="F3" s="751"/>
      <c r="I3" s="375"/>
      <c r="J3" s="375"/>
      <c r="K3" s="375"/>
      <c r="L3" s="375"/>
      <c r="M3" s="375"/>
      <c r="N3" s="375"/>
      <c r="O3" s="375"/>
      <c r="P3" s="719"/>
      <c r="Q3" s="371"/>
    </row>
    <row r="4" spans="1:17" ht="13" thickBot="1" x14ac:dyDescent="0.3">
      <c r="I4" s="375"/>
      <c r="K4" s="375"/>
      <c r="L4" s="375"/>
      <c r="M4" s="375"/>
      <c r="N4" s="375"/>
      <c r="O4" s="375"/>
      <c r="P4" s="719"/>
      <c r="Q4" s="371"/>
    </row>
    <row r="5" spans="1:17" s="316" customFormat="1" ht="16.5" customHeight="1" thickBot="1" x14ac:dyDescent="0.3">
      <c r="A5" s="1148"/>
      <c r="B5" s="1591" t="s">
        <v>152</v>
      </c>
      <c r="C5" s="1592"/>
      <c r="D5" s="1592"/>
      <c r="E5" s="1592"/>
      <c r="F5" s="1593"/>
      <c r="I5" s="975"/>
      <c r="K5" s="975"/>
      <c r="L5" s="975"/>
      <c r="M5" s="975"/>
      <c r="N5" s="975"/>
      <c r="O5" s="975"/>
      <c r="P5" s="976"/>
      <c r="Q5" s="977"/>
    </row>
    <row r="6" spans="1:17" s="316" customFormat="1" ht="12.75" customHeight="1" x14ac:dyDescent="0.25">
      <c r="A6" s="1135" t="s">
        <v>39</v>
      </c>
      <c r="B6" s="1594" t="s">
        <v>148</v>
      </c>
      <c r="C6" s="1564" t="s">
        <v>149</v>
      </c>
      <c r="D6" s="1564" t="s">
        <v>150</v>
      </c>
      <c r="E6" s="1596" t="s">
        <v>151</v>
      </c>
      <c r="F6" s="1590" t="s">
        <v>53</v>
      </c>
      <c r="I6" s="975"/>
      <c r="K6" s="975"/>
      <c r="L6" s="975"/>
      <c r="M6" s="975"/>
      <c r="N6" s="975"/>
      <c r="O6" s="975"/>
      <c r="P6" s="976"/>
      <c r="Q6" s="977"/>
    </row>
    <row r="7" spans="1:17" s="316" customFormat="1" ht="15.75" customHeight="1" thickBot="1" x14ac:dyDescent="0.3">
      <c r="A7" s="1149"/>
      <c r="B7" s="1595"/>
      <c r="C7" s="1576"/>
      <c r="D7" s="1576"/>
      <c r="E7" s="1597"/>
      <c r="F7" s="1598"/>
      <c r="J7" s="1646"/>
      <c r="K7" s="1646" t="s">
        <v>148</v>
      </c>
      <c r="L7" s="1646" t="s">
        <v>149</v>
      </c>
      <c r="M7" s="1646" t="s">
        <v>150</v>
      </c>
      <c r="N7" s="1646" t="s">
        <v>151</v>
      </c>
      <c r="O7" s="1646"/>
      <c r="P7" s="493"/>
      <c r="Q7" s="977"/>
    </row>
    <row r="8" spans="1:17" x14ac:dyDescent="0.25">
      <c r="A8" s="725">
        <v>1995</v>
      </c>
      <c r="B8" s="726">
        <v>229035.54403785348</v>
      </c>
      <c r="C8" s="727">
        <v>200811.42160772084</v>
      </c>
      <c r="D8" s="727">
        <v>355896.20422925544</v>
      </c>
      <c r="E8" s="727">
        <v>40932.831814912512</v>
      </c>
      <c r="F8" s="728">
        <f>+SUM(B8:E8)</f>
        <v>826676.0016897422</v>
      </c>
      <c r="G8" s="376"/>
      <c r="J8" s="1631">
        <f>+A8</f>
        <v>1995</v>
      </c>
      <c r="K8" s="1627">
        <f>+B8</f>
        <v>229035.54403785348</v>
      </c>
      <c r="L8" s="1627">
        <f>+C8</f>
        <v>200811.42160772084</v>
      </c>
      <c r="M8" s="1672">
        <f>+D8</f>
        <v>355896.20422925544</v>
      </c>
      <c r="N8" s="1673">
        <f>+E8</f>
        <v>40932.831814912512</v>
      </c>
      <c r="O8" s="1657"/>
    </row>
    <row r="9" spans="1:17" x14ac:dyDescent="0.25">
      <c r="A9" s="720">
        <v>1996</v>
      </c>
      <c r="B9" s="721">
        <v>258447.72612741796</v>
      </c>
      <c r="C9" s="722">
        <v>213222.6714817289</v>
      </c>
      <c r="D9" s="722">
        <v>372677.77599551878</v>
      </c>
      <c r="E9" s="722">
        <v>49022.221536151759</v>
      </c>
      <c r="F9" s="723">
        <f t="shared" ref="F9:F25" si="0">+SUM(B9:E9)</f>
        <v>893370.39514081739</v>
      </c>
      <c r="G9" s="376"/>
      <c r="J9" s="1631">
        <f>+A13</f>
        <v>2000</v>
      </c>
      <c r="K9" s="1612">
        <f>+B13</f>
        <v>470947.31940472691</v>
      </c>
      <c r="L9" s="1612">
        <f>+C13</f>
        <v>197172.92008066195</v>
      </c>
      <c r="M9" s="1672">
        <f>+D13</f>
        <v>396689.58182878082</v>
      </c>
      <c r="N9" s="1673">
        <f>+E13</f>
        <v>48259.678954052164</v>
      </c>
      <c r="O9" s="1657"/>
    </row>
    <row r="10" spans="1:17" x14ac:dyDescent="0.25">
      <c r="A10" s="725">
        <v>1997</v>
      </c>
      <c r="B10" s="726">
        <v>355516.10470524785</v>
      </c>
      <c r="C10" s="727">
        <v>221239.00181128312</v>
      </c>
      <c r="D10" s="727">
        <v>392117.28436542355</v>
      </c>
      <c r="E10" s="727">
        <v>50665.14573498242</v>
      </c>
      <c r="F10" s="728">
        <f t="shared" si="0"/>
        <v>1019537.5366169369</v>
      </c>
      <c r="G10" s="376"/>
      <c r="J10" s="1631">
        <f>+A18</f>
        <v>2005</v>
      </c>
      <c r="K10" s="1612">
        <f>+B18</f>
        <v>669716.05900215998</v>
      </c>
      <c r="L10" s="1612">
        <f>+C18</f>
        <v>300420.25850854366</v>
      </c>
      <c r="M10" s="1672">
        <f>+D18</f>
        <v>544065.3677454039</v>
      </c>
      <c r="N10" s="1673">
        <f>+E18</f>
        <v>65007.585840271378</v>
      </c>
      <c r="O10" s="1657"/>
    </row>
    <row r="11" spans="1:17" x14ac:dyDescent="0.25">
      <c r="A11" s="720">
        <v>1998</v>
      </c>
      <c r="B11" s="721">
        <v>405108.58810399019</v>
      </c>
      <c r="C11" s="722">
        <v>175416.57536486135</v>
      </c>
      <c r="D11" s="722">
        <v>362781.21835892892</v>
      </c>
      <c r="E11" s="722">
        <v>44838.588717470884</v>
      </c>
      <c r="F11" s="723">
        <f t="shared" si="0"/>
        <v>988144.97054525127</v>
      </c>
      <c r="G11" s="376"/>
      <c r="J11" s="1631">
        <f t="shared" ref="J11:J23" si="1">+A23</f>
        <v>2010</v>
      </c>
      <c r="K11" s="1612">
        <f t="shared" ref="K11:K23" si="2">+B23</f>
        <v>971594.08601682109</v>
      </c>
      <c r="L11" s="1612">
        <f t="shared" ref="L11:L23" si="3">+C23</f>
        <v>526340.05433409393</v>
      </c>
      <c r="M11" s="1672">
        <f t="shared" ref="M11:M23" si="4">+D23</f>
        <v>864962.42369105283</v>
      </c>
      <c r="N11" s="1673">
        <f t="shared" ref="N11:N23" si="5">+E23</f>
        <v>85638.464160990639</v>
      </c>
      <c r="O11" s="1657"/>
    </row>
    <row r="12" spans="1:17" x14ac:dyDescent="0.25">
      <c r="A12" s="725">
        <v>1999</v>
      </c>
      <c r="B12" s="726">
        <v>419536.44763941609</v>
      </c>
      <c r="C12" s="727">
        <v>170042.7141646184</v>
      </c>
      <c r="D12" s="727">
        <v>358196.54564842128</v>
      </c>
      <c r="E12" s="727">
        <v>44183.660814274546</v>
      </c>
      <c r="F12" s="728">
        <f t="shared" si="0"/>
        <v>991959.36826673034</v>
      </c>
      <c r="G12" s="376"/>
      <c r="J12" s="1631">
        <f t="shared" si="1"/>
        <v>2011</v>
      </c>
      <c r="K12" s="1612">
        <f t="shared" si="2"/>
        <v>1196612.7704490384</v>
      </c>
      <c r="L12" s="1612">
        <f t="shared" si="3"/>
        <v>568041.68320329254</v>
      </c>
      <c r="M12" s="1672">
        <f t="shared" si="4"/>
        <v>999500.05360099196</v>
      </c>
      <c r="N12" s="1673">
        <f t="shared" si="5"/>
        <v>96237.048105473543</v>
      </c>
      <c r="O12" s="1657"/>
    </row>
    <row r="13" spans="1:17" x14ac:dyDescent="0.25">
      <c r="A13" s="720">
        <v>2000</v>
      </c>
      <c r="B13" s="721">
        <v>470947.31940472691</v>
      </c>
      <c r="C13" s="722">
        <v>197172.92008066195</v>
      </c>
      <c r="D13" s="722">
        <v>396689.58182878082</v>
      </c>
      <c r="E13" s="722">
        <v>48259.678954052164</v>
      </c>
      <c r="F13" s="723">
        <f t="shared" si="0"/>
        <v>1113069.5002682218</v>
      </c>
      <c r="G13" s="376"/>
      <c r="J13" s="1631">
        <f t="shared" si="1"/>
        <v>2012</v>
      </c>
      <c r="K13" s="1612">
        <f t="shared" si="2"/>
        <v>1379656.1115939592</v>
      </c>
      <c r="L13" s="1612">
        <f t="shared" si="3"/>
        <v>665764.93903639342</v>
      </c>
      <c r="M13" s="1672">
        <f t="shared" si="4"/>
        <v>1143905.3448795595</v>
      </c>
      <c r="N13" s="1673">
        <f t="shared" si="5"/>
        <v>109799.10381710083</v>
      </c>
      <c r="O13" s="1657"/>
    </row>
    <row r="14" spans="1:17" x14ac:dyDescent="0.25">
      <c r="A14" s="725">
        <v>2001</v>
      </c>
      <c r="B14" s="726">
        <v>479868.23409751739</v>
      </c>
      <c r="C14" s="727">
        <v>202560.16293720153</v>
      </c>
      <c r="D14" s="727">
        <v>406024.2542681364</v>
      </c>
      <c r="E14" s="727">
        <v>50905.862535693137</v>
      </c>
      <c r="F14" s="728">
        <f t="shared" si="0"/>
        <v>1139358.5138385484</v>
      </c>
      <c r="G14" s="376"/>
      <c r="J14" s="1631">
        <f t="shared" si="1"/>
        <v>2013</v>
      </c>
      <c r="K14" s="1612">
        <f t="shared" si="2"/>
        <v>1441661.3270715484</v>
      </c>
      <c r="L14" s="1612">
        <f t="shared" si="3"/>
        <v>737391.51220428827</v>
      </c>
      <c r="M14" s="1672">
        <f t="shared" si="4"/>
        <v>1241000.8431573522</v>
      </c>
      <c r="N14" s="1673">
        <f t="shared" si="5"/>
        <v>116294.17167812247</v>
      </c>
      <c r="O14" s="1657"/>
    </row>
    <row r="15" spans="1:17" x14ac:dyDescent="0.25">
      <c r="A15" s="720">
        <v>2002</v>
      </c>
      <c r="B15" s="721">
        <v>488098.27845652425</v>
      </c>
      <c r="C15" s="722">
        <v>223817.53067643259</v>
      </c>
      <c r="D15" s="722">
        <v>400798.0547307923</v>
      </c>
      <c r="E15" s="722">
        <v>44353.296403984248</v>
      </c>
      <c r="F15" s="723">
        <f t="shared" si="0"/>
        <v>1157067.1602677335</v>
      </c>
      <c r="G15" s="376"/>
      <c r="J15" s="1631">
        <f t="shared" si="1"/>
        <v>2014</v>
      </c>
      <c r="K15" s="1612">
        <f t="shared" si="2"/>
        <v>1665455.8266893341</v>
      </c>
      <c r="L15" s="1612">
        <f t="shared" si="3"/>
        <v>836842.30774737417</v>
      </c>
      <c r="M15" s="1672">
        <f t="shared" si="4"/>
        <v>1407774.9448299771</v>
      </c>
      <c r="N15" s="1673">
        <f t="shared" si="5"/>
        <v>115116.20663604917</v>
      </c>
      <c r="O15" s="1657"/>
    </row>
    <row r="16" spans="1:17" ht="12.75" customHeight="1" x14ac:dyDescent="0.25">
      <c r="A16" s="725">
        <v>2003</v>
      </c>
      <c r="B16" s="726">
        <v>506532.8631156623</v>
      </c>
      <c r="C16" s="727">
        <v>238398.63946284784</v>
      </c>
      <c r="D16" s="727">
        <v>427974.96816134849</v>
      </c>
      <c r="E16" s="727">
        <v>44303.672929736647</v>
      </c>
      <c r="F16" s="728">
        <f t="shared" si="0"/>
        <v>1217210.1436695952</v>
      </c>
      <c r="G16" s="376"/>
      <c r="J16" s="1631">
        <f t="shared" si="1"/>
        <v>2015</v>
      </c>
      <c r="K16" s="1612">
        <f t="shared" si="2"/>
        <v>1728275.9472779993</v>
      </c>
      <c r="L16" s="1612">
        <f t="shared" si="3"/>
        <v>883699.564714059</v>
      </c>
      <c r="M16" s="1672">
        <f t="shared" si="4"/>
        <v>1428790.090000001</v>
      </c>
      <c r="N16" s="1673">
        <f t="shared" si="5"/>
        <v>130645.79000000001</v>
      </c>
      <c r="O16" s="1657"/>
    </row>
    <row r="17" spans="1:15" x14ac:dyDescent="0.25">
      <c r="A17" s="720">
        <v>2004</v>
      </c>
      <c r="B17" s="721">
        <v>596267.04432617116</v>
      </c>
      <c r="C17" s="722">
        <v>257743.9102776775</v>
      </c>
      <c r="D17" s="722">
        <v>470011.6333799953</v>
      </c>
      <c r="E17" s="722">
        <v>58277.423826264436</v>
      </c>
      <c r="F17" s="723">
        <f t="shared" si="0"/>
        <v>1382300.0118101083</v>
      </c>
      <c r="G17" s="376"/>
      <c r="J17" s="1631">
        <f t="shared" si="1"/>
        <v>2016</v>
      </c>
      <c r="K17" s="1612">
        <f t="shared" si="2"/>
        <v>1860291.9919229595</v>
      </c>
      <c r="L17" s="1612">
        <f t="shared" si="3"/>
        <v>937495.5716511088</v>
      </c>
      <c r="M17" s="1672">
        <f t="shared" si="4"/>
        <v>1504775.322915006</v>
      </c>
      <c r="N17" s="1673">
        <f t="shared" si="5"/>
        <v>146893.56904509378</v>
      </c>
      <c r="O17" s="1657"/>
    </row>
    <row r="18" spans="1:15" x14ac:dyDescent="0.25">
      <c r="A18" s="725">
        <v>2005</v>
      </c>
      <c r="B18" s="726">
        <v>669716.05900215998</v>
      </c>
      <c r="C18" s="727">
        <v>300420.25850854366</v>
      </c>
      <c r="D18" s="727">
        <v>544065.3677454039</v>
      </c>
      <c r="E18" s="727">
        <v>65007.585840271378</v>
      </c>
      <c r="F18" s="728">
        <f t="shared" si="0"/>
        <v>1579209.2710963788</v>
      </c>
      <c r="G18" s="376"/>
      <c r="J18" s="1631">
        <f t="shared" si="1"/>
        <v>2017</v>
      </c>
      <c r="K18" s="1612">
        <f t="shared" si="2"/>
        <v>1797961.2811510558</v>
      </c>
      <c r="L18" s="1612">
        <f t="shared" si="3"/>
        <v>942448.21527397097</v>
      </c>
      <c r="M18" s="1672">
        <f t="shared" si="4"/>
        <v>1586189.5239483404</v>
      </c>
      <c r="N18" s="1673">
        <f t="shared" si="5"/>
        <v>153099.14598403801</v>
      </c>
      <c r="O18" s="1657"/>
    </row>
    <row r="19" spans="1:15" x14ac:dyDescent="0.25">
      <c r="A19" s="720">
        <v>2006</v>
      </c>
      <c r="B19" s="721">
        <v>715993.84226713481</v>
      </c>
      <c r="C19" s="722">
        <v>317868.59748703917</v>
      </c>
      <c r="D19" s="722">
        <v>579597.98697812622</v>
      </c>
      <c r="E19" s="722">
        <v>69708.477573607859</v>
      </c>
      <c r="F19" s="723">
        <f t="shared" si="0"/>
        <v>1683168.9043059081</v>
      </c>
      <c r="G19" s="376"/>
      <c r="J19" s="1631">
        <f t="shared" si="1"/>
        <v>2018</v>
      </c>
      <c r="K19" s="1612">
        <f t="shared" si="2"/>
        <v>1852333.4751519687</v>
      </c>
      <c r="L19" s="1612">
        <f t="shared" si="3"/>
        <v>1004206.1397633412</v>
      </c>
      <c r="M19" s="1672">
        <f t="shared" si="4"/>
        <v>1709828.2802331455</v>
      </c>
      <c r="N19" s="1673">
        <f t="shared" si="5"/>
        <v>166188.19137482424</v>
      </c>
      <c r="O19" s="1657"/>
    </row>
    <row r="20" spans="1:15" x14ac:dyDescent="0.25">
      <c r="A20" s="725">
        <v>2007</v>
      </c>
      <c r="B20" s="726">
        <v>794759.59169783501</v>
      </c>
      <c r="C20" s="727">
        <v>340153.50271927071</v>
      </c>
      <c r="D20" s="727">
        <v>628258.89821243391</v>
      </c>
      <c r="E20" s="727">
        <v>67459.670804701891</v>
      </c>
      <c r="F20" s="728">
        <f t="shared" si="0"/>
        <v>1830631.6634342417</v>
      </c>
      <c r="G20" s="376"/>
      <c r="J20" s="1631">
        <f t="shared" si="1"/>
        <v>2019</v>
      </c>
      <c r="K20" s="1612">
        <f t="shared" si="2"/>
        <v>1887444.9591489658</v>
      </c>
      <c r="L20" s="1612">
        <f t="shared" si="3"/>
        <v>1051965.5863518859</v>
      </c>
      <c r="M20" s="1672">
        <f t="shared" si="4"/>
        <v>1802635.3668811198</v>
      </c>
      <c r="N20" s="1673">
        <f t="shared" si="5"/>
        <v>190663.32467361999</v>
      </c>
      <c r="O20" s="1657"/>
    </row>
    <row r="21" spans="1:15" x14ac:dyDescent="0.25">
      <c r="A21" s="720">
        <v>2008</v>
      </c>
      <c r="B21" s="721">
        <v>1027831.8916520025</v>
      </c>
      <c r="C21" s="722">
        <v>399555.0703387963</v>
      </c>
      <c r="D21" s="722">
        <v>716691.01010196272</v>
      </c>
      <c r="E21" s="722">
        <v>72022.001090604914</v>
      </c>
      <c r="F21" s="723">
        <f t="shared" si="0"/>
        <v>2216099.9731833665</v>
      </c>
      <c r="G21" s="376"/>
      <c r="J21" s="1631">
        <f t="shared" si="1"/>
        <v>2020</v>
      </c>
      <c r="K21" s="1612">
        <f t="shared" si="2"/>
        <v>1694734.0585575684</v>
      </c>
      <c r="L21" s="1612">
        <f t="shared" si="3"/>
        <v>913791.57928267948</v>
      </c>
      <c r="M21" s="1672">
        <f t="shared" si="4"/>
        <v>1783084.6724198409</v>
      </c>
      <c r="N21" s="1673">
        <f t="shared" si="5"/>
        <v>190436.09809923172</v>
      </c>
      <c r="O21" s="1657"/>
    </row>
    <row r="22" spans="1:15" x14ac:dyDescent="0.25">
      <c r="A22" s="725">
        <v>2009</v>
      </c>
      <c r="B22" s="726">
        <v>910151.82885370869</v>
      </c>
      <c r="C22" s="727">
        <v>454550.76665939082</v>
      </c>
      <c r="D22" s="727">
        <v>792475.92957778438</v>
      </c>
      <c r="E22" s="727">
        <v>78879.628738922736</v>
      </c>
      <c r="F22" s="728">
        <f t="shared" si="0"/>
        <v>2236058.1538298065</v>
      </c>
      <c r="G22" s="376"/>
      <c r="J22" s="1631">
        <f t="shared" si="1"/>
        <v>2021</v>
      </c>
      <c r="K22" s="1612">
        <f t="shared" si="2"/>
        <v>1846129.7332982924</v>
      </c>
      <c r="L22" s="1612">
        <f t="shared" si="3"/>
        <v>916913.38982809172</v>
      </c>
      <c r="M22" s="1672">
        <f t="shared" si="4"/>
        <v>1831263.8846345069</v>
      </c>
      <c r="N22" s="1673">
        <f t="shared" si="5"/>
        <v>188659.1057418405</v>
      </c>
      <c r="O22" s="1657"/>
    </row>
    <row r="23" spans="1:15" x14ac:dyDescent="0.25">
      <c r="A23" s="732">
        <v>2010</v>
      </c>
      <c r="B23" s="733">
        <v>971594.08601682109</v>
      </c>
      <c r="C23" s="734">
        <v>526340.05433409393</v>
      </c>
      <c r="D23" s="734">
        <v>864962.42369105283</v>
      </c>
      <c r="E23" s="734">
        <v>85638.464160990639</v>
      </c>
      <c r="F23" s="735">
        <f t="shared" si="0"/>
        <v>2448535.0282029584</v>
      </c>
      <c r="G23" s="376"/>
      <c r="J23" s="1631">
        <f t="shared" si="1"/>
        <v>2022</v>
      </c>
      <c r="K23" s="1612">
        <f t="shared" si="2"/>
        <v>2144134.38</v>
      </c>
      <c r="L23" s="1612">
        <f t="shared" si="3"/>
        <v>1112014.78</v>
      </c>
      <c r="M23" s="1672">
        <f t="shared" si="4"/>
        <v>2038562.73</v>
      </c>
      <c r="N23" s="1673">
        <f t="shared" si="5"/>
        <v>214755.58</v>
      </c>
      <c r="O23" s="1657"/>
    </row>
    <row r="24" spans="1:15" x14ac:dyDescent="0.25">
      <c r="A24" s="725">
        <v>2011</v>
      </c>
      <c r="B24" s="726">
        <v>1196612.7704490384</v>
      </c>
      <c r="C24" s="727">
        <v>568041.68320329254</v>
      </c>
      <c r="D24" s="727">
        <v>999500.05360099196</v>
      </c>
      <c r="E24" s="727">
        <v>96237.048105473543</v>
      </c>
      <c r="F24" s="728">
        <f t="shared" si="0"/>
        <v>2860391.5553587964</v>
      </c>
      <c r="G24" s="376"/>
      <c r="J24" s="1674"/>
      <c r="K24" s="1675"/>
      <c r="L24" s="1631"/>
      <c r="M24" s="1631"/>
      <c r="N24" s="1631"/>
      <c r="O24" s="1631"/>
    </row>
    <row r="25" spans="1:15" x14ac:dyDescent="0.25">
      <c r="A25" s="732">
        <v>2012</v>
      </c>
      <c r="B25" s="733">
        <v>1379656.1115939592</v>
      </c>
      <c r="C25" s="734">
        <v>665764.93903639342</v>
      </c>
      <c r="D25" s="734">
        <v>1143905.3448795595</v>
      </c>
      <c r="E25" s="734">
        <v>109799.10381710083</v>
      </c>
      <c r="F25" s="735">
        <f t="shared" si="0"/>
        <v>3299125.4993270123</v>
      </c>
      <c r="G25" s="376"/>
      <c r="J25" s="1674"/>
      <c r="K25" s="1675"/>
      <c r="L25" s="1631"/>
      <c r="M25" s="1631"/>
      <c r="N25" s="1631"/>
      <c r="O25" s="1631"/>
    </row>
    <row r="26" spans="1:15" x14ac:dyDescent="0.25">
      <c r="A26" s="725">
        <v>2013</v>
      </c>
      <c r="B26" s="726">
        <v>1441661.3270715484</v>
      </c>
      <c r="C26" s="727">
        <v>737391.51220428827</v>
      </c>
      <c r="D26" s="727">
        <v>1241000.8431573522</v>
      </c>
      <c r="E26" s="727">
        <v>116294.17167812247</v>
      </c>
      <c r="F26" s="728">
        <f>+SUM(B26:E26)</f>
        <v>3536347.8541113115</v>
      </c>
      <c r="G26" s="376"/>
      <c r="J26" s="780"/>
      <c r="K26" s="783"/>
      <c r="L26" s="759"/>
    </row>
    <row r="27" spans="1:15" x14ac:dyDescent="0.25">
      <c r="A27" s="732">
        <v>2014</v>
      </c>
      <c r="B27" s="733">
        <v>1665455.8266893341</v>
      </c>
      <c r="C27" s="734">
        <v>836842.30774737417</v>
      </c>
      <c r="D27" s="734">
        <v>1407774.9448299771</v>
      </c>
      <c r="E27" s="734">
        <v>115116.20663604917</v>
      </c>
      <c r="F27" s="735">
        <f t="shared" ref="F27:F35" si="6">+SUM(B27:E27)</f>
        <v>4025189.2859027348</v>
      </c>
      <c r="G27" s="376"/>
      <c r="J27" s="780"/>
      <c r="K27" s="783"/>
    </row>
    <row r="28" spans="1:15" x14ac:dyDescent="0.25">
      <c r="A28" s="725">
        <v>2015</v>
      </c>
      <c r="B28" s="726">
        <v>1728275.9472779993</v>
      </c>
      <c r="C28" s="727">
        <v>883699.564714059</v>
      </c>
      <c r="D28" s="727">
        <v>1428790.090000001</v>
      </c>
      <c r="E28" s="727">
        <v>130645.79000000001</v>
      </c>
      <c r="F28" s="728">
        <f t="shared" si="6"/>
        <v>4171411.3919920595</v>
      </c>
      <c r="G28" s="376"/>
      <c r="H28" s="371"/>
      <c r="J28" s="759"/>
      <c r="K28" s="783"/>
    </row>
    <row r="29" spans="1:15" x14ac:dyDescent="0.25">
      <c r="A29" s="732">
        <v>2016</v>
      </c>
      <c r="B29" s="733">
        <v>1860291.9919229595</v>
      </c>
      <c r="C29" s="734">
        <v>937495.5716511088</v>
      </c>
      <c r="D29" s="734">
        <v>1504775.322915006</v>
      </c>
      <c r="E29" s="734">
        <v>146893.56904509378</v>
      </c>
      <c r="F29" s="735">
        <f t="shared" si="6"/>
        <v>4449456.4555341685</v>
      </c>
      <c r="G29" s="376"/>
      <c r="H29" s="371"/>
      <c r="J29" s="759"/>
      <c r="K29" s="783"/>
    </row>
    <row r="30" spans="1:15" x14ac:dyDescent="0.25">
      <c r="A30" s="725">
        <v>2017</v>
      </c>
      <c r="B30" s="726">
        <v>1797961.2811510558</v>
      </c>
      <c r="C30" s="727">
        <v>942448.21527397097</v>
      </c>
      <c r="D30" s="727">
        <v>1586189.5239483404</v>
      </c>
      <c r="E30" s="727">
        <v>153099.14598403801</v>
      </c>
      <c r="F30" s="728">
        <f t="shared" si="6"/>
        <v>4479698.1663574055</v>
      </c>
      <c r="G30" s="376"/>
      <c r="H30" s="371"/>
      <c r="J30" s="759"/>
      <c r="K30" s="783"/>
    </row>
    <row r="31" spans="1:15" x14ac:dyDescent="0.25">
      <c r="A31" s="732">
        <v>2018</v>
      </c>
      <c r="B31" s="733">
        <v>1852333.4751519687</v>
      </c>
      <c r="C31" s="734">
        <v>1004206.1397633412</v>
      </c>
      <c r="D31" s="734">
        <v>1709828.2802331455</v>
      </c>
      <c r="E31" s="734">
        <v>166188.19137482424</v>
      </c>
      <c r="F31" s="735">
        <f t="shared" si="6"/>
        <v>4732556.0865232795</v>
      </c>
      <c r="G31" s="376"/>
      <c r="H31" s="371"/>
      <c r="J31" s="759"/>
      <c r="K31" s="783"/>
    </row>
    <row r="32" spans="1:15" x14ac:dyDescent="0.25">
      <c r="A32" s="725">
        <v>2019</v>
      </c>
      <c r="B32" s="726">
        <v>1887444.9591489658</v>
      </c>
      <c r="C32" s="727">
        <v>1051965.5863518859</v>
      </c>
      <c r="D32" s="727">
        <v>1802635.3668811198</v>
      </c>
      <c r="E32" s="727">
        <v>190663.32467361999</v>
      </c>
      <c r="F32" s="728">
        <f t="shared" si="6"/>
        <v>4932709.2370555913</v>
      </c>
      <c r="G32" s="376"/>
      <c r="H32" s="371"/>
      <c r="J32" s="759"/>
      <c r="K32" s="783"/>
    </row>
    <row r="33" spans="1:11" x14ac:dyDescent="0.25">
      <c r="A33" s="732">
        <v>2020</v>
      </c>
      <c r="B33" s="733">
        <v>1694734.0585575684</v>
      </c>
      <c r="C33" s="734">
        <v>913791.57928267948</v>
      </c>
      <c r="D33" s="734">
        <v>1783084.6724198409</v>
      </c>
      <c r="E33" s="734">
        <v>190436.09809923172</v>
      </c>
      <c r="F33" s="735">
        <f t="shared" si="6"/>
        <v>4582046.4083593208</v>
      </c>
      <c r="G33" s="376"/>
      <c r="H33" s="371"/>
      <c r="J33" s="759"/>
      <c r="K33" s="783"/>
    </row>
    <row r="34" spans="1:11" x14ac:dyDescent="0.25">
      <c r="A34" s="725">
        <v>2021</v>
      </c>
      <c r="B34" s="726">
        <v>1846129.7332982924</v>
      </c>
      <c r="C34" s="727">
        <v>916913.38982809172</v>
      </c>
      <c r="D34" s="727">
        <v>1831263.8846345069</v>
      </c>
      <c r="E34" s="727">
        <v>188659.1057418405</v>
      </c>
      <c r="F34" s="728">
        <f t="shared" ref="F34" si="7">+SUM(B34:E34)</f>
        <v>4782966.1135027315</v>
      </c>
      <c r="G34" s="376"/>
      <c r="H34" s="371"/>
      <c r="J34" s="759"/>
      <c r="K34" s="783"/>
    </row>
    <row r="35" spans="1:11" ht="13.5" thickBot="1" x14ac:dyDescent="0.3">
      <c r="A35" s="989">
        <v>2022</v>
      </c>
      <c r="B35" s="733">
        <v>2144134.38</v>
      </c>
      <c r="C35" s="734">
        <v>1112014.78</v>
      </c>
      <c r="D35" s="734">
        <v>2038562.73</v>
      </c>
      <c r="E35" s="734">
        <v>214755.58</v>
      </c>
      <c r="F35" s="735">
        <f t="shared" si="6"/>
        <v>5509467.4700000007</v>
      </c>
      <c r="G35" s="376"/>
      <c r="H35" s="371"/>
      <c r="J35" s="759"/>
      <c r="K35" s="783"/>
    </row>
    <row r="36" spans="1:11" s="493" customFormat="1" ht="17.25" customHeight="1" x14ac:dyDescent="0.25">
      <c r="A36" s="740" t="s">
        <v>161</v>
      </c>
      <c r="B36" s="1138">
        <f>(B35/B34)-1</f>
        <v>0.16142129197458566</v>
      </c>
      <c r="C36" s="862">
        <f t="shared" ref="C36:F36" si="8">(C35/C34)-1</f>
        <v>0.21278060974601654</v>
      </c>
      <c r="D36" s="862">
        <f t="shared" si="8"/>
        <v>0.11319987638311724</v>
      </c>
      <c r="E36" s="1139">
        <f t="shared" si="8"/>
        <v>0.13832607843413447</v>
      </c>
      <c r="F36" s="1140">
        <f t="shared" si="8"/>
        <v>0.1518934776573666</v>
      </c>
      <c r="G36" s="863"/>
    </row>
    <row r="37" spans="1:11" s="493" customFormat="1" ht="17.25" customHeight="1" x14ac:dyDescent="0.25">
      <c r="A37" s="741" t="s">
        <v>162</v>
      </c>
      <c r="B37" s="1121">
        <f>((B35/B30)^(1/5))-1</f>
        <v>3.5843948274456361E-2</v>
      </c>
      <c r="C37" s="1153">
        <f t="shared" ref="C37:F37" si="9">((C35/C30)^(1/5))-1</f>
        <v>3.364310657741143E-2</v>
      </c>
      <c r="D37" s="945">
        <f t="shared" si="9"/>
        <v>5.1462529514246569E-2</v>
      </c>
      <c r="E37" s="946">
        <f t="shared" si="9"/>
        <v>7.00260178733767E-2</v>
      </c>
      <c r="F37" s="1141">
        <f t="shared" si="9"/>
        <v>4.225064851131588E-2</v>
      </c>
      <c r="G37" s="863"/>
    </row>
    <row r="38" spans="1:11" s="493" customFormat="1" ht="17.25" customHeight="1" x14ac:dyDescent="0.25">
      <c r="A38" s="742" t="s">
        <v>163</v>
      </c>
      <c r="B38" s="710">
        <f>(B35/B25)-1</f>
        <v>0.55410784033915195</v>
      </c>
      <c r="C38" s="1142">
        <f t="shared" ref="C38:F38" si="10">(C35/C25)-1</f>
        <v>0.67028137830372114</v>
      </c>
      <c r="D38" s="1142">
        <f t="shared" si="10"/>
        <v>0.78210788080078242</v>
      </c>
      <c r="E38" s="1143">
        <f t="shared" si="10"/>
        <v>0.95589556320725233</v>
      </c>
      <c r="F38" s="1144">
        <f t="shared" si="10"/>
        <v>0.66997814151776747</v>
      </c>
      <c r="G38" s="863"/>
    </row>
    <row r="39" spans="1:11" s="493" customFormat="1" ht="17.25" customHeight="1" thickBot="1" x14ac:dyDescent="0.3">
      <c r="A39" s="744" t="s">
        <v>164</v>
      </c>
      <c r="B39" s="714">
        <f>((B35/B25)^(1/10))-1</f>
        <v>4.507657943370047E-2</v>
      </c>
      <c r="C39" s="1145">
        <f t="shared" ref="C39:F39" si="11">((C35/C25)^(1/10))-1</f>
        <v>5.263780616184488E-2</v>
      </c>
      <c r="D39" s="1145">
        <f t="shared" si="11"/>
        <v>5.9481552053790576E-2</v>
      </c>
      <c r="E39" s="1146">
        <f t="shared" si="11"/>
        <v>6.9386177219448619E-2</v>
      </c>
      <c r="F39" s="1147">
        <f t="shared" si="11"/>
        <v>5.2618694137383626E-2</v>
      </c>
      <c r="G39" s="863"/>
    </row>
    <row r="40" spans="1:11" x14ac:dyDescent="0.25">
      <c r="A40" s="382"/>
      <c r="G40" s="376"/>
    </row>
    <row r="41" spans="1:11" ht="15.5" x14ac:dyDescent="0.35">
      <c r="A41" s="383"/>
      <c r="B41" s="371"/>
      <c r="C41" s="371"/>
      <c r="D41" s="371"/>
      <c r="E41" s="748"/>
      <c r="F41" s="752"/>
      <c r="G41" s="376"/>
    </row>
    <row r="42" spans="1:11" x14ac:dyDescent="0.25">
      <c r="G42" s="376"/>
    </row>
  </sheetData>
  <mergeCells count="6">
    <mergeCell ref="B5:F5"/>
    <mergeCell ref="B6:B7"/>
    <mergeCell ref="C6:C7"/>
    <mergeCell ref="D6:D7"/>
    <mergeCell ref="E6:E7"/>
    <mergeCell ref="F6:F7"/>
  </mergeCells>
  <printOptions horizontalCentered="1"/>
  <pageMargins left="0.51181102362204722" right="3.937007874015748E-2" top="0.55118110236220474" bottom="0.39370078740157483" header="0" footer="0"/>
  <pageSetup paperSize="9" scale="78" orientation="portrait" r:id="rId1"/>
  <headerFooter alignWithMargins="0"/>
  <ignoredErrors>
    <ignoredError sqref="F34:F35 F8:F3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B122"/>
  <sheetViews>
    <sheetView showGridLines="0" view="pageBreakPreview" zoomScaleNormal="85" zoomScaleSheetLayoutView="100" workbookViewId="0">
      <selection activeCell="V47" sqref="V47"/>
    </sheetView>
  </sheetViews>
  <sheetFormatPr baseColWidth="10" defaultRowHeight="12.5" x14ac:dyDescent="0.25"/>
  <cols>
    <col min="1" max="1" width="2.7265625" customWidth="1"/>
    <col min="2" max="2" width="19.81640625" customWidth="1"/>
    <col min="3" max="4" width="10.81640625" customWidth="1"/>
    <col min="5" max="5" width="13.54296875" bestFit="1" customWidth="1"/>
    <col min="6" max="6" width="13.7265625" bestFit="1" customWidth="1"/>
    <col min="7" max="7" width="14.26953125" bestFit="1" customWidth="1"/>
    <col min="8" max="8" width="10.81640625" customWidth="1"/>
    <col min="9" max="9" width="13.54296875" bestFit="1" customWidth="1"/>
    <col min="10" max="10" width="13.7265625" bestFit="1" customWidth="1"/>
    <col min="11" max="11" width="14.26953125" bestFit="1" customWidth="1"/>
    <col min="12" max="12" width="10.81640625" customWidth="1"/>
    <col min="13" max="13" width="13.54296875" bestFit="1" customWidth="1"/>
    <col min="14" max="14" width="13.7265625" bestFit="1" customWidth="1"/>
    <col min="15" max="15" width="14.26953125" bestFit="1" customWidth="1"/>
    <col min="16" max="16" width="14.7265625" customWidth="1"/>
    <col min="17" max="17" width="14.54296875" customWidth="1"/>
    <col min="18" max="18" width="10.90625" style="1603"/>
    <col min="19" max="19" width="12.7265625" style="1603" customWidth="1"/>
    <col min="20" max="28" width="10.90625" style="1603"/>
  </cols>
  <sheetData>
    <row r="2" spans="1:28" ht="18" x14ac:dyDescent="0.4">
      <c r="A2" s="70" t="s">
        <v>191</v>
      </c>
      <c r="D2" s="10"/>
      <c r="E2" s="112"/>
      <c r="F2" s="112"/>
      <c r="G2" s="112"/>
      <c r="H2" s="112"/>
      <c r="I2" s="112"/>
      <c r="J2" s="112"/>
      <c r="K2" s="113"/>
      <c r="L2" s="113"/>
      <c r="M2" s="113"/>
      <c r="N2" s="113"/>
      <c r="O2" s="113"/>
    </row>
    <row r="4" spans="1:28" ht="13" thickBot="1" x14ac:dyDescent="0.3"/>
    <row r="5" spans="1:28" s="94" customFormat="1" ht="17.25" customHeight="1" x14ac:dyDescent="0.25">
      <c r="B5" s="1443" t="s">
        <v>39</v>
      </c>
      <c r="C5" s="1445" t="s">
        <v>48</v>
      </c>
      <c r="D5" s="1447" t="s">
        <v>49</v>
      </c>
      <c r="E5" s="1448"/>
      <c r="F5" s="1448"/>
      <c r="G5" s="1449"/>
      <c r="H5" s="1450" t="s">
        <v>50</v>
      </c>
      <c r="I5" s="1448"/>
      <c r="J5" s="1448"/>
      <c r="K5" s="1449"/>
      <c r="L5" s="1450" t="s">
        <v>51</v>
      </c>
      <c r="M5" s="1448"/>
      <c r="N5" s="1448"/>
      <c r="O5" s="1451"/>
      <c r="P5" s="1452" t="s">
        <v>52</v>
      </c>
      <c r="Q5" s="902"/>
      <c r="R5" s="1608"/>
      <c r="S5" s="1608"/>
      <c r="T5" s="1608"/>
      <c r="U5" s="1608"/>
      <c r="V5" s="1608"/>
      <c r="W5" s="1608"/>
      <c r="X5" s="1608"/>
      <c r="Y5" s="1608"/>
      <c r="Z5" s="1608"/>
      <c r="AA5" s="1608"/>
      <c r="AB5" s="1608"/>
    </row>
    <row r="6" spans="1:28" s="94" customFormat="1" ht="17.25" customHeight="1" x14ac:dyDescent="0.25">
      <c r="B6" s="1444"/>
      <c r="C6" s="1446"/>
      <c r="D6" s="1220" t="s">
        <v>53</v>
      </c>
      <c r="E6" s="1029" t="s">
        <v>54</v>
      </c>
      <c r="F6" s="1030" t="s">
        <v>55</v>
      </c>
      <c r="G6" s="1031" t="s">
        <v>56</v>
      </c>
      <c r="H6" s="1032" t="s">
        <v>53</v>
      </c>
      <c r="I6" s="1033" t="s">
        <v>54</v>
      </c>
      <c r="J6" s="1034" t="s">
        <v>55</v>
      </c>
      <c r="K6" s="1033" t="s">
        <v>56</v>
      </c>
      <c r="L6" s="1032" t="s">
        <v>53</v>
      </c>
      <c r="M6" s="1035" t="s">
        <v>54</v>
      </c>
      <c r="N6" s="1034" t="s">
        <v>55</v>
      </c>
      <c r="O6" s="1036" t="s">
        <v>56</v>
      </c>
      <c r="P6" s="1453"/>
      <c r="Q6" s="114"/>
      <c r="R6" s="1608"/>
      <c r="S6" s="1611" t="s">
        <v>53</v>
      </c>
      <c r="T6" s="1608" t="s">
        <v>57</v>
      </c>
      <c r="U6" s="1608" t="s">
        <v>58</v>
      </c>
      <c r="V6" s="1608"/>
      <c r="W6" s="1608"/>
      <c r="X6" s="1611" t="s">
        <v>53</v>
      </c>
      <c r="Y6" s="1608" t="s">
        <v>57</v>
      </c>
      <c r="Z6" s="1608" t="s">
        <v>58</v>
      </c>
      <c r="AA6" s="1608"/>
      <c r="AB6" s="1608"/>
    </row>
    <row r="7" spans="1:28" x14ac:dyDescent="0.25">
      <c r="B7" s="116"/>
      <c r="C7" s="1226"/>
      <c r="D7" s="1221"/>
      <c r="E7" s="117"/>
      <c r="F7" s="118"/>
      <c r="G7" s="119"/>
      <c r="H7" s="120"/>
      <c r="I7" s="117"/>
      <c r="J7" s="118"/>
      <c r="K7" s="117"/>
      <c r="L7" s="120"/>
      <c r="M7" s="121"/>
      <c r="N7" s="118"/>
      <c r="O7" s="122"/>
      <c r="P7" s="123"/>
      <c r="Q7" s="114"/>
      <c r="S7" s="1604"/>
      <c r="X7" s="1604"/>
    </row>
    <row r="8" spans="1:28" x14ac:dyDescent="0.25">
      <c r="B8" s="124">
        <v>1995</v>
      </c>
      <c r="C8" s="1227">
        <f>+D8+P8</f>
        <v>295.166629</v>
      </c>
      <c r="D8" s="1222">
        <f>E8+F8+G8</f>
        <v>220.87862900000002</v>
      </c>
      <c r="E8" s="125">
        <f t="shared" ref="E8:G23" si="0">+I8+M8</f>
        <v>46.066738999999991</v>
      </c>
      <c r="F8" s="126">
        <f t="shared" si="0"/>
        <v>11.412649999999999</v>
      </c>
      <c r="G8" s="127">
        <f t="shared" si="0"/>
        <v>163.39924000000002</v>
      </c>
      <c r="H8" s="128">
        <f>+I8+J8+K8</f>
        <v>154.712999</v>
      </c>
      <c r="I8" s="125">
        <v>38.418108999999994</v>
      </c>
      <c r="J8" s="126">
        <v>11.412649999999999</v>
      </c>
      <c r="K8" s="125">
        <v>104.88224000000001</v>
      </c>
      <c r="L8" s="128">
        <f>+M8+N8+O8</f>
        <v>66.165630000000007</v>
      </c>
      <c r="M8" s="129">
        <v>7.6486299999999998</v>
      </c>
      <c r="N8" s="126"/>
      <c r="O8" s="130">
        <v>58.517000000000003</v>
      </c>
      <c r="P8" s="131">
        <v>74.287999999999997</v>
      </c>
      <c r="Q8" s="12"/>
      <c r="R8" s="1603">
        <v>1995</v>
      </c>
      <c r="S8" s="1612">
        <f>D8</f>
        <v>220.87862900000002</v>
      </c>
      <c r="T8" s="1613">
        <f>H8</f>
        <v>154.712999</v>
      </c>
      <c r="U8" s="1613">
        <f>L8</f>
        <v>66.165630000000007</v>
      </c>
      <c r="V8" s="1610"/>
      <c r="W8" s="1603">
        <v>1995</v>
      </c>
      <c r="X8" s="1612">
        <v>220.87862900000002</v>
      </c>
      <c r="Y8" s="1613">
        <v>154.712999</v>
      </c>
      <c r="Z8" s="1613">
        <v>66.165630000000007</v>
      </c>
      <c r="AA8" s="1610"/>
    </row>
    <row r="9" spans="1:28" x14ac:dyDescent="0.25">
      <c r="B9" s="134">
        <v>1996</v>
      </c>
      <c r="C9" s="1228">
        <f>+D9+P9</f>
        <v>508.84737699999999</v>
      </c>
      <c r="D9" s="1223">
        <f>+E9+F9+G9</f>
        <v>372.89737700000001</v>
      </c>
      <c r="E9" s="135">
        <f t="shared" si="0"/>
        <v>163.01889699999998</v>
      </c>
      <c r="F9" s="136">
        <f t="shared" si="0"/>
        <v>16.600999999999999</v>
      </c>
      <c r="G9" s="137">
        <f t="shared" si="0"/>
        <v>193.27748000000003</v>
      </c>
      <c r="H9" s="138">
        <f>+I9+J9+K9</f>
        <v>176.97620699999999</v>
      </c>
      <c r="I9" s="135">
        <v>65.267436999999987</v>
      </c>
      <c r="J9" s="136">
        <v>16.600999999999999</v>
      </c>
      <c r="K9" s="135">
        <v>95.107770000000002</v>
      </c>
      <c r="L9" s="138">
        <f>+M9+N9+O9</f>
        <v>195.92117000000002</v>
      </c>
      <c r="M9" s="139">
        <v>97.751460000000009</v>
      </c>
      <c r="N9" s="136"/>
      <c r="O9" s="140">
        <v>98.169710000000009</v>
      </c>
      <c r="P9" s="123">
        <v>135.94999999999999</v>
      </c>
      <c r="Q9" s="12"/>
      <c r="R9" s="1603">
        <v>1996</v>
      </c>
      <c r="S9" s="1612">
        <f t="shared" ref="S9:S29" si="1">D9</f>
        <v>372.89737700000001</v>
      </c>
      <c r="T9" s="1613">
        <f t="shared" ref="T9:T29" si="2">H9</f>
        <v>176.97620699999999</v>
      </c>
      <c r="U9" s="1613">
        <f t="shared" ref="U9:U29" si="3">L9</f>
        <v>195.92117000000002</v>
      </c>
      <c r="V9" s="1610"/>
      <c r="W9" s="1603">
        <v>2000</v>
      </c>
      <c r="X9" s="1612">
        <v>605.803</v>
      </c>
      <c r="Y9" s="1613">
        <v>165.994</v>
      </c>
      <c r="Z9" s="1613">
        <v>439.80900000000003</v>
      </c>
      <c r="AA9" s="1610"/>
    </row>
    <row r="10" spans="1:28" x14ac:dyDescent="0.25">
      <c r="B10" s="124">
        <v>1997</v>
      </c>
      <c r="C10" s="1227">
        <f t="shared" ref="C10:C17" si="4">+D10+P10</f>
        <v>594.18388100000004</v>
      </c>
      <c r="D10" s="1222">
        <f t="shared" ref="D10:D35" si="5">+E10+F10+G10</f>
        <v>547.62588100000005</v>
      </c>
      <c r="E10" s="125">
        <f t="shared" si="0"/>
        <v>343.44413100000003</v>
      </c>
      <c r="F10" s="126">
        <f t="shared" si="0"/>
        <v>32.720779999999998</v>
      </c>
      <c r="G10" s="127">
        <f t="shared" si="0"/>
        <v>171.46097</v>
      </c>
      <c r="H10" s="128">
        <f t="shared" ref="H10:H35" si="6">+I10+J10+K10</f>
        <v>207.88996599999999</v>
      </c>
      <c r="I10" s="125">
        <v>103.23717600000001</v>
      </c>
      <c r="J10" s="126">
        <v>32.720779999999998</v>
      </c>
      <c r="K10" s="125">
        <v>71.932009999999991</v>
      </c>
      <c r="L10" s="128">
        <f t="shared" ref="L10:L35" si="7">+M10+N10+O10</f>
        <v>339.73591500000003</v>
      </c>
      <c r="M10" s="129">
        <v>240.20695500000002</v>
      </c>
      <c r="N10" s="126"/>
      <c r="O10" s="130">
        <v>99.528960000000012</v>
      </c>
      <c r="P10" s="131">
        <v>46.558</v>
      </c>
      <c r="Q10" s="141"/>
      <c r="R10" s="1603">
        <v>1997</v>
      </c>
      <c r="S10" s="1612">
        <f t="shared" si="1"/>
        <v>547.62588100000005</v>
      </c>
      <c r="T10" s="1613">
        <f t="shared" si="2"/>
        <v>207.88996599999999</v>
      </c>
      <c r="U10" s="1613">
        <f t="shared" si="3"/>
        <v>339.73591500000003</v>
      </c>
      <c r="V10" s="1610"/>
      <c r="W10" s="1603">
        <v>2005</v>
      </c>
      <c r="X10" s="1612">
        <v>348.49189000000001</v>
      </c>
      <c r="Y10" s="1613">
        <v>117.43026999999999</v>
      </c>
      <c r="Z10" s="1613">
        <v>231.06162000000003</v>
      </c>
      <c r="AA10" s="1610"/>
    </row>
    <row r="11" spans="1:28" x14ac:dyDescent="0.25">
      <c r="B11" s="134">
        <v>1998</v>
      </c>
      <c r="C11" s="1228">
        <f t="shared" si="4"/>
        <v>612.99943099999996</v>
      </c>
      <c r="D11" s="1223">
        <f t="shared" si="5"/>
        <v>561.51143100000002</v>
      </c>
      <c r="E11" s="135">
        <f t="shared" si="0"/>
        <v>365.36324100000002</v>
      </c>
      <c r="F11" s="136">
        <f t="shared" si="0"/>
        <v>59.643269999999994</v>
      </c>
      <c r="G11" s="137">
        <f t="shared" si="0"/>
        <v>136.50492</v>
      </c>
      <c r="H11" s="138">
        <f t="shared" si="6"/>
        <v>202.79134299999998</v>
      </c>
      <c r="I11" s="135">
        <v>114.539113</v>
      </c>
      <c r="J11" s="136">
        <v>46.155269999999994</v>
      </c>
      <c r="K11" s="135">
        <v>42.096959999999996</v>
      </c>
      <c r="L11" s="138">
        <f t="shared" si="7"/>
        <v>358.72008800000003</v>
      </c>
      <c r="M11" s="139">
        <v>250.824128</v>
      </c>
      <c r="N11" s="136">
        <v>13.488</v>
      </c>
      <c r="O11" s="140">
        <v>94.407960000000003</v>
      </c>
      <c r="P11" s="123">
        <v>51.488</v>
      </c>
      <c r="Q11" s="141"/>
      <c r="R11" s="1603">
        <v>1998</v>
      </c>
      <c r="S11" s="1612">
        <f t="shared" si="1"/>
        <v>561.51143100000002</v>
      </c>
      <c r="T11" s="1613">
        <f t="shared" si="2"/>
        <v>202.79134299999998</v>
      </c>
      <c r="U11" s="1613">
        <f t="shared" si="3"/>
        <v>358.72008800000003</v>
      </c>
      <c r="V11" s="1610"/>
      <c r="W11" s="1607">
        <v>2010</v>
      </c>
      <c r="X11" s="1612">
        <v>1144.3617822261485</v>
      </c>
      <c r="Y11" s="1613">
        <v>165.61058222614841</v>
      </c>
      <c r="Z11" s="1613">
        <v>978.75120000000004</v>
      </c>
      <c r="AA11" s="1610"/>
    </row>
    <row r="12" spans="1:28" x14ac:dyDescent="0.25">
      <c r="B12" s="124">
        <v>1999</v>
      </c>
      <c r="C12" s="1227">
        <f t="shared" si="4"/>
        <v>764.17922801183431</v>
      </c>
      <c r="D12" s="1222">
        <f t="shared" si="5"/>
        <v>709.53922801183433</v>
      </c>
      <c r="E12" s="125">
        <f t="shared" si="0"/>
        <v>417.232328</v>
      </c>
      <c r="F12" s="126">
        <f t="shared" si="0"/>
        <v>170.80662000000001</v>
      </c>
      <c r="G12" s="127">
        <f t="shared" si="0"/>
        <v>121.50028001183432</v>
      </c>
      <c r="H12" s="128">
        <f t="shared" si="6"/>
        <v>201.72455901183432</v>
      </c>
      <c r="I12" s="125">
        <v>136.331909</v>
      </c>
      <c r="J12" s="126">
        <v>31.317900000000002</v>
      </c>
      <c r="K12" s="125">
        <v>34.074750011834318</v>
      </c>
      <c r="L12" s="128">
        <f t="shared" si="7"/>
        <v>507.81466899999998</v>
      </c>
      <c r="M12" s="129">
        <v>280.900419</v>
      </c>
      <c r="N12" s="126">
        <v>139.48872</v>
      </c>
      <c r="O12" s="130">
        <v>87.425529999999995</v>
      </c>
      <c r="P12" s="131">
        <v>54.64</v>
      </c>
      <c r="Q12" s="141"/>
      <c r="R12" s="1603">
        <v>1999</v>
      </c>
      <c r="S12" s="1612">
        <f t="shared" si="1"/>
        <v>709.53922801183433</v>
      </c>
      <c r="T12" s="1613">
        <f t="shared" si="2"/>
        <v>201.72455901183432</v>
      </c>
      <c r="U12" s="1613">
        <f t="shared" si="3"/>
        <v>507.81466899999998</v>
      </c>
      <c r="V12" s="1610"/>
      <c r="W12" s="1607">
        <v>2011</v>
      </c>
      <c r="X12" s="1612">
        <v>1748.7</v>
      </c>
      <c r="Y12" s="1613">
        <v>107</v>
      </c>
      <c r="Z12" s="1613">
        <v>1641.7</v>
      </c>
      <c r="AA12" s="1610"/>
    </row>
    <row r="13" spans="1:28" x14ac:dyDescent="0.25">
      <c r="B13" s="134">
        <v>2000</v>
      </c>
      <c r="C13" s="1228">
        <f t="shared" si="4"/>
        <v>659.21399999999994</v>
      </c>
      <c r="D13" s="1223">
        <f t="shared" si="5"/>
        <v>605.803</v>
      </c>
      <c r="E13" s="135">
        <f t="shared" si="0"/>
        <v>337.65800000000002</v>
      </c>
      <c r="F13" s="136">
        <f t="shared" si="0"/>
        <v>128.93899999999999</v>
      </c>
      <c r="G13" s="137">
        <f t="shared" si="0"/>
        <v>139.20599999999999</v>
      </c>
      <c r="H13" s="138">
        <f t="shared" si="6"/>
        <v>165.994</v>
      </c>
      <c r="I13" s="135">
        <v>123.21599999999999</v>
      </c>
      <c r="J13" s="136">
        <v>26.69</v>
      </c>
      <c r="K13" s="135">
        <v>16.088000000000001</v>
      </c>
      <c r="L13" s="138">
        <f t="shared" si="7"/>
        <v>439.80900000000003</v>
      </c>
      <c r="M13" s="139">
        <v>214.44200000000001</v>
      </c>
      <c r="N13" s="142">
        <v>102.249</v>
      </c>
      <c r="O13" s="140">
        <v>123.11799999999999</v>
      </c>
      <c r="P13" s="123">
        <v>53.411000000000001</v>
      </c>
      <c r="Q13" s="141"/>
      <c r="R13" s="1603">
        <v>2000</v>
      </c>
      <c r="S13" s="1612">
        <f t="shared" si="1"/>
        <v>605.803</v>
      </c>
      <c r="T13" s="1613">
        <f t="shared" si="2"/>
        <v>165.994</v>
      </c>
      <c r="U13" s="1613">
        <f t="shared" si="3"/>
        <v>439.80900000000003</v>
      </c>
      <c r="V13" s="1610"/>
      <c r="W13" s="1603">
        <v>2012</v>
      </c>
      <c r="X13" s="1612">
        <v>2589.04386045</v>
      </c>
      <c r="Y13" s="1613">
        <v>121.623</v>
      </c>
      <c r="Z13" s="1613">
        <v>2467.42086045</v>
      </c>
      <c r="AA13" s="1610"/>
    </row>
    <row r="14" spans="1:28" x14ac:dyDescent="0.25">
      <c r="B14" s="143" t="s">
        <v>59</v>
      </c>
      <c r="C14" s="1227">
        <f t="shared" si="4"/>
        <v>351.06397000000004</v>
      </c>
      <c r="D14" s="1222">
        <f t="shared" si="5"/>
        <v>305.89697000000001</v>
      </c>
      <c r="E14" s="125">
        <f t="shared" si="0"/>
        <v>109.77217999999999</v>
      </c>
      <c r="F14" s="126">
        <f t="shared" si="0"/>
        <v>61.743000000000002</v>
      </c>
      <c r="G14" s="127">
        <f t="shared" si="0"/>
        <v>134.38179</v>
      </c>
      <c r="H14" s="128">
        <f t="shared" si="6"/>
        <v>95.058679999999995</v>
      </c>
      <c r="I14" s="125">
        <v>76.277079999999998</v>
      </c>
      <c r="J14" s="126">
        <v>3.1160000000000001</v>
      </c>
      <c r="K14" s="125">
        <v>15.6656</v>
      </c>
      <c r="L14" s="128">
        <f t="shared" si="7"/>
        <v>210.83829</v>
      </c>
      <c r="M14" s="129">
        <v>33.495100000000001</v>
      </c>
      <c r="N14" s="144">
        <v>58.627000000000002</v>
      </c>
      <c r="O14" s="130">
        <v>118.71619</v>
      </c>
      <c r="P14" s="131">
        <v>45.167000000000002</v>
      </c>
      <c r="Q14" s="141"/>
      <c r="R14" s="1603">
        <v>2001</v>
      </c>
      <c r="S14" s="1612">
        <f t="shared" si="1"/>
        <v>305.89697000000001</v>
      </c>
      <c r="T14" s="1613">
        <f t="shared" si="2"/>
        <v>95.058679999999995</v>
      </c>
      <c r="U14" s="1613">
        <f t="shared" si="3"/>
        <v>210.83829</v>
      </c>
      <c r="V14" s="1610"/>
      <c r="W14" s="1603">
        <v>2013</v>
      </c>
      <c r="X14" s="1612">
        <v>2439.6153999999997</v>
      </c>
      <c r="Y14" s="1613">
        <v>209.3229</v>
      </c>
      <c r="Z14" s="1613">
        <v>2230.2925</v>
      </c>
      <c r="AA14" s="1610"/>
    </row>
    <row r="15" spans="1:28" x14ac:dyDescent="0.25">
      <c r="B15" s="134">
        <v>2002</v>
      </c>
      <c r="C15" s="1228">
        <f t="shared" si="4"/>
        <v>259.529</v>
      </c>
      <c r="D15" s="1223">
        <f t="shared" si="5"/>
        <v>242.19900000000001</v>
      </c>
      <c r="E15" s="135">
        <f t="shared" si="0"/>
        <v>107.84</v>
      </c>
      <c r="F15" s="136">
        <f t="shared" si="0"/>
        <v>37.657000000000004</v>
      </c>
      <c r="G15" s="137">
        <f t="shared" si="0"/>
        <v>96.701999999999998</v>
      </c>
      <c r="H15" s="138">
        <f t="shared" si="6"/>
        <v>109.85599999999999</v>
      </c>
      <c r="I15" s="135">
        <v>77.798000000000002</v>
      </c>
      <c r="J15" s="136">
        <v>0.377</v>
      </c>
      <c r="K15" s="135">
        <v>31.681000000000001</v>
      </c>
      <c r="L15" s="138">
        <f t="shared" si="7"/>
        <v>132.34300000000002</v>
      </c>
      <c r="M15" s="139">
        <v>30.042000000000002</v>
      </c>
      <c r="N15" s="142">
        <v>37.28</v>
      </c>
      <c r="O15" s="140">
        <v>65.021000000000001</v>
      </c>
      <c r="P15" s="123">
        <v>17.329999999999998</v>
      </c>
      <c r="Q15" s="145"/>
      <c r="R15" s="1603">
        <v>2002</v>
      </c>
      <c r="S15" s="1612">
        <f t="shared" si="1"/>
        <v>242.19900000000001</v>
      </c>
      <c r="T15" s="1613">
        <f t="shared" si="2"/>
        <v>109.85599999999999</v>
      </c>
      <c r="U15" s="1613">
        <f t="shared" si="3"/>
        <v>132.34300000000002</v>
      </c>
      <c r="V15" s="1610"/>
      <c r="W15" s="1603">
        <v>2014</v>
      </c>
      <c r="X15" s="1612">
        <v>2666.6126000887843</v>
      </c>
      <c r="Y15" s="1613">
        <v>178.33149350396769</v>
      </c>
      <c r="Z15" s="1613">
        <v>2488.2811065848164</v>
      </c>
      <c r="AA15" s="1610"/>
    </row>
    <row r="16" spans="1:28" x14ac:dyDescent="0.25">
      <c r="B16" s="124">
        <v>2003</v>
      </c>
      <c r="C16" s="1227">
        <f>+D16+P16</f>
        <v>235.38499999999999</v>
      </c>
      <c r="D16" s="1222">
        <f>+E16+F16+G16</f>
        <v>191.95699999999999</v>
      </c>
      <c r="E16" s="125">
        <f>+I16+M16</f>
        <v>87.165000000000006</v>
      </c>
      <c r="F16" s="126">
        <f>+J16+N16</f>
        <v>12.826000000000001</v>
      </c>
      <c r="G16" s="127">
        <f>+K16+O16</f>
        <v>91.965999999999994</v>
      </c>
      <c r="H16" s="128">
        <f>+I16+J16+K16</f>
        <v>110.83199999999999</v>
      </c>
      <c r="I16" s="125">
        <v>67.105000000000004</v>
      </c>
      <c r="J16" s="126"/>
      <c r="K16" s="125">
        <v>43.726999999999997</v>
      </c>
      <c r="L16" s="128">
        <f>+M16+N16+O16</f>
        <v>81.125</v>
      </c>
      <c r="M16" s="129">
        <v>20.059999999999999</v>
      </c>
      <c r="N16" s="144">
        <v>12.826000000000001</v>
      </c>
      <c r="O16" s="130">
        <v>48.238999999999997</v>
      </c>
      <c r="P16" s="131">
        <v>43.427999999999997</v>
      </c>
      <c r="R16" s="1603">
        <v>2003</v>
      </c>
      <c r="S16" s="1612">
        <f t="shared" si="1"/>
        <v>191.95699999999999</v>
      </c>
      <c r="T16" s="1613">
        <f t="shared" si="2"/>
        <v>110.83199999999999</v>
      </c>
      <c r="U16" s="1613">
        <f t="shared" si="3"/>
        <v>81.125</v>
      </c>
      <c r="V16" s="1610"/>
      <c r="W16" s="1603">
        <v>2015</v>
      </c>
      <c r="X16" s="1612">
        <v>2486.3082598507081</v>
      </c>
      <c r="Y16" s="1613">
        <v>122.07089438088975</v>
      </c>
      <c r="Z16" s="1613">
        <v>2364.2373654698185</v>
      </c>
      <c r="AA16" s="1610"/>
    </row>
    <row r="17" spans="2:28" x14ac:dyDescent="0.25">
      <c r="B17" s="134">
        <v>2004</v>
      </c>
      <c r="C17" s="1228">
        <f t="shared" si="4"/>
        <v>323.77300000000002</v>
      </c>
      <c r="D17" s="1223">
        <f t="shared" si="5"/>
        <v>284.69500000000005</v>
      </c>
      <c r="E17" s="135">
        <f t="shared" si="0"/>
        <v>159.566</v>
      </c>
      <c r="F17" s="136">
        <f t="shared" si="0"/>
        <v>24.366</v>
      </c>
      <c r="G17" s="135">
        <f t="shared" si="0"/>
        <v>100.76300000000001</v>
      </c>
      <c r="H17" s="138">
        <f t="shared" si="6"/>
        <v>116.143</v>
      </c>
      <c r="I17" s="135">
        <v>67.001000000000005</v>
      </c>
      <c r="J17" s="136"/>
      <c r="K17" s="135">
        <v>49.142000000000003</v>
      </c>
      <c r="L17" s="138">
        <f t="shared" si="7"/>
        <v>168.55199999999999</v>
      </c>
      <c r="M17" s="135">
        <v>92.564999999999998</v>
      </c>
      <c r="N17" s="142">
        <v>24.366</v>
      </c>
      <c r="O17" s="140">
        <v>51.621000000000002</v>
      </c>
      <c r="P17" s="123">
        <v>39.078000000000003</v>
      </c>
      <c r="R17" s="1603">
        <v>2004</v>
      </c>
      <c r="S17" s="1612">
        <f t="shared" si="1"/>
        <v>284.69500000000005</v>
      </c>
      <c r="T17" s="1613">
        <f t="shared" si="2"/>
        <v>116.143</v>
      </c>
      <c r="U17" s="1613">
        <f t="shared" si="3"/>
        <v>168.55199999999999</v>
      </c>
      <c r="V17" s="1610"/>
      <c r="W17" s="1603">
        <v>2016</v>
      </c>
      <c r="X17" s="1612">
        <v>1728.9</v>
      </c>
      <c r="Y17" s="1613">
        <v>127</v>
      </c>
      <c r="Z17" s="1613">
        <v>1601.9</v>
      </c>
      <c r="AA17" s="1610"/>
    </row>
    <row r="18" spans="2:28" x14ac:dyDescent="0.25">
      <c r="B18" s="124">
        <v>2005</v>
      </c>
      <c r="C18" s="1227">
        <f>+D18+P18</f>
        <v>393.73589000000004</v>
      </c>
      <c r="D18" s="1222">
        <f t="shared" si="5"/>
        <v>348.49189000000001</v>
      </c>
      <c r="E18" s="125">
        <f t="shared" si="0"/>
        <v>193.49135000000001</v>
      </c>
      <c r="F18" s="126">
        <f t="shared" si="0"/>
        <v>20.633900000000001</v>
      </c>
      <c r="G18" s="125">
        <f t="shared" si="0"/>
        <v>134.36663999999999</v>
      </c>
      <c r="H18" s="128">
        <f t="shared" si="6"/>
        <v>117.43026999999999</v>
      </c>
      <c r="I18" s="125">
        <v>53.766709999999996</v>
      </c>
      <c r="J18" s="126"/>
      <c r="K18" s="125">
        <v>63.663559999999997</v>
      </c>
      <c r="L18" s="128">
        <f t="shared" si="7"/>
        <v>231.06162000000003</v>
      </c>
      <c r="M18" s="125">
        <v>139.72464000000002</v>
      </c>
      <c r="N18" s="144">
        <v>20.633900000000001</v>
      </c>
      <c r="O18" s="130">
        <v>70.70308</v>
      </c>
      <c r="P18" s="131">
        <v>45.244</v>
      </c>
      <c r="R18" s="1603">
        <v>2005</v>
      </c>
      <c r="S18" s="1612">
        <f t="shared" si="1"/>
        <v>348.49189000000001</v>
      </c>
      <c r="T18" s="1613">
        <f t="shared" si="2"/>
        <v>117.43026999999999</v>
      </c>
      <c r="U18" s="1613">
        <f t="shared" si="3"/>
        <v>231.06162000000003</v>
      </c>
      <c r="V18" s="1610"/>
      <c r="W18" s="1603">
        <v>2017</v>
      </c>
      <c r="X18" s="1612">
        <v>1417.25</v>
      </c>
      <c r="Y18" s="1613">
        <v>52</v>
      </c>
      <c r="Z18" s="1613">
        <v>1365.25</v>
      </c>
      <c r="AA18" s="1610"/>
    </row>
    <row r="19" spans="2:28" x14ac:dyDescent="0.25">
      <c r="B19" s="134">
        <v>2006</v>
      </c>
      <c r="C19" s="1228">
        <f>+D19+P19</f>
        <v>480.15700000000004</v>
      </c>
      <c r="D19" s="1223">
        <f t="shared" si="5"/>
        <v>446.20400000000001</v>
      </c>
      <c r="E19" s="135">
        <f t="shared" si="0"/>
        <v>289.57499999999999</v>
      </c>
      <c r="F19" s="136">
        <f t="shared" si="0"/>
        <v>16.542999999999999</v>
      </c>
      <c r="G19" s="135">
        <f t="shared" si="0"/>
        <v>140.08600000000001</v>
      </c>
      <c r="H19" s="138">
        <f t="shared" si="6"/>
        <v>95.745000000000005</v>
      </c>
      <c r="I19" s="135">
        <v>29.198</v>
      </c>
      <c r="J19" s="136"/>
      <c r="K19" s="135">
        <v>66.546999999999997</v>
      </c>
      <c r="L19" s="138">
        <f t="shared" si="7"/>
        <v>350.459</v>
      </c>
      <c r="M19" s="135">
        <v>260.37700000000001</v>
      </c>
      <c r="N19" s="142">
        <v>16.542999999999999</v>
      </c>
      <c r="O19" s="140">
        <v>73.539000000000001</v>
      </c>
      <c r="P19" s="123">
        <v>33.953000000000003</v>
      </c>
      <c r="R19" s="1607">
        <v>2006</v>
      </c>
      <c r="S19" s="1612">
        <f t="shared" si="1"/>
        <v>446.20400000000001</v>
      </c>
      <c r="T19" s="1613">
        <f t="shared" si="2"/>
        <v>95.745000000000005</v>
      </c>
      <c r="U19" s="1613">
        <f t="shared" si="3"/>
        <v>350.459</v>
      </c>
      <c r="V19" s="1610"/>
      <c r="W19" s="1603">
        <v>2018</v>
      </c>
      <c r="X19" s="1612">
        <v>659.1963463804035</v>
      </c>
      <c r="Y19" s="1613">
        <v>78.454342463223497</v>
      </c>
      <c r="Z19" s="1613">
        <v>580.74200391718</v>
      </c>
      <c r="AA19" s="1610"/>
    </row>
    <row r="20" spans="2:28" x14ac:dyDescent="0.25">
      <c r="B20" s="124">
        <v>2007</v>
      </c>
      <c r="C20" s="1227">
        <f>+D20+P20</f>
        <v>629.00013000000001</v>
      </c>
      <c r="D20" s="1222">
        <f t="shared" si="5"/>
        <v>539.07312999999999</v>
      </c>
      <c r="E20" s="125">
        <f t="shared" si="0"/>
        <v>318.03030000000001</v>
      </c>
      <c r="F20" s="126">
        <f t="shared" si="0"/>
        <v>69.635899999999992</v>
      </c>
      <c r="G20" s="125">
        <f t="shared" si="0"/>
        <v>151.40692999999999</v>
      </c>
      <c r="H20" s="128">
        <f t="shared" si="6"/>
        <v>139.72556</v>
      </c>
      <c r="I20" s="125">
        <v>73.499299999999991</v>
      </c>
      <c r="J20" s="126"/>
      <c r="K20" s="125">
        <v>66.226260000000011</v>
      </c>
      <c r="L20" s="128">
        <f t="shared" si="7"/>
        <v>399.34757000000002</v>
      </c>
      <c r="M20" s="125">
        <v>244.53100000000001</v>
      </c>
      <c r="N20" s="144">
        <v>69.635899999999992</v>
      </c>
      <c r="O20" s="130">
        <v>85.180669999999992</v>
      </c>
      <c r="P20" s="131">
        <v>89.927000000000007</v>
      </c>
      <c r="R20" s="1607">
        <v>2007</v>
      </c>
      <c r="S20" s="1612">
        <f t="shared" si="1"/>
        <v>539.07312999999999</v>
      </c>
      <c r="T20" s="1613">
        <f t="shared" si="2"/>
        <v>139.72556</v>
      </c>
      <c r="U20" s="1613">
        <f t="shared" si="3"/>
        <v>399.34757000000002</v>
      </c>
      <c r="V20" s="1610"/>
      <c r="W20" s="1603">
        <v>2019</v>
      </c>
      <c r="X20" s="1612">
        <v>618.38349010573825</v>
      </c>
      <c r="Y20" s="1613">
        <v>170.00447599202266</v>
      </c>
      <c r="Z20" s="1613">
        <v>448.37901411371558</v>
      </c>
      <c r="AA20" s="1610"/>
    </row>
    <row r="21" spans="2:28" x14ac:dyDescent="0.25">
      <c r="B21" s="134">
        <v>2008</v>
      </c>
      <c r="C21" s="1228">
        <f t="shared" ref="C21:C35" si="8">D21+P21</f>
        <v>862.00699999999995</v>
      </c>
      <c r="D21" s="1223">
        <f t="shared" si="5"/>
        <v>762.52</v>
      </c>
      <c r="E21" s="135">
        <f t="shared" si="0"/>
        <v>483.51</v>
      </c>
      <c r="F21" s="136">
        <f t="shared" si="0"/>
        <v>43.1</v>
      </c>
      <c r="G21" s="135">
        <f t="shared" si="0"/>
        <v>235.91</v>
      </c>
      <c r="H21" s="138">
        <f t="shared" si="6"/>
        <v>128.88</v>
      </c>
      <c r="I21" s="135">
        <v>26.5</v>
      </c>
      <c r="J21" s="136"/>
      <c r="K21" s="135">
        <v>102.38</v>
      </c>
      <c r="L21" s="138">
        <f t="shared" si="7"/>
        <v>633.64</v>
      </c>
      <c r="M21" s="135">
        <v>457.01</v>
      </c>
      <c r="N21" s="142">
        <v>43.1</v>
      </c>
      <c r="O21" s="140">
        <v>133.53</v>
      </c>
      <c r="P21" s="123">
        <v>99.486999999999995</v>
      </c>
      <c r="R21" s="1607">
        <v>2008</v>
      </c>
      <c r="S21" s="1612">
        <f t="shared" si="1"/>
        <v>762.52</v>
      </c>
      <c r="T21" s="1613">
        <f t="shared" si="2"/>
        <v>128.88</v>
      </c>
      <c r="U21" s="1613">
        <f t="shared" si="3"/>
        <v>633.64</v>
      </c>
      <c r="V21" s="1610"/>
      <c r="W21" s="1603">
        <v>2020</v>
      </c>
      <c r="X21" s="1612">
        <v>417.32576072679979</v>
      </c>
      <c r="Y21" s="1613">
        <v>174.2730185157626</v>
      </c>
      <c r="Z21" s="1613">
        <v>243.05274221103721</v>
      </c>
      <c r="AA21" s="1610"/>
    </row>
    <row r="22" spans="2:28" x14ac:dyDescent="0.25">
      <c r="B22" s="146">
        <v>2009</v>
      </c>
      <c r="C22" s="1227">
        <f t="shared" si="8"/>
        <v>1176.8417200000001</v>
      </c>
      <c r="D22" s="1222">
        <f t="shared" si="5"/>
        <v>992.11972000000003</v>
      </c>
      <c r="E22" s="125">
        <f t="shared" si="0"/>
        <v>448.38329999999996</v>
      </c>
      <c r="F22" s="126">
        <f t="shared" si="0"/>
        <v>254.363</v>
      </c>
      <c r="G22" s="125">
        <f t="shared" si="0"/>
        <v>289.37342000000001</v>
      </c>
      <c r="H22" s="128">
        <f t="shared" si="6"/>
        <v>250.28899999999999</v>
      </c>
      <c r="I22" s="147">
        <v>88.849000000000004</v>
      </c>
      <c r="J22" s="148"/>
      <c r="K22" s="147">
        <v>161.44</v>
      </c>
      <c r="L22" s="128">
        <f t="shared" si="7"/>
        <v>741.83071999999993</v>
      </c>
      <c r="M22" s="147">
        <v>359.53429999999997</v>
      </c>
      <c r="N22" s="149">
        <v>254.363</v>
      </c>
      <c r="O22" s="150">
        <v>127.93342</v>
      </c>
      <c r="P22" s="131">
        <v>184.72200000000001</v>
      </c>
      <c r="R22" s="1607">
        <v>2009</v>
      </c>
      <c r="S22" s="1612">
        <f t="shared" si="1"/>
        <v>992.11972000000003</v>
      </c>
      <c r="T22" s="1613">
        <f t="shared" si="2"/>
        <v>250.28899999999999</v>
      </c>
      <c r="U22" s="1613">
        <f t="shared" si="3"/>
        <v>741.83071999999993</v>
      </c>
      <c r="V22" s="1610"/>
      <c r="W22" s="1603">
        <v>2021</v>
      </c>
      <c r="X22" s="1612">
        <v>1111.9451584755616</v>
      </c>
      <c r="Y22" s="1613">
        <v>135.66263258426929</v>
      </c>
      <c r="Z22" s="1613">
        <v>976.28252589129215</v>
      </c>
      <c r="AA22" s="1610"/>
    </row>
    <row r="23" spans="2:28" x14ac:dyDescent="0.25">
      <c r="B23" s="134">
        <v>2010</v>
      </c>
      <c r="C23" s="1228">
        <f t="shared" si="8"/>
        <v>1367.7377822261485</v>
      </c>
      <c r="D23" s="1223">
        <f t="shared" si="5"/>
        <v>1144.3617822261485</v>
      </c>
      <c r="E23" s="135">
        <f t="shared" si="0"/>
        <v>558.63338222614846</v>
      </c>
      <c r="F23" s="136">
        <f t="shared" si="0"/>
        <v>332.55720000000002</v>
      </c>
      <c r="G23" s="135">
        <f t="shared" si="0"/>
        <v>253.1712</v>
      </c>
      <c r="H23" s="138">
        <f t="shared" si="6"/>
        <v>165.61058222614841</v>
      </c>
      <c r="I23" s="135">
        <v>25.113882226148409</v>
      </c>
      <c r="J23" s="136"/>
      <c r="K23" s="135">
        <v>140.4967</v>
      </c>
      <c r="L23" s="138">
        <f t="shared" si="7"/>
        <v>978.75120000000004</v>
      </c>
      <c r="M23" s="135">
        <v>533.51949999999999</v>
      </c>
      <c r="N23" s="142">
        <v>332.55720000000002</v>
      </c>
      <c r="O23" s="140">
        <v>112.67449999999999</v>
      </c>
      <c r="P23" s="123">
        <v>223.376</v>
      </c>
      <c r="R23" s="1607">
        <v>2010</v>
      </c>
      <c r="S23" s="1612">
        <f t="shared" si="1"/>
        <v>1144.3617822261485</v>
      </c>
      <c r="T23" s="1613">
        <f t="shared" si="2"/>
        <v>165.61058222614841</v>
      </c>
      <c r="U23" s="1613">
        <f t="shared" si="3"/>
        <v>978.75120000000004</v>
      </c>
      <c r="V23" s="1610"/>
      <c r="W23" s="1603">
        <v>2022</v>
      </c>
      <c r="X23" s="1612">
        <v>1136.502731814563</v>
      </c>
      <c r="Y23" s="1613">
        <v>161.280893828318</v>
      </c>
      <c r="Z23" s="1613">
        <v>975.22183798624508</v>
      </c>
      <c r="AA23" s="1610"/>
    </row>
    <row r="24" spans="2:28" s="39" customFormat="1" ht="13" x14ac:dyDescent="0.3">
      <c r="B24" s="146">
        <v>2011</v>
      </c>
      <c r="C24" s="1227">
        <f t="shared" si="8"/>
        <v>1880</v>
      </c>
      <c r="D24" s="1222">
        <f t="shared" si="5"/>
        <v>1748.7</v>
      </c>
      <c r="E24" s="125">
        <f t="shared" ref="E24:G35" si="9">+I24+M24</f>
        <v>1240.8</v>
      </c>
      <c r="F24" s="126">
        <f t="shared" si="9"/>
        <v>278.5</v>
      </c>
      <c r="G24" s="125">
        <f t="shared" si="9"/>
        <v>229.4</v>
      </c>
      <c r="H24" s="128">
        <f t="shared" si="6"/>
        <v>107</v>
      </c>
      <c r="I24" s="147">
        <v>28.6</v>
      </c>
      <c r="J24" s="148"/>
      <c r="K24" s="147">
        <v>78.400000000000006</v>
      </c>
      <c r="L24" s="128">
        <f t="shared" si="7"/>
        <v>1641.7</v>
      </c>
      <c r="M24" s="147">
        <v>1212.2</v>
      </c>
      <c r="N24" s="149">
        <v>278.5</v>
      </c>
      <c r="O24" s="150">
        <v>151</v>
      </c>
      <c r="P24" s="131">
        <v>131.30000000000001</v>
      </c>
      <c r="R24" s="1607">
        <v>2011</v>
      </c>
      <c r="S24" s="1612">
        <f t="shared" si="1"/>
        <v>1748.7</v>
      </c>
      <c r="T24" s="1613">
        <f t="shared" si="2"/>
        <v>107</v>
      </c>
      <c r="U24" s="1613">
        <f t="shared" si="3"/>
        <v>1641.7</v>
      </c>
      <c r="V24" s="1614"/>
      <c r="W24" s="1615"/>
      <c r="X24" s="1615"/>
      <c r="Y24" s="1615"/>
      <c r="Z24" s="1615"/>
      <c r="AA24" s="1610"/>
      <c r="AB24" s="1615"/>
    </row>
    <row r="25" spans="2:28" s="39" customFormat="1" ht="13" x14ac:dyDescent="0.3">
      <c r="B25" s="134">
        <v>2012</v>
      </c>
      <c r="C25" s="1228">
        <f t="shared" si="8"/>
        <v>2738.9250697518219</v>
      </c>
      <c r="D25" s="1223">
        <f t="shared" si="5"/>
        <v>2589.04386045</v>
      </c>
      <c r="E25" s="135">
        <f t="shared" si="9"/>
        <v>1781.40966045</v>
      </c>
      <c r="F25" s="136">
        <f t="shared" si="9"/>
        <v>470.27</v>
      </c>
      <c r="G25" s="135">
        <f t="shared" si="9"/>
        <v>337.36420000000004</v>
      </c>
      <c r="H25" s="138">
        <f t="shared" si="6"/>
        <v>121.623</v>
      </c>
      <c r="I25" s="135">
        <v>35.28</v>
      </c>
      <c r="J25" s="136"/>
      <c r="K25" s="135">
        <v>86.343000000000004</v>
      </c>
      <c r="L25" s="138">
        <f t="shared" si="7"/>
        <v>2467.42086045</v>
      </c>
      <c r="M25" s="135">
        <v>1746.1296604500001</v>
      </c>
      <c r="N25" s="142">
        <v>470.27</v>
      </c>
      <c r="O25" s="140">
        <v>251.02120000000002</v>
      </c>
      <c r="P25" s="123">
        <v>149.8812093018218</v>
      </c>
      <c r="R25" s="1603">
        <v>2012</v>
      </c>
      <c r="S25" s="1612">
        <f t="shared" si="1"/>
        <v>2589.04386045</v>
      </c>
      <c r="T25" s="1613">
        <f t="shared" si="2"/>
        <v>121.623</v>
      </c>
      <c r="U25" s="1613">
        <f t="shared" si="3"/>
        <v>2467.42086045</v>
      </c>
      <c r="V25" s="1614"/>
      <c r="W25" s="1615"/>
      <c r="X25" s="1615"/>
      <c r="Y25" s="1615"/>
      <c r="Z25" s="1615"/>
      <c r="AA25" s="1610"/>
      <c r="AB25" s="1615"/>
    </row>
    <row r="26" spans="2:28" s="39" customFormat="1" ht="13" x14ac:dyDescent="0.3">
      <c r="B26" s="146">
        <v>2013</v>
      </c>
      <c r="C26" s="1227">
        <f t="shared" si="8"/>
        <v>2589.0289318988771</v>
      </c>
      <c r="D26" s="1222">
        <f t="shared" si="5"/>
        <v>2439.6153999999997</v>
      </c>
      <c r="E26" s="125">
        <f t="shared" si="9"/>
        <v>1829.8335</v>
      </c>
      <c r="F26" s="126">
        <f t="shared" si="9"/>
        <v>188.4134</v>
      </c>
      <c r="G26" s="125">
        <f t="shared" si="9"/>
        <v>421.36850000000004</v>
      </c>
      <c r="H26" s="128">
        <f t="shared" si="6"/>
        <v>209.3229</v>
      </c>
      <c r="I26" s="147">
        <v>65.214799999999997</v>
      </c>
      <c r="J26" s="148"/>
      <c r="K26" s="147">
        <v>144.10810000000001</v>
      </c>
      <c r="L26" s="128">
        <f t="shared" si="7"/>
        <v>2230.2925</v>
      </c>
      <c r="M26" s="147">
        <v>1764.6187</v>
      </c>
      <c r="N26" s="149">
        <v>188.4134</v>
      </c>
      <c r="O26" s="150">
        <v>277.2604</v>
      </c>
      <c r="P26" s="131">
        <v>149.41353189887735</v>
      </c>
      <c r="R26" s="1603">
        <v>2013</v>
      </c>
      <c r="S26" s="1612">
        <f t="shared" si="1"/>
        <v>2439.6153999999997</v>
      </c>
      <c r="T26" s="1613">
        <f t="shared" si="2"/>
        <v>209.3229</v>
      </c>
      <c r="U26" s="1613">
        <f t="shared" si="3"/>
        <v>2230.2925</v>
      </c>
      <c r="V26" s="1614"/>
      <c r="W26" s="1615"/>
      <c r="X26" s="1615"/>
      <c r="Y26" s="1615"/>
      <c r="Z26" s="1615"/>
      <c r="AA26" s="1610"/>
      <c r="AB26" s="1615"/>
    </row>
    <row r="27" spans="2:28" s="39" customFormat="1" ht="13" x14ac:dyDescent="0.3">
      <c r="B27" s="151">
        <v>2014</v>
      </c>
      <c r="C27" s="1228">
        <f t="shared" si="8"/>
        <v>2777.6365865752709</v>
      </c>
      <c r="D27" s="1223">
        <f t="shared" si="5"/>
        <v>2666.6126000887843</v>
      </c>
      <c r="E27" s="135">
        <f t="shared" si="9"/>
        <v>2021.3049047048166</v>
      </c>
      <c r="F27" s="136">
        <f t="shared" si="9"/>
        <v>244.01244188000001</v>
      </c>
      <c r="G27" s="135">
        <f t="shared" si="9"/>
        <v>401.29525350396761</v>
      </c>
      <c r="H27" s="138">
        <f t="shared" si="6"/>
        <v>178.33149350396769</v>
      </c>
      <c r="I27" s="135">
        <v>62.090519999999998</v>
      </c>
      <c r="J27" s="136"/>
      <c r="K27" s="135">
        <v>116.24097350396768</v>
      </c>
      <c r="L27" s="138">
        <f t="shared" si="7"/>
        <v>2488.2811065848164</v>
      </c>
      <c r="M27" s="135">
        <v>1959.2143847048167</v>
      </c>
      <c r="N27" s="142">
        <v>244.01244188000001</v>
      </c>
      <c r="O27" s="140">
        <v>285.05427999999995</v>
      </c>
      <c r="P27" s="123">
        <v>111.02398648648649</v>
      </c>
      <c r="R27" s="1603">
        <v>2014</v>
      </c>
      <c r="S27" s="1612">
        <f t="shared" si="1"/>
        <v>2666.6126000887843</v>
      </c>
      <c r="T27" s="1613">
        <f t="shared" si="2"/>
        <v>178.33149350396769</v>
      </c>
      <c r="U27" s="1613">
        <f t="shared" si="3"/>
        <v>2488.2811065848164</v>
      </c>
      <c r="V27" s="1614"/>
      <c r="W27" s="1615"/>
      <c r="X27" s="1615"/>
      <c r="Y27" s="1615"/>
      <c r="Z27" s="1615"/>
      <c r="AA27" s="1610"/>
      <c r="AB27" s="1615"/>
    </row>
    <row r="28" spans="2:28" s="39" customFormat="1" ht="13" x14ac:dyDescent="0.3">
      <c r="B28" s="152">
        <v>2015</v>
      </c>
      <c r="C28" s="1229">
        <f t="shared" si="8"/>
        <v>2593.4579568204049</v>
      </c>
      <c r="D28" s="1224">
        <f t="shared" si="5"/>
        <v>2486.3082598507081</v>
      </c>
      <c r="E28" s="153">
        <f t="shared" si="9"/>
        <v>1773.8894952016162</v>
      </c>
      <c r="F28" s="154">
        <f t="shared" si="9"/>
        <v>354.97169140999995</v>
      </c>
      <c r="G28" s="153">
        <f t="shared" si="9"/>
        <v>357.44707323909199</v>
      </c>
      <c r="H28" s="155">
        <f t="shared" si="6"/>
        <v>122.07089438088975</v>
      </c>
      <c r="I28" s="156">
        <v>43.02659068965518</v>
      </c>
      <c r="J28" s="157"/>
      <c r="K28" s="156">
        <v>79.044303691234575</v>
      </c>
      <c r="L28" s="155">
        <f t="shared" si="7"/>
        <v>2364.2373654698185</v>
      </c>
      <c r="M28" s="156">
        <v>1730.862904511961</v>
      </c>
      <c r="N28" s="158">
        <v>354.97169140999995</v>
      </c>
      <c r="O28" s="159">
        <v>278.40276954785742</v>
      </c>
      <c r="P28" s="160">
        <v>107.14969696969698</v>
      </c>
      <c r="R28" s="1603">
        <v>2015</v>
      </c>
      <c r="S28" s="1612">
        <f>D28</f>
        <v>2486.3082598507081</v>
      </c>
      <c r="T28" s="1613">
        <f>H28</f>
        <v>122.07089438088975</v>
      </c>
      <c r="U28" s="1613">
        <f>L28</f>
        <v>2364.2373654698185</v>
      </c>
      <c r="V28" s="1614"/>
      <c r="W28" s="1615"/>
      <c r="X28" s="1615"/>
      <c r="Y28" s="1615"/>
      <c r="Z28" s="1615"/>
      <c r="AA28" s="1610"/>
      <c r="AB28" s="1615"/>
    </row>
    <row r="29" spans="2:28" s="161" customFormat="1" ht="13" x14ac:dyDescent="0.3">
      <c r="B29" s="151">
        <v>2016</v>
      </c>
      <c r="C29" s="1228">
        <f t="shared" si="8"/>
        <v>1798.3000000000002</v>
      </c>
      <c r="D29" s="1223">
        <f t="shared" si="5"/>
        <v>1728.9</v>
      </c>
      <c r="E29" s="135">
        <f t="shared" si="9"/>
        <v>965.9</v>
      </c>
      <c r="F29" s="136">
        <f t="shared" si="9"/>
        <v>398.3</v>
      </c>
      <c r="G29" s="135">
        <f t="shared" si="9"/>
        <v>364.7</v>
      </c>
      <c r="H29" s="138">
        <f t="shared" si="6"/>
        <v>127</v>
      </c>
      <c r="I29" s="135">
        <v>27</v>
      </c>
      <c r="J29" s="136"/>
      <c r="K29" s="135">
        <v>100</v>
      </c>
      <c r="L29" s="138">
        <f t="shared" si="7"/>
        <v>1601.9</v>
      </c>
      <c r="M29" s="135">
        <v>938.9</v>
      </c>
      <c r="N29" s="142">
        <v>398.3</v>
      </c>
      <c r="O29" s="140">
        <v>264.7</v>
      </c>
      <c r="P29" s="123">
        <v>69.400000000000006</v>
      </c>
      <c r="R29" s="1603">
        <v>2016</v>
      </c>
      <c r="S29" s="1612">
        <f t="shared" si="1"/>
        <v>1728.9</v>
      </c>
      <c r="T29" s="1613">
        <f t="shared" si="2"/>
        <v>127</v>
      </c>
      <c r="U29" s="1613">
        <f t="shared" si="3"/>
        <v>1601.9</v>
      </c>
      <c r="V29" s="1614"/>
      <c r="W29" s="1615"/>
      <c r="X29" s="1615"/>
      <c r="Y29" s="1615"/>
      <c r="Z29" s="1615"/>
      <c r="AA29" s="1610"/>
      <c r="AB29" s="1615"/>
    </row>
    <row r="30" spans="2:28" s="161" customFormat="1" ht="13" x14ac:dyDescent="0.3">
      <c r="B30" s="152">
        <v>2017</v>
      </c>
      <c r="C30" s="1229">
        <f t="shared" si="8"/>
        <v>1519.05</v>
      </c>
      <c r="D30" s="1224">
        <f t="shared" si="5"/>
        <v>1417.25</v>
      </c>
      <c r="E30" s="153">
        <f t="shared" si="9"/>
        <v>855.91</v>
      </c>
      <c r="F30" s="154">
        <f t="shared" si="9"/>
        <v>269</v>
      </c>
      <c r="G30" s="153">
        <f t="shared" si="9"/>
        <v>292.34000000000003</v>
      </c>
      <c r="H30" s="155">
        <f t="shared" si="6"/>
        <v>52</v>
      </c>
      <c r="I30" s="156">
        <v>20.399999999999999</v>
      </c>
      <c r="J30" s="157"/>
      <c r="K30" s="156">
        <v>31.6</v>
      </c>
      <c r="L30" s="155">
        <f t="shared" si="7"/>
        <v>1365.25</v>
      </c>
      <c r="M30" s="156">
        <v>835.51</v>
      </c>
      <c r="N30" s="158">
        <v>269</v>
      </c>
      <c r="O30" s="159">
        <v>260.74</v>
      </c>
      <c r="P30" s="160">
        <v>101.8</v>
      </c>
      <c r="R30" s="1603">
        <v>2017</v>
      </c>
      <c r="S30" s="1612">
        <f t="shared" ref="S30:S35" si="10">D30</f>
        <v>1417.25</v>
      </c>
      <c r="T30" s="1613">
        <f t="shared" ref="T30:T35" si="11">H30</f>
        <v>52</v>
      </c>
      <c r="U30" s="1613">
        <f t="shared" ref="U30:U35" si="12">L30</f>
        <v>1365.25</v>
      </c>
      <c r="V30" s="1614"/>
      <c r="W30" s="1615"/>
      <c r="X30" s="1615"/>
      <c r="Y30" s="1615"/>
      <c r="Z30" s="1615"/>
      <c r="AA30" s="1610"/>
      <c r="AB30" s="1615"/>
    </row>
    <row r="31" spans="2:28" s="161" customFormat="1" ht="13" x14ac:dyDescent="0.3">
      <c r="B31" s="151">
        <v>2018</v>
      </c>
      <c r="C31" s="1228">
        <f t="shared" si="8"/>
        <v>766.1594998765255</v>
      </c>
      <c r="D31" s="1223">
        <f t="shared" si="5"/>
        <v>659.1963463804035</v>
      </c>
      <c r="E31" s="135">
        <f t="shared" si="9"/>
        <v>270.7029896800878</v>
      </c>
      <c r="F31" s="136">
        <f t="shared" si="9"/>
        <v>81.554137765000007</v>
      </c>
      <c r="G31" s="135">
        <f t="shared" si="9"/>
        <v>306.93921893531569</v>
      </c>
      <c r="H31" s="138">
        <f t="shared" si="6"/>
        <v>78.454342463223497</v>
      </c>
      <c r="I31" s="135">
        <v>17.9202884984288</v>
      </c>
      <c r="J31" s="136"/>
      <c r="K31" s="135">
        <v>60.534053964794701</v>
      </c>
      <c r="L31" s="138">
        <f t="shared" si="7"/>
        <v>580.74200391718</v>
      </c>
      <c r="M31" s="135">
        <v>252.78270118165901</v>
      </c>
      <c r="N31" s="142">
        <v>81.554137765000007</v>
      </c>
      <c r="O31" s="140">
        <v>246.40516497052101</v>
      </c>
      <c r="P31" s="123">
        <v>106.963153496122</v>
      </c>
      <c r="R31" s="1603">
        <v>2018</v>
      </c>
      <c r="S31" s="1612">
        <f t="shared" si="10"/>
        <v>659.1963463804035</v>
      </c>
      <c r="T31" s="1613">
        <f t="shared" si="11"/>
        <v>78.454342463223497</v>
      </c>
      <c r="U31" s="1613">
        <f t="shared" si="12"/>
        <v>580.74200391718</v>
      </c>
      <c r="V31" s="1614"/>
      <c r="W31" s="1615"/>
      <c r="X31" s="1615"/>
      <c r="Y31" s="1615"/>
      <c r="Z31" s="1615"/>
      <c r="AA31" s="1610"/>
      <c r="AB31" s="1615"/>
    </row>
    <row r="32" spans="2:28" s="161" customFormat="1" ht="13" x14ac:dyDescent="0.3">
      <c r="B32" s="152">
        <v>2019</v>
      </c>
      <c r="C32" s="1229">
        <f t="shared" si="8"/>
        <v>709.63635261285049</v>
      </c>
      <c r="D32" s="1224">
        <f t="shared" si="5"/>
        <v>618.38349010573825</v>
      </c>
      <c r="E32" s="153">
        <f t="shared" si="9"/>
        <v>197.33050129443214</v>
      </c>
      <c r="F32" s="154">
        <f t="shared" si="9"/>
        <v>152.23425350425475</v>
      </c>
      <c r="G32" s="153">
        <f t="shared" si="9"/>
        <v>268.81873530705138</v>
      </c>
      <c r="H32" s="155">
        <f t="shared" si="6"/>
        <v>170.00447599202266</v>
      </c>
      <c r="I32" s="156">
        <v>19.748448735896869</v>
      </c>
      <c r="J32" s="157"/>
      <c r="K32" s="156">
        <v>150.2560272561258</v>
      </c>
      <c r="L32" s="155">
        <f t="shared" si="7"/>
        <v>448.37901411371558</v>
      </c>
      <c r="M32" s="156">
        <v>177.58205255853528</v>
      </c>
      <c r="N32" s="158">
        <v>152.23425350425475</v>
      </c>
      <c r="O32" s="159">
        <v>118.56270805092556</v>
      </c>
      <c r="P32" s="160">
        <v>91.252862507112198</v>
      </c>
      <c r="R32" s="1603">
        <v>2019</v>
      </c>
      <c r="S32" s="1612">
        <f t="shared" si="10"/>
        <v>618.38349010573825</v>
      </c>
      <c r="T32" s="1613">
        <f t="shared" si="11"/>
        <v>170.00447599202266</v>
      </c>
      <c r="U32" s="1613">
        <f t="shared" si="12"/>
        <v>448.37901411371558</v>
      </c>
      <c r="V32" s="1614"/>
      <c r="W32" s="1615"/>
      <c r="X32" s="1615"/>
      <c r="Y32" s="1615"/>
      <c r="Z32" s="1615"/>
      <c r="AA32" s="1610"/>
      <c r="AB32" s="1615"/>
    </row>
    <row r="33" spans="2:28" s="161" customFormat="1" ht="13" x14ac:dyDescent="0.3">
      <c r="B33" s="151">
        <v>2020</v>
      </c>
      <c r="C33" s="1228">
        <f t="shared" si="8"/>
        <v>462.48743432230538</v>
      </c>
      <c r="D33" s="1223">
        <f t="shared" si="5"/>
        <v>417.32576072679979</v>
      </c>
      <c r="E33" s="135">
        <f t="shared" si="9"/>
        <v>211.5453484929939</v>
      </c>
      <c r="F33" s="136">
        <f t="shared" si="9"/>
        <v>7.0730336626471999</v>
      </c>
      <c r="G33" s="135">
        <f t="shared" si="9"/>
        <v>198.7073785711587</v>
      </c>
      <c r="H33" s="138">
        <f t="shared" si="6"/>
        <v>174.2730185157626</v>
      </c>
      <c r="I33" s="135">
        <v>94.147276942728894</v>
      </c>
      <c r="J33" s="136"/>
      <c r="K33" s="135">
        <v>80.125741573033693</v>
      </c>
      <c r="L33" s="138">
        <f t="shared" si="7"/>
        <v>243.05274221103721</v>
      </c>
      <c r="M33" s="135">
        <v>117.398071550265</v>
      </c>
      <c r="N33" s="142">
        <v>7.0730336626471999</v>
      </c>
      <c r="O33" s="140">
        <v>118.58163699812501</v>
      </c>
      <c r="P33" s="123">
        <v>45.161673595505597</v>
      </c>
      <c r="R33" s="1603">
        <v>2020</v>
      </c>
      <c r="S33" s="1612">
        <f t="shared" si="10"/>
        <v>417.32576072679979</v>
      </c>
      <c r="T33" s="1613">
        <f t="shared" si="11"/>
        <v>174.2730185157626</v>
      </c>
      <c r="U33" s="1613">
        <f t="shared" si="12"/>
        <v>243.05274221103721</v>
      </c>
      <c r="V33" s="1614"/>
      <c r="W33" s="1615"/>
      <c r="X33" s="1615"/>
      <c r="Y33" s="1615"/>
      <c r="Z33" s="1615"/>
      <c r="AA33" s="1610"/>
      <c r="AB33" s="1615"/>
    </row>
    <row r="34" spans="2:28" s="161" customFormat="1" ht="13" x14ac:dyDescent="0.3">
      <c r="B34" s="152">
        <v>2021</v>
      </c>
      <c r="C34" s="1229">
        <f t="shared" si="8"/>
        <v>1197.7701896553369</v>
      </c>
      <c r="D34" s="1224">
        <f t="shared" si="5"/>
        <v>1111.9451584755616</v>
      </c>
      <c r="E34" s="153">
        <f t="shared" si="9"/>
        <v>203.8835508769663</v>
      </c>
      <c r="F34" s="154">
        <f t="shared" si="9"/>
        <v>506.98487</v>
      </c>
      <c r="G34" s="153">
        <f t="shared" si="9"/>
        <v>401.07673759859517</v>
      </c>
      <c r="H34" s="155">
        <f t="shared" si="6"/>
        <v>135.66263258426929</v>
      </c>
      <c r="I34" s="156">
        <v>12.6754584269663</v>
      </c>
      <c r="J34" s="157"/>
      <c r="K34" s="156">
        <v>122.987174157303</v>
      </c>
      <c r="L34" s="155">
        <f t="shared" si="7"/>
        <v>976.28252589129215</v>
      </c>
      <c r="M34" s="156">
        <v>191.20809245000001</v>
      </c>
      <c r="N34" s="158">
        <v>506.98487</v>
      </c>
      <c r="O34" s="159">
        <v>278.08956344129217</v>
      </c>
      <c r="P34" s="160">
        <v>85.825031179775266</v>
      </c>
      <c r="R34" s="1603">
        <v>2021</v>
      </c>
      <c r="S34" s="1612">
        <f t="shared" si="10"/>
        <v>1111.9451584755616</v>
      </c>
      <c r="T34" s="1613">
        <f t="shared" si="11"/>
        <v>135.66263258426929</v>
      </c>
      <c r="U34" s="1613">
        <f t="shared" si="12"/>
        <v>976.28252589129215</v>
      </c>
      <c r="V34" s="1614"/>
      <c r="W34" s="1615"/>
      <c r="X34" s="1615"/>
      <c r="Y34" s="1615"/>
      <c r="Z34" s="1615"/>
      <c r="AA34" s="1610"/>
      <c r="AB34" s="1615"/>
    </row>
    <row r="35" spans="2:28" s="161" customFormat="1" ht="13" x14ac:dyDescent="0.3">
      <c r="B35" s="1193" t="s">
        <v>165</v>
      </c>
      <c r="C35" s="1228">
        <f t="shared" si="8"/>
        <v>1239.5770826273581</v>
      </c>
      <c r="D35" s="1223">
        <f t="shared" si="5"/>
        <v>1136.502731814563</v>
      </c>
      <c r="E35" s="135">
        <f t="shared" si="9"/>
        <v>602.25133748775704</v>
      </c>
      <c r="F35" s="136">
        <f t="shared" si="9"/>
        <v>157.39741952</v>
      </c>
      <c r="G35" s="135">
        <f t="shared" si="9"/>
        <v>376.85397480680604</v>
      </c>
      <c r="H35" s="138">
        <f t="shared" si="6"/>
        <v>161.280893828318</v>
      </c>
      <c r="I35" s="135">
        <v>15.078839837756901</v>
      </c>
      <c r="J35" s="136"/>
      <c r="K35" s="135">
        <v>146.2020539905611</v>
      </c>
      <c r="L35" s="138">
        <f t="shared" si="7"/>
        <v>975.22183798624508</v>
      </c>
      <c r="M35" s="135">
        <v>587.1724976500002</v>
      </c>
      <c r="N35" s="142">
        <v>157.39741952</v>
      </c>
      <c r="O35" s="140">
        <v>230.65192081624491</v>
      </c>
      <c r="P35" s="1209">
        <v>103.07435081279498</v>
      </c>
      <c r="R35" s="1603">
        <v>2022</v>
      </c>
      <c r="S35" s="1612">
        <f t="shared" si="10"/>
        <v>1136.502731814563</v>
      </c>
      <c r="T35" s="1613">
        <f t="shared" si="11"/>
        <v>161.280893828318</v>
      </c>
      <c r="U35" s="1613">
        <f t="shared" si="12"/>
        <v>975.22183798624508</v>
      </c>
      <c r="V35" s="1614"/>
      <c r="W35" s="1615"/>
      <c r="X35" s="1615"/>
      <c r="Y35" s="1615"/>
      <c r="Z35" s="1615"/>
      <c r="AA35" s="1610"/>
      <c r="AB35" s="1615"/>
    </row>
    <row r="36" spans="2:28" s="161" customFormat="1" ht="13.5" thickBot="1" x14ac:dyDescent="0.35">
      <c r="B36" s="162"/>
      <c r="C36" s="1230"/>
      <c r="D36" s="1225"/>
      <c r="E36" s="163"/>
      <c r="F36" s="164"/>
      <c r="G36" s="163"/>
      <c r="H36" s="165"/>
      <c r="I36" s="163"/>
      <c r="J36" s="164"/>
      <c r="K36" s="163"/>
      <c r="L36" s="165"/>
      <c r="M36" s="163"/>
      <c r="N36" s="166"/>
      <c r="O36" s="167"/>
      <c r="P36" s="168"/>
      <c r="R36" s="1616"/>
      <c r="S36" s="1612"/>
      <c r="T36" s="1613"/>
      <c r="U36" s="1613"/>
      <c r="V36" s="1617"/>
      <c r="W36" s="1615"/>
      <c r="X36" s="1615"/>
      <c r="Y36" s="1615"/>
      <c r="Z36" s="1615"/>
      <c r="AA36" s="1615"/>
      <c r="AB36" s="1615"/>
    </row>
    <row r="37" spans="2:28" ht="18" customHeight="1" x14ac:dyDescent="0.25">
      <c r="B37" s="1216" t="s">
        <v>161</v>
      </c>
      <c r="C37" s="1427">
        <f>(C35/C34)-1</f>
        <v>3.4903935106325612E-2</v>
      </c>
      <c r="D37" s="1428">
        <f t="shared" ref="D37:P37" si="13">(D35/D34)-1</f>
        <v>2.2085237884095887E-2</v>
      </c>
      <c r="E37" s="1211">
        <f t="shared" si="13"/>
        <v>1.9538986097568318</v>
      </c>
      <c r="F37" s="1212">
        <f t="shared" si="13"/>
        <v>-0.68954217604166379</v>
      </c>
      <c r="G37" s="1211">
        <f t="shared" si="13"/>
        <v>-6.039433485178014E-2</v>
      </c>
      <c r="H37" s="1429">
        <f t="shared" si="13"/>
        <v>0.18883800760784641</v>
      </c>
      <c r="I37" s="1211">
        <f t="shared" si="13"/>
        <v>0.18960903265459383</v>
      </c>
      <c r="J37" s="1430"/>
      <c r="K37" s="1211">
        <f t="shared" si="13"/>
        <v>0.18875854325724895</v>
      </c>
      <c r="L37" s="1431">
        <f t="shared" si="13"/>
        <v>-1.0864558945974379E-3</v>
      </c>
      <c r="M37" s="1211">
        <f t="shared" si="13"/>
        <v>2.0708558938400734</v>
      </c>
      <c r="N37" s="1212">
        <f t="shared" si="13"/>
        <v>-0.68954217604166379</v>
      </c>
      <c r="O37" s="1213">
        <f t="shared" si="13"/>
        <v>-0.17058404507532654</v>
      </c>
      <c r="P37" s="1214">
        <f t="shared" si="13"/>
        <v>0.20098238702515636</v>
      </c>
    </row>
    <row r="38" spans="2:28" ht="18" customHeight="1" x14ac:dyDescent="0.25">
      <c r="B38" s="1217" t="s">
        <v>162</v>
      </c>
      <c r="C38" s="1432">
        <f>((C35/C30)^(1/5))-1</f>
        <v>-3.9847330162784522E-2</v>
      </c>
      <c r="D38" s="794">
        <f t="shared" ref="D38:P38" si="14">((D35/D30)^(1/5))-1</f>
        <v>-4.3191987202267801E-2</v>
      </c>
      <c r="E38" s="792">
        <f t="shared" si="14"/>
        <v>-6.7884060681799641E-2</v>
      </c>
      <c r="F38" s="793">
        <f t="shared" si="14"/>
        <v>-0.10164277366946128</v>
      </c>
      <c r="G38" s="792">
        <f t="shared" si="14"/>
        <v>5.2099881125943881E-2</v>
      </c>
      <c r="H38" s="1433">
        <f t="shared" si="14"/>
        <v>0.25405306973150155</v>
      </c>
      <c r="I38" s="792">
        <f t="shared" si="14"/>
        <v>-5.8657748409847499E-2</v>
      </c>
      <c r="J38" s="1434"/>
      <c r="K38" s="792">
        <f t="shared" si="14"/>
        <v>0.35848009170490847</v>
      </c>
      <c r="L38" s="1433">
        <f t="shared" si="14"/>
        <v>-6.5071827925417325E-2</v>
      </c>
      <c r="M38" s="792">
        <f t="shared" si="14"/>
        <v>-6.8113949714647015E-2</v>
      </c>
      <c r="N38" s="793">
        <f t="shared" si="14"/>
        <v>-0.10164277366946128</v>
      </c>
      <c r="O38" s="794">
        <f t="shared" si="14"/>
        <v>-2.4224559878970653E-2</v>
      </c>
      <c r="P38" s="1215">
        <f t="shared" si="14"/>
        <v>2.4911931286033528E-3</v>
      </c>
    </row>
    <row r="39" spans="2:28" ht="18" customHeight="1" x14ac:dyDescent="0.25">
      <c r="B39" s="1218" t="s">
        <v>163</v>
      </c>
      <c r="C39" s="1435">
        <f>(C35/C25)-1</f>
        <v>-0.54742205388638909</v>
      </c>
      <c r="D39" s="797">
        <f t="shared" ref="D39:P39" si="15">(D35/D25)-1</f>
        <v>-0.56103380511405154</v>
      </c>
      <c r="E39" s="795">
        <f t="shared" si="15"/>
        <v>-0.66192428902871059</v>
      </c>
      <c r="F39" s="796">
        <f t="shared" si="15"/>
        <v>-0.66530414544835947</v>
      </c>
      <c r="G39" s="795">
        <f t="shared" si="15"/>
        <v>0.11705383916493206</v>
      </c>
      <c r="H39" s="818">
        <f t="shared" si="15"/>
        <v>0.32607232043542744</v>
      </c>
      <c r="I39" s="795">
        <f t="shared" si="15"/>
        <v>-0.57259524269396533</v>
      </c>
      <c r="J39" s="1436"/>
      <c r="K39" s="795">
        <f t="shared" si="15"/>
        <v>0.69327049083957104</v>
      </c>
      <c r="L39" s="818">
        <f t="shared" si="15"/>
        <v>-0.60476064151926345</v>
      </c>
      <c r="M39" s="795">
        <f t="shared" si="15"/>
        <v>-0.66372915428360668</v>
      </c>
      <c r="N39" s="796">
        <f t="shared" si="15"/>
        <v>-0.66530414544835947</v>
      </c>
      <c r="O39" s="797">
        <f t="shared" si="15"/>
        <v>-8.1145652971761351E-2</v>
      </c>
      <c r="P39" s="798">
        <f t="shared" si="15"/>
        <v>-0.31229303998188307</v>
      </c>
      <c r="R39" s="1618"/>
    </row>
    <row r="40" spans="2:28" ht="18" customHeight="1" thickBot="1" x14ac:dyDescent="0.3">
      <c r="B40" s="1219" t="s">
        <v>164</v>
      </c>
      <c r="C40" s="1437">
        <f>((C35/C25)^(1/10))-1</f>
        <v>-7.6218333942308258E-2</v>
      </c>
      <c r="D40" s="801">
        <f t="shared" ref="D40:O40" si="16">((D35/D25)^(1/10))-1</f>
        <v>-7.9035038448700079E-2</v>
      </c>
      <c r="E40" s="799">
        <f t="shared" si="16"/>
        <v>-0.1027749362122905</v>
      </c>
      <c r="F40" s="800">
        <f t="shared" si="16"/>
        <v>-0.10367598333924311</v>
      </c>
      <c r="G40" s="799">
        <f t="shared" si="16"/>
        <v>1.1130965165230933E-2</v>
      </c>
      <c r="H40" s="1438">
        <f t="shared" si="16"/>
        <v>2.8624160759318951E-2</v>
      </c>
      <c r="I40" s="799">
        <f t="shared" si="16"/>
        <v>-8.1489902146956616E-2</v>
      </c>
      <c r="J40" s="1439"/>
      <c r="K40" s="799">
        <f t="shared" si="16"/>
        <v>5.407772053906168E-2</v>
      </c>
      <c r="L40" s="1438">
        <f t="shared" si="16"/>
        <v>-8.8648277880240323E-2</v>
      </c>
      <c r="M40" s="799">
        <f t="shared" si="16"/>
        <v>-0.10325508721196919</v>
      </c>
      <c r="N40" s="800">
        <f t="shared" si="16"/>
        <v>-0.10367598333924311</v>
      </c>
      <c r="O40" s="801">
        <f t="shared" si="16"/>
        <v>-8.4270575882611221E-3</v>
      </c>
      <c r="P40" s="802">
        <f>((P35/P25)^(1/10))-1</f>
        <v>-3.6747062779485584E-2</v>
      </c>
      <c r="R40" s="1619"/>
    </row>
    <row r="41" spans="2:28" ht="5.25" customHeight="1" x14ac:dyDescent="0.25">
      <c r="B41" s="169"/>
      <c r="C41" s="5"/>
      <c r="D41" s="5"/>
      <c r="R41" s="1620"/>
    </row>
    <row r="42" spans="2:28" x14ac:dyDescent="0.25">
      <c r="B42" s="170" t="s">
        <v>60</v>
      </c>
      <c r="C42" s="170"/>
      <c r="D42" s="5"/>
      <c r="R42" s="1620"/>
    </row>
    <row r="43" spans="2:28" x14ac:dyDescent="0.25">
      <c r="B43" s="5" t="s">
        <v>61</v>
      </c>
      <c r="C43" s="5"/>
      <c r="D43" s="5"/>
    </row>
    <row r="44" spans="2:28" ht="14.5" x14ac:dyDescent="0.25">
      <c r="B44" s="5" t="s">
        <v>166</v>
      </c>
      <c r="C44" s="171"/>
      <c r="D44" s="171"/>
    </row>
    <row r="45" spans="2:28" ht="20" x14ac:dyDescent="0.4">
      <c r="B45" s="111"/>
      <c r="C45" s="111"/>
      <c r="D45" s="172"/>
    </row>
    <row r="47" spans="2:28" ht="13" x14ac:dyDescent="0.3">
      <c r="S47" s="1615" t="s">
        <v>62</v>
      </c>
      <c r="T47" s="1613" t="s">
        <v>63</v>
      </c>
      <c r="U47" s="1613" t="s">
        <v>64</v>
      </c>
      <c r="V47" s="1613" t="s">
        <v>65</v>
      </c>
    </row>
    <row r="48" spans="2:28" x14ac:dyDescent="0.25">
      <c r="R48" s="1603">
        <v>1995</v>
      </c>
      <c r="S48" s="1612">
        <f>H8</f>
        <v>154.712999</v>
      </c>
      <c r="T48" s="1612">
        <f>I8</f>
        <v>38.418108999999994</v>
      </c>
      <c r="U48" s="1612">
        <f>J8</f>
        <v>11.412649999999999</v>
      </c>
      <c r="V48" s="1612">
        <f>K8</f>
        <v>104.88224000000001</v>
      </c>
    </row>
    <row r="49" spans="18:22" x14ac:dyDescent="0.25">
      <c r="R49" s="1603">
        <v>1996</v>
      </c>
      <c r="S49" s="1612">
        <f t="shared" ref="S49:V68" si="17">H9</f>
        <v>176.97620699999999</v>
      </c>
      <c r="T49" s="1612">
        <f t="shared" si="17"/>
        <v>65.267436999999987</v>
      </c>
      <c r="U49" s="1612">
        <f t="shared" si="17"/>
        <v>16.600999999999999</v>
      </c>
      <c r="V49" s="1612">
        <f t="shared" si="17"/>
        <v>95.107770000000002</v>
      </c>
    </row>
    <row r="50" spans="18:22" x14ac:dyDescent="0.25">
      <c r="R50" s="1603">
        <v>1997</v>
      </c>
      <c r="S50" s="1612">
        <f t="shared" si="17"/>
        <v>207.88996599999999</v>
      </c>
      <c r="T50" s="1612">
        <f t="shared" si="17"/>
        <v>103.23717600000001</v>
      </c>
      <c r="U50" s="1612">
        <f t="shared" si="17"/>
        <v>32.720779999999998</v>
      </c>
      <c r="V50" s="1612">
        <f t="shared" si="17"/>
        <v>71.932009999999991</v>
      </c>
    </row>
    <row r="51" spans="18:22" x14ac:dyDescent="0.25">
      <c r="R51" s="1603">
        <v>1998</v>
      </c>
      <c r="S51" s="1612">
        <f t="shared" si="17"/>
        <v>202.79134299999998</v>
      </c>
      <c r="T51" s="1612">
        <f t="shared" si="17"/>
        <v>114.539113</v>
      </c>
      <c r="U51" s="1612">
        <f t="shared" si="17"/>
        <v>46.155269999999994</v>
      </c>
      <c r="V51" s="1612">
        <f t="shared" si="17"/>
        <v>42.096959999999996</v>
      </c>
    </row>
    <row r="52" spans="18:22" x14ac:dyDescent="0.25">
      <c r="R52" s="1603">
        <v>1999</v>
      </c>
      <c r="S52" s="1612">
        <f t="shared" si="17"/>
        <v>201.72455901183432</v>
      </c>
      <c r="T52" s="1612">
        <f t="shared" si="17"/>
        <v>136.331909</v>
      </c>
      <c r="U52" s="1612">
        <f t="shared" si="17"/>
        <v>31.317900000000002</v>
      </c>
      <c r="V52" s="1612">
        <f t="shared" si="17"/>
        <v>34.074750011834318</v>
      </c>
    </row>
    <row r="53" spans="18:22" x14ac:dyDescent="0.25">
      <c r="R53" s="1603">
        <v>2000</v>
      </c>
      <c r="S53" s="1612">
        <f t="shared" si="17"/>
        <v>165.994</v>
      </c>
      <c r="T53" s="1612">
        <f t="shared" si="17"/>
        <v>123.21599999999999</v>
      </c>
      <c r="U53" s="1612">
        <f t="shared" si="17"/>
        <v>26.69</v>
      </c>
      <c r="V53" s="1612">
        <f t="shared" si="17"/>
        <v>16.088000000000001</v>
      </c>
    </row>
    <row r="54" spans="18:22" x14ac:dyDescent="0.25">
      <c r="R54" s="1603">
        <v>2001</v>
      </c>
      <c r="S54" s="1612">
        <f t="shared" si="17"/>
        <v>95.058679999999995</v>
      </c>
      <c r="T54" s="1612">
        <f t="shared" si="17"/>
        <v>76.277079999999998</v>
      </c>
      <c r="U54" s="1612">
        <f t="shared" si="17"/>
        <v>3.1160000000000001</v>
      </c>
      <c r="V54" s="1612">
        <f t="shared" si="17"/>
        <v>15.6656</v>
      </c>
    </row>
    <row r="55" spans="18:22" x14ac:dyDescent="0.25">
      <c r="R55" s="1607">
        <v>2002</v>
      </c>
      <c r="S55" s="1612">
        <f t="shared" si="17"/>
        <v>109.85599999999999</v>
      </c>
      <c r="T55" s="1612">
        <f t="shared" si="17"/>
        <v>77.798000000000002</v>
      </c>
      <c r="U55" s="1612">
        <f t="shared" si="17"/>
        <v>0.377</v>
      </c>
      <c r="V55" s="1612">
        <f t="shared" si="17"/>
        <v>31.681000000000001</v>
      </c>
    </row>
    <row r="56" spans="18:22" x14ac:dyDescent="0.25">
      <c r="R56" s="1603">
        <v>2003</v>
      </c>
      <c r="S56" s="1612">
        <f t="shared" si="17"/>
        <v>110.83199999999999</v>
      </c>
      <c r="T56" s="1612">
        <f t="shared" si="17"/>
        <v>67.105000000000004</v>
      </c>
      <c r="U56" s="1612">
        <f t="shared" si="17"/>
        <v>0</v>
      </c>
      <c r="V56" s="1612">
        <f t="shared" si="17"/>
        <v>43.726999999999997</v>
      </c>
    </row>
    <row r="57" spans="18:22" x14ac:dyDescent="0.25">
      <c r="R57" s="1603">
        <v>2004</v>
      </c>
      <c r="S57" s="1612">
        <f t="shared" si="17"/>
        <v>116.143</v>
      </c>
      <c r="T57" s="1612">
        <f t="shared" si="17"/>
        <v>67.001000000000005</v>
      </c>
      <c r="U57" s="1612">
        <f t="shared" si="17"/>
        <v>0</v>
      </c>
      <c r="V57" s="1612">
        <f t="shared" si="17"/>
        <v>49.142000000000003</v>
      </c>
    </row>
    <row r="58" spans="18:22" x14ac:dyDescent="0.25">
      <c r="R58" s="1603">
        <v>2005</v>
      </c>
      <c r="S58" s="1612">
        <f t="shared" si="17"/>
        <v>117.43026999999999</v>
      </c>
      <c r="T58" s="1612">
        <f t="shared" si="17"/>
        <v>53.766709999999996</v>
      </c>
      <c r="U58" s="1612">
        <f t="shared" si="17"/>
        <v>0</v>
      </c>
      <c r="V58" s="1612">
        <f t="shared" si="17"/>
        <v>63.663559999999997</v>
      </c>
    </row>
    <row r="59" spans="18:22" x14ac:dyDescent="0.25">
      <c r="R59" s="1603">
        <v>2006</v>
      </c>
      <c r="S59" s="1612">
        <f t="shared" si="17"/>
        <v>95.745000000000005</v>
      </c>
      <c r="T59" s="1612">
        <f t="shared" si="17"/>
        <v>29.198</v>
      </c>
      <c r="U59" s="1612">
        <f t="shared" si="17"/>
        <v>0</v>
      </c>
      <c r="V59" s="1612">
        <f t="shared" si="17"/>
        <v>66.546999999999997</v>
      </c>
    </row>
    <row r="60" spans="18:22" x14ac:dyDescent="0.25">
      <c r="R60" s="1603">
        <v>2007</v>
      </c>
      <c r="S60" s="1612">
        <f t="shared" si="17"/>
        <v>139.72556</v>
      </c>
      <c r="T60" s="1612">
        <f t="shared" si="17"/>
        <v>73.499299999999991</v>
      </c>
      <c r="U60" s="1612">
        <f t="shared" si="17"/>
        <v>0</v>
      </c>
      <c r="V60" s="1612">
        <f t="shared" si="17"/>
        <v>66.226260000000011</v>
      </c>
    </row>
    <row r="61" spans="18:22" x14ac:dyDescent="0.25">
      <c r="R61" s="1603">
        <v>2008</v>
      </c>
      <c r="S61" s="1612">
        <f t="shared" si="17"/>
        <v>128.88</v>
      </c>
      <c r="T61" s="1612">
        <f t="shared" si="17"/>
        <v>26.5</v>
      </c>
      <c r="U61" s="1612">
        <f t="shared" si="17"/>
        <v>0</v>
      </c>
      <c r="V61" s="1612">
        <f t="shared" si="17"/>
        <v>102.38</v>
      </c>
    </row>
    <row r="62" spans="18:22" x14ac:dyDescent="0.25">
      <c r="R62" s="1603">
        <v>2009</v>
      </c>
      <c r="S62" s="1612">
        <f t="shared" si="17"/>
        <v>250.28899999999999</v>
      </c>
      <c r="T62" s="1612">
        <f t="shared" si="17"/>
        <v>88.849000000000004</v>
      </c>
      <c r="U62" s="1612">
        <f t="shared" si="17"/>
        <v>0</v>
      </c>
      <c r="V62" s="1612">
        <f t="shared" si="17"/>
        <v>161.44</v>
      </c>
    </row>
    <row r="63" spans="18:22" x14ac:dyDescent="0.25">
      <c r="R63" s="1603">
        <v>2010</v>
      </c>
      <c r="S63" s="1612">
        <f t="shared" si="17"/>
        <v>165.61058222614841</v>
      </c>
      <c r="T63" s="1612">
        <f t="shared" si="17"/>
        <v>25.113882226148409</v>
      </c>
      <c r="U63" s="1612">
        <f t="shared" si="17"/>
        <v>0</v>
      </c>
      <c r="V63" s="1612">
        <f t="shared" si="17"/>
        <v>140.4967</v>
      </c>
    </row>
    <row r="64" spans="18:22" x14ac:dyDescent="0.25">
      <c r="R64" s="1603">
        <v>2011</v>
      </c>
      <c r="S64" s="1612">
        <f t="shared" si="17"/>
        <v>107</v>
      </c>
      <c r="T64" s="1612">
        <f t="shared" si="17"/>
        <v>28.6</v>
      </c>
      <c r="U64" s="1612">
        <f t="shared" si="17"/>
        <v>0</v>
      </c>
      <c r="V64" s="1612">
        <f t="shared" si="17"/>
        <v>78.400000000000006</v>
      </c>
    </row>
    <row r="65" spans="2:22" x14ac:dyDescent="0.25">
      <c r="R65" s="1603">
        <v>2012</v>
      </c>
      <c r="S65" s="1612">
        <f t="shared" si="17"/>
        <v>121.623</v>
      </c>
      <c r="T65" s="1612">
        <f t="shared" si="17"/>
        <v>35.28</v>
      </c>
      <c r="U65" s="1612">
        <f t="shared" si="17"/>
        <v>0</v>
      </c>
      <c r="V65" s="1612">
        <f t="shared" si="17"/>
        <v>86.343000000000004</v>
      </c>
    </row>
    <row r="66" spans="2:22" x14ac:dyDescent="0.25">
      <c r="R66" s="1603">
        <v>2013</v>
      </c>
      <c r="S66" s="1612">
        <f t="shared" si="17"/>
        <v>209.3229</v>
      </c>
      <c r="T66" s="1612">
        <f t="shared" si="17"/>
        <v>65.214799999999997</v>
      </c>
      <c r="U66" s="1612">
        <f t="shared" si="17"/>
        <v>0</v>
      </c>
      <c r="V66" s="1612">
        <f t="shared" si="17"/>
        <v>144.10810000000001</v>
      </c>
    </row>
    <row r="67" spans="2:22" x14ac:dyDescent="0.25">
      <c r="R67" s="1603">
        <v>2014</v>
      </c>
      <c r="S67" s="1612">
        <f t="shared" si="17"/>
        <v>178.33149350396769</v>
      </c>
      <c r="T67" s="1612">
        <f t="shared" si="17"/>
        <v>62.090519999999998</v>
      </c>
      <c r="U67" s="1612">
        <f t="shared" si="17"/>
        <v>0</v>
      </c>
      <c r="V67" s="1612">
        <f t="shared" si="17"/>
        <v>116.24097350396768</v>
      </c>
    </row>
    <row r="68" spans="2:22" x14ac:dyDescent="0.25">
      <c r="R68" s="1607">
        <v>2015</v>
      </c>
      <c r="S68" s="1612">
        <f t="shared" si="17"/>
        <v>122.07089438088975</v>
      </c>
      <c r="T68" s="1612">
        <f t="shared" si="17"/>
        <v>43.02659068965518</v>
      </c>
      <c r="U68" s="1612">
        <f t="shared" si="17"/>
        <v>0</v>
      </c>
      <c r="V68" s="1612">
        <f t="shared" si="17"/>
        <v>79.044303691234575</v>
      </c>
    </row>
    <row r="69" spans="2:22" ht="11.25" customHeight="1" x14ac:dyDescent="0.25"/>
    <row r="70" spans="2:22" ht="14" x14ac:dyDescent="0.3">
      <c r="Q70" s="173"/>
      <c r="S70" s="1621" t="s">
        <v>67</v>
      </c>
      <c r="T70" s="1612" t="s">
        <v>63</v>
      </c>
      <c r="U70" s="1612" t="s">
        <v>64</v>
      </c>
      <c r="V70" s="1612" t="s">
        <v>65</v>
      </c>
    </row>
    <row r="71" spans="2:22" x14ac:dyDescent="0.25">
      <c r="B71" s="1311" t="s">
        <v>66</v>
      </c>
      <c r="C71" s="5"/>
      <c r="R71" s="1603">
        <v>1995</v>
      </c>
      <c r="S71" s="1612">
        <f>L8</f>
        <v>66.165630000000007</v>
      </c>
      <c r="T71" s="1612">
        <f>M8</f>
        <v>7.6486299999999998</v>
      </c>
      <c r="U71" s="1612">
        <f>N8</f>
        <v>0</v>
      </c>
      <c r="V71" s="1612">
        <f>O8</f>
        <v>58.517000000000003</v>
      </c>
    </row>
    <row r="72" spans="2:22" x14ac:dyDescent="0.25">
      <c r="R72" s="1603">
        <v>1996</v>
      </c>
      <c r="S72" s="1612">
        <f t="shared" ref="S72:V91" si="18">L9</f>
        <v>195.92117000000002</v>
      </c>
      <c r="T72" s="1612">
        <f t="shared" si="18"/>
        <v>97.751460000000009</v>
      </c>
      <c r="U72" s="1612">
        <f t="shared" si="18"/>
        <v>0</v>
      </c>
      <c r="V72" s="1612">
        <f t="shared" si="18"/>
        <v>98.169710000000009</v>
      </c>
    </row>
    <row r="73" spans="2:22" x14ac:dyDescent="0.25">
      <c r="R73" s="1603">
        <v>1997</v>
      </c>
      <c r="S73" s="1612">
        <f t="shared" si="18"/>
        <v>339.73591500000003</v>
      </c>
      <c r="T73" s="1612">
        <f t="shared" si="18"/>
        <v>240.20695500000002</v>
      </c>
      <c r="U73" s="1612">
        <f t="shared" si="18"/>
        <v>0</v>
      </c>
      <c r="V73" s="1612">
        <f t="shared" si="18"/>
        <v>99.528960000000012</v>
      </c>
    </row>
    <row r="74" spans="2:22" x14ac:dyDescent="0.25">
      <c r="R74" s="1603">
        <v>1998</v>
      </c>
      <c r="S74" s="1612">
        <f t="shared" si="18"/>
        <v>358.72008800000003</v>
      </c>
      <c r="T74" s="1612">
        <f t="shared" si="18"/>
        <v>250.824128</v>
      </c>
      <c r="U74" s="1612">
        <f t="shared" si="18"/>
        <v>13.488</v>
      </c>
      <c r="V74" s="1612">
        <f t="shared" si="18"/>
        <v>94.407960000000003</v>
      </c>
    </row>
    <row r="75" spans="2:22" x14ac:dyDescent="0.25">
      <c r="R75" s="1603">
        <v>1999</v>
      </c>
      <c r="S75" s="1612">
        <f t="shared" si="18"/>
        <v>507.81466899999998</v>
      </c>
      <c r="T75" s="1612">
        <f t="shared" si="18"/>
        <v>280.900419</v>
      </c>
      <c r="U75" s="1612">
        <f t="shared" si="18"/>
        <v>139.48872</v>
      </c>
      <c r="V75" s="1612">
        <f t="shared" si="18"/>
        <v>87.425529999999995</v>
      </c>
    </row>
    <row r="76" spans="2:22" x14ac:dyDescent="0.25">
      <c r="R76" s="1603">
        <v>2000</v>
      </c>
      <c r="S76" s="1612">
        <f t="shared" si="18"/>
        <v>439.80900000000003</v>
      </c>
      <c r="T76" s="1612">
        <f t="shared" si="18"/>
        <v>214.44200000000001</v>
      </c>
      <c r="U76" s="1612">
        <f t="shared" si="18"/>
        <v>102.249</v>
      </c>
      <c r="V76" s="1612">
        <f t="shared" si="18"/>
        <v>123.11799999999999</v>
      </c>
    </row>
    <row r="77" spans="2:22" x14ac:dyDescent="0.25">
      <c r="R77" s="1603">
        <v>2001</v>
      </c>
      <c r="S77" s="1612">
        <f t="shared" si="18"/>
        <v>210.83829</v>
      </c>
      <c r="T77" s="1612">
        <f t="shared" si="18"/>
        <v>33.495100000000001</v>
      </c>
      <c r="U77" s="1612">
        <f t="shared" si="18"/>
        <v>58.627000000000002</v>
      </c>
      <c r="V77" s="1612">
        <f t="shared" si="18"/>
        <v>118.71619</v>
      </c>
    </row>
    <row r="78" spans="2:22" x14ac:dyDescent="0.25">
      <c r="R78" s="1603">
        <v>2002</v>
      </c>
      <c r="S78" s="1612">
        <f t="shared" si="18"/>
        <v>132.34300000000002</v>
      </c>
      <c r="T78" s="1612">
        <f t="shared" si="18"/>
        <v>30.042000000000002</v>
      </c>
      <c r="U78" s="1612">
        <f t="shared" si="18"/>
        <v>37.28</v>
      </c>
      <c r="V78" s="1612">
        <f t="shared" si="18"/>
        <v>65.021000000000001</v>
      </c>
    </row>
    <row r="79" spans="2:22" x14ac:dyDescent="0.25">
      <c r="R79" s="1603">
        <v>2003</v>
      </c>
      <c r="S79" s="1612">
        <f t="shared" si="18"/>
        <v>81.125</v>
      </c>
      <c r="T79" s="1612">
        <f t="shared" si="18"/>
        <v>20.059999999999999</v>
      </c>
      <c r="U79" s="1612">
        <f t="shared" si="18"/>
        <v>12.826000000000001</v>
      </c>
      <c r="V79" s="1612">
        <f t="shared" si="18"/>
        <v>48.238999999999997</v>
      </c>
    </row>
    <row r="80" spans="2:22" x14ac:dyDescent="0.25">
      <c r="R80" s="1603">
        <v>2004</v>
      </c>
      <c r="S80" s="1612">
        <f t="shared" si="18"/>
        <v>168.55199999999999</v>
      </c>
      <c r="T80" s="1612">
        <f t="shared" si="18"/>
        <v>92.564999999999998</v>
      </c>
      <c r="U80" s="1612">
        <f t="shared" si="18"/>
        <v>24.366</v>
      </c>
      <c r="V80" s="1612">
        <f t="shared" si="18"/>
        <v>51.621000000000002</v>
      </c>
    </row>
    <row r="81" spans="18:28" x14ac:dyDescent="0.25">
      <c r="R81" s="1603">
        <v>2005</v>
      </c>
      <c r="S81" s="1612">
        <f t="shared" si="18"/>
        <v>231.06162000000003</v>
      </c>
      <c r="T81" s="1612">
        <f t="shared" si="18"/>
        <v>139.72464000000002</v>
      </c>
      <c r="U81" s="1612">
        <f t="shared" si="18"/>
        <v>20.633900000000001</v>
      </c>
      <c r="V81" s="1612">
        <f t="shared" si="18"/>
        <v>70.70308</v>
      </c>
    </row>
    <row r="82" spans="18:28" x14ac:dyDescent="0.25">
      <c r="R82" s="1603">
        <v>2006</v>
      </c>
      <c r="S82" s="1612">
        <f t="shared" si="18"/>
        <v>350.459</v>
      </c>
      <c r="T82" s="1612">
        <f t="shared" si="18"/>
        <v>260.37700000000001</v>
      </c>
      <c r="U82" s="1612">
        <f t="shared" si="18"/>
        <v>16.542999999999999</v>
      </c>
      <c r="V82" s="1612">
        <f t="shared" si="18"/>
        <v>73.539000000000001</v>
      </c>
    </row>
    <row r="83" spans="18:28" x14ac:dyDescent="0.25">
      <c r="R83" s="1603">
        <v>2007</v>
      </c>
      <c r="S83" s="1612">
        <f t="shared" si="18"/>
        <v>399.34757000000002</v>
      </c>
      <c r="T83" s="1612">
        <f t="shared" si="18"/>
        <v>244.53100000000001</v>
      </c>
      <c r="U83" s="1612">
        <f t="shared" si="18"/>
        <v>69.635899999999992</v>
      </c>
      <c r="V83" s="1612">
        <f t="shared" si="18"/>
        <v>85.180669999999992</v>
      </c>
    </row>
    <row r="84" spans="18:28" x14ac:dyDescent="0.25">
      <c r="R84" s="1603">
        <v>2008</v>
      </c>
      <c r="S84" s="1612">
        <f t="shared" si="18"/>
        <v>633.64</v>
      </c>
      <c r="T84" s="1612">
        <f t="shared" si="18"/>
        <v>457.01</v>
      </c>
      <c r="U84" s="1612">
        <f t="shared" si="18"/>
        <v>43.1</v>
      </c>
      <c r="V84" s="1612">
        <f t="shared" si="18"/>
        <v>133.53</v>
      </c>
    </row>
    <row r="85" spans="18:28" x14ac:dyDescent="0.25">
      <c r="R85" s="1603">
        <v>2009</v>
      </c>
      <c r="S85" s="1612">
        <f t="shared" si="18"/>
        <v>741.83071999999993</v>
      </c>
      <c r="T85" s="1612">
        <f t="shared" si="18"/>
        <v>359.53429999999997</v>
      </c>
      <c r="U85" s="1612">
        <f t="shared" si="18"/>
        <v>254.363</v>
      </c>
      <c r="V85" s="1612">
        <f t="shared" si="18"/>
        <v>127.93342</v>
      </c>
    </row>
    <row r="86" spans="18:28" x14ac:dyDescent="0.25">
      <c r="R86" s="1603">
        <v>2010</v>
      </c>
      <c r="S86" s="1612">
        <f t="shared" si="18"/>
        <v>978.75120000000004</v>
      </c>
      <c r="T86" s="1612">
        <f t="shared" si="18"/>
        <v>533.51949999999999</v>
      </c>
      <c r="U86" s="1612">
        <f t="shared" si="18"/>
        <v>332.55720000000002</v>
      </c>
      <c r="V86" s="1612">
        <f t="shared" si="18"/>
        <v>112.67449999999999</v>
      </c>
    </row>
    <row r="87" spans="18:28" x14ac:dyDescent="0.25">
      <c r="R87" s="1603">
        <v>2011</v>
      </c>
      <c r="S87" s="1612">
        <f t="shared" si="18"/>
        <v>1641.7</v>
      </c>
      <c r="T87" s="1612">
        <f t="shared" si="18"/>
        <v>1212.2</v>
      </c>
      <c r="U87" s="1612">
        <f t="shared" si="18"/>
        <v>278.5</v>
      </c>
      <c r="V87" s="1612">
        <f t="shared" si="18"/>
        <v>151</v>
      </c>
    </row>
    <row r="88" spans="18:28" x14ac:dyDescent="0.25">
      <c r="R88" s="1603">
        <v>2012</v>
      </c>
      <c r="S88" s="1612">
        <f t="shared" si="18"/>
        <v>2467.42086045</v>
      </c>
      <c r="T88" s="1612">
        <f t="shared" si="18"/>
        <v>1746.1296604500001</v>
      </c>
      <c r="U88" s="1612">
        <f t="shared" si="18"/>
        <v>470.27</v>
      </c>
      <c r="V88" s="1612">
        <f t="shared" si="18"/>
        <v>251.02120000000002</v>
      </c>
    </row>
    <row r="89" spans="18:28" x14ac:dyDescent="0.25">
      <c r="R89" s="1603">
        <v>2013</v>
      </c>
      <c r="S89" s="1612">
        <f t="shared" si="18"/>
        <v>2230.2925</v>
      </c>
      <c r="T89" s="1612">
        <f t="shared" si="18"/>
        <v>1764.6187</v>
      </c>
      <c r="U89" s="1612">
        <f t="shared" si="18"/>
        <v>188.4134</v>
      </c>
      <c r="V89" s="1612">
        <f t="shared" si="18"/>
        <v>277.2604</v>
      </c>
    </row>
    <row r="90" spans="18:28" x14ac:dyDescent="0.25">
      <c r="R90" s="1603">
        <v>2014</v>
      </c>
      <c r="S90" s="1612">
        <f t="shared" si="18"/>
        <v>2488.2811065848164</v>
      </c>
      <c r="T90" s="1612">
        <f t="shared" si="18"/>
        <v>1959.2143847048167</v>
      </c>
      <c r="U90" s="1612">
        <f t="shared" si="18"/>
        <v>244.01244188000001</v>
      </c>
      <c r="V90" s="1612">
        <f t="shared" si="18"/>
        <v>285.05427999999995</v>
      </c>
    </row>
    <row r="91" spans="18:28" x14ac:dyDescent="0.25">
      <c r="R91" s="1607">
        <v>2015</v>
      </c>
      <c r="S91" s="1612">
        <f t="shared" si="18"/>
        <v>2364.2373654698185</v>
      </c>
      <c r="T91" s="1612">
        <f t="shared" si="18"/>
        <v>1730.862904511961</v>
      </c>
      <c r="U91" s="1612">
        <f t="shared" si="18"/>
        <v>354.97169140999995</v>
      </c>
      <c r="V91" s="1612">
        <f t="shared" si="18"/>
        <v>278.40276954785742</v>
      </c>
    </row>
    <row r="94" spans="18:28" x14ac:dyDescent="0.25">
      <c r="S94" s="1612" t="s">
        <v>54</v>
      </c>
      <c r="T94" s="1612" t="s">
        <v>55</v>
      </c>
      <c r="U94" s="1612" t="s">
        <v>56</v>
      </c>
      <c r="V94" s="1612" t="s">
        <v>68</v>
      </c>
      <c r="Y94" s="1612" t="s">
        <v>54</v>
      </c>
      <c r="Z94" s="1612" t="s">
        <v>55</v>
      </c>
      <c r="AA94" s="1612" t="s">
        <v>56</v>
      </c>
      <c r="AB94" s="1612" t="s">
        <v>68</v>
      </c>
    </row>
    <row r="95" spans="18:28" x14ac:dyDescent="0.25">
      <c r="R95" s="1607">
        <v>1995</v>
      </c>
      <c r="S95" s="1605">
        <f>E8</f>
        <v>46.066738999999991</v>
      </c>
      <c r="T95" s="1605">
        <f>F8</f>
        <v>11.412649999999999</v>
      </c>
      <c r="U95" s="1605">
        <f>G8</f>
        <v>163.39924000000002</v>
      </c>
      <c r="V95" s="1605">
        <f>P8</f>
        <v>74.287999999999997</v>
      </c>
      <c r="X95" s="1607">
        <v>1995</v>
      </c>
      <c r="Y95" s="1605">
        <v>46.066738999999991</v>
      </c>
      <c r="Z95" s="1605">
        <v>11.412649999999999</v>
      </c>
      <c r="AA95" s="1605">
        <v>163.39924000000002</v>
      </c>
      <c r="AB95" s="1605">
        <v>74.287999999999997</v>
      </c>
    </row>
    <row r="96" spans="18:28" x14ac:dyDescent="0.25">
      <c r="R96" s="1607">
        <v>1996</v>
      </c>
      <c r="S96" s="1605">
        <f t="shared" ref="S96:U120" si="19">E9</f>
        <v>163.01889699999998</v>
      </c>
      <c r="T96" s="1605">
        <f t="shared" si="19"/>
        <v>16.600999999999999</v>
      </c>
      <c r="U96" s="1605">
        <f t="shared" si="19"/>
        <v>193.27748000000003</v>
      </c>
      <c r="V96" s="1605">
        <f t="shared" ref="V96:V120" si="20">P9</f>
        <v>135.94999999999999</v>
      </c>
      <c r="X96" s="1607">
        <v>2000</v>
      </c>
      <c r="Y96" s="1605">
        <v>337.65800000000002</v>
      </c>
      <c r="Z96" s="1605">
        <v>128.93899999999999</v>
      </c>
      <c r="AA96" s="1605">
        <v>139.20599999999999</v>
      </c>
      <c r="AB96" s="1605">
        <v>53.411000000000001</v>
      </c>
    </row>
    <row r="97" spans="18:28" x14ac:dyDescent="0.25">
      <c r="R97" s="1607">
        <v>1997</v>
      </c>
      <c r="S97" s="1605">
        <f t="shared" si="19"/>
        <v>343.44413100000003</v>
      </c>
      <c r="T97" s="1605">
        <f t="shared" si="19"/>
        <v>32.720779999999998</v>
      </c>
      <c r="U97" s="1605">
        <f t="shared" si="19"/>
        <v>171.46097</v>
      </c>
      <c r="V97" s="1605">
        <f t="shared" si="20"/>
        <v>46.558</v>
      </c>
      <c r="X97" s="1607">
        <v>2005</v>
      </c>
      <c r="Y97" s="1605">
        <v>193.49135000000001</v>
      </c>
      <c r="Z97" s="1605">
        <v>20.633900000000001</v>
      </c>
      <c r="AA97" s="1605">
        <v>134.36663999999999</v>
      </c>
      <c r="AB97" s="1605">
        <v>45.244</v>
      </c>
    </row>
    <row r="98" spans="18:28" x14ac:dyDescent="0.25">
      <c r="R98" s="1607">
        <v>1998</v>
      </c>
      <c r="S98" s="1605">
        <f t="shared" si="19"/>
        <v>365.36324100000002</v>
      </c>
      <c r="T98" s="1605">
        <f t="shared" si="19"/>
        <v>59.643269999999994</v>
      </c>
      <c r="U98" s="1605">
        <f t="shared" si="19"/>
        <v>136.50492</v>
      </c>
      <c r="V98" s="1605">
        <f t="shared" si="20"/>
        <v>51.488</v>
      </c>
      <c r="X98" s="1607">
        <v>2010</v>
      </c>
      <c r="Y98" s="1605">
        <v>558.63338222614846</v>
      </c>
      <c r="Z98" s="1605">
        <v>332.55720000000002</v>
      </c>
      <c r="AA98" s="1605">
        <v>253.1712</v>
      </c>
      <c r="AB98" s="1605">
        <v>223.376</v>
      </c>
    </row>
    <row r="99" spans="18:28" x14ac:dyDescent="0.25">
      <c r="R99" s="1607">
        <v>1999</v>
      </c>
      <c r="S99" s="1605">
        <f t="shared" si="19"/>
        <v>417.232328</v>
      </c>
      <c r="T99" s="1605">
        <f t="shared" si="19"/>
        <v>170.80662000000001</v>
      </c>
      <c r="U99" s="1605">
        <f t="shared" si="19"/>
        <v>121.50028001183432</v>
      </c>
      <c r="V99" s="1605">
        <f t="shared" si="20"/>
        <v>54.64</v>
      </c>
      <c r="X99" s="1607">
        <v>2011</v>
      </c>
      <c r="Y99" s="1605">
        <v>1240.8</v>
      </c>
      <c r="Z99" s="1605">
        <v>278.5</v>
      </c>
      <c r="AA99" s="1605">
        <v>229.4</v>
      </c>
      <c r="AB99" s="1605">
        <v>131.30000000000001</v>
      </c>
    </row>
    <row r="100" spans="18:28" x14ac:dyDescent="0.25">
      <c r="R100" s="1607">
        <v>2000</v>
      </c>
      <c r="S100" s="1605">
        <f t="shared" si="19"/>
        <v>337.65800000000002</v>
      </c>
      <c r="T100" s="1605">
        <f t="shared" si="19"/>
        <v>128.93899999999999</v>
      </c>
      <c r="U100" s="1605">
        <f t="shared" si="19"/>
        <v>139.20599999999999</v>
      </c>
      <c r="V100" s="1605">
        <f t="shared" si="20"/>
        <v>53.411000000000001</v>
      </c>
      <c r="X100" s="1607">
        <v>2012</v>
      </c>
      <c r="Y100" s="1605">
        <v>1781.40966045</v>
      </c>
      <c r="Z100" s="1605">
        <v>470.27</v>
      </c>
      <c r="AA100" s="1605">
        <v>337.36420000000004</v>
      </c>
      <c r="AB100" s="1605">
        <v>149.8812093018218</v>
      </c>
    </row>
    <row r="101" spans="18:28" x14ac:dyDescent="0.25">
      <c r="R101" s="1607">
        <v>2001</v>
      </c>
      <c r="S101" s="1605">
        <f t="shared" si="19"/>
        <v>109.77217999999999</v>
      </c>
      <c r="T101" s="1605">
        <f t="shared" si="19"/>
        <v>61.743000000000002</v>
      </c>
      <c r="U101" s="1605">
        <f t="shared" si="19"/>
        <v>134.38179</v>
      </c>
      <c r="V101" s="1605">
        <f t="shared" si="20"/>
        <v>45.167000000000002</v>
      </c>
      <c r="X101" s="1607">
        <v>2013</v>
      </c>
      <c r="Y101" s="1605">
        <v>1829.8335</v>
      </c>
      <c r="Z101" s="1605">
        <v>188.4134</v>
      </c>
      <c r="AA101" s="1605">
        <v>421.36850000000004</v>
      </c>
      <c r="AB101" s="1605">
        <v>149.41353189887735</v>
      </c>
    </row>
    <row r="102" spans="18:28" x14ac:dyDescent="0.25">
      <c r="R102" s="1607">
        <v>2002</v>
      </c>
      <c r="S102" s="1605">
        <f t="shared" si="19"/>
        <v>107.84</v>
      </c>
      <c r="T102" s="1605">
        <f t="shared" si="19"/>
        <v>37.657000000000004</v>
      </c>
      <c r="U102" s="1605">
        <f t="shared" si="19"/>
        <v>96.701999999999998</v>
      </c>
      <c r="V102" s="1605">
        <f t="shared" si="20"/>
        <v>17.329999999999998</v>
      </c>
      <c r="X102" s="1607">
        <v>2014</v>
      </c>
      <c r="Y102" s="1605">
        <v>2021.3049047048166</v>
      </c>
      <c r="Z102" s="1605">
        <v>244.01244188000001</v>
      </c>
      <c r="AA102" s="1605">
        <v>401.29525350396761</v>
      </c>
      <c r="AB102" s="1605">
        <v>111.02398648648649</v>
      </c>
    </row>
    <row r="103" spans="18:28" x14ac:dyDescent="0.25">
      <c r="R103" s="1607">
        <v>2003</v>
      </c>
      <c r="S103" s="1605">
        <f t="shared" si="19"/>
        <v>87.165000000000006</v>
      </c>
      <c r="T103" s="1605">
        <f t="shared" si="19"/>
        <v>12.826000000000001</v>
      </c>
      <c r="U103" s="1605">
        <f t="shared" si="19"/>
        <v>91.965999999999994</v>
      </c>
      <c r="V103" s="1605">
        <f t="shared" si="20"/>
        <v>43.427999999999997</v>
      </c>
      <c r="X103" s="1607">
        <v>2015</v>
      </c>
      <c r="Y103" s="1605">
        <v>1773.8894952016162</v>
      </c>
      <c r="Z103" s="1605">
        <v>354.97169140999995</v>
      </c>
      <c r="AA103" s="1605">
        <v>357.44707323909199</v>
      </c>
      <c r="AB103" s="1605">
        <v>107.14969696969698</v>
      </c>
    </row>
    <row r="104" spans="18:28" x14ac:dyDescent="0.25">
      <c r="R104" s="1607">
        <v>2004</v>
      </c>
      <c r="S104" s="1605">
        <f t="shared" si="19"/>
        <v>159.566</v>
      </c>
      <c r="T104" s="1605">
        <f t="shared" si="19"/>
        <v>24.366</v>
      </c>
      <c r="U104" s="1605">
        <f t="shared" si="19"/>
        <v>100.76300000000001</v>
      </c>
      <c r="V104" s="1605">
        <f t="shared" si="20"/>
        <v>39.078000000000003</v>
      </c>
      <c r="X104" s="1607">
        <v>2016</v>
      </c>
      <c r="Y104" s="1605">
        <v>965.9</v>
      </c>
      <c r="Z104" s="1605">
        <v>398.3</v>
      </c>
      <c r="AA104" s="1605">
        <v>364.7</v>
      </c>
      <c r="AB104" s="1605">
        <v>69.400000000000006</v>
      </c>
    </row>
    <row r="105" spans="18:28" x14ac:dyDescent="0.25">
      <c r="R105" s="1607">
        <v>2005</v>
      </c>
      <c r="S105" s="1605">
        <f t="shared" si="19"/>
        <v>193.49135000000001</v>
      </c>
      <c r="T105" s="1605">
        <f t="shared" si="19"/>
        <v>20.633900000000001</v>
      </c>
      <c r="U105" s="1605">
        <f t="shared" si="19"/>
        <v>134.36663999999999</v>
      </c>
      <c r="V105" s="1605">
        <f t="shared" si="20"/>
        <v>45.244</v>
      </c>
      <c r="X105" s="1607">
        <v>2017</v>
      </c>
      <c r="Y105" s="1605">
        <v>855.91</v>
      </c>
      <c r="Z105" s="1605">
        <v>269</v>
      </c>
      <c r="AA105" s="1605">
        <v>292.34000000000003</v>
      </c>
      <c r="AB105" s="1605">
        <v>101.8</v>
      </c>
    </row>
    <row r="106" spans="18:28" x14ac:dyDescent="0.25">
      <c r="R106" s="1607">
        <v>2006</v>
      </c>
      <c r="S106" s="1605">
        <f t="shared" si="19"/>
        <v>289.57499999999999</v>
      </c>
      <c r="T106" s="1605">
        <f t="shared" si="19"/>
        <v>16.542999999999999</v>
      </c>
      <c r="U106" s="1605">
        <f t="shared" si="19"/>
        <v>140.08600000000001</v>
      </c>
      <c r="V106" s="1605">
        <f t="shared" si="20"/>
        <v>33.953000000000003</v>
      </c>
      <c r="X106" s="1607">
        <v>2018</v>
      </c>
      <c r="Y106" s="1605">
        <v>270.7029896800878</v>
      </c>
      <c r="Z106" s="1605">
        <v>81.554137765000007</v>
      </c>
      <c r="AA106" s="1605">
        <v>306.93921893531569</v>
      </c>
      <c r="AB106" s="1605">
        <v>106.963153496122</v>
      </c>
    </row>
    <row r="107" spans="18:28" x14ac:dyDescent="0.25">
      <c r="R107" s="1607">
        <v>2007</v>
      </c>
      <c r="S107" s="1605">
        <f t="shared" si="19"/>
        <v>318.03030000000001</v>
      </c>
      <c r="T107" s="1605">
        <f t="shared" si="19"/>
        <v>69.635899999999992</v>
      </c>
      <c r="U107" s="1605">
        <f t="shared" si="19"/>
        <v>151.40692999999999</v>
      </c>
      <c r="V107" s="1605">
        <f t="shared" si="20"/>
        <v>89.927000000000007</v>
      </c>
      <c r="X107" s="1607">
        <v>2019</v>
      </c>
      <c r="Y107" s="1605">
        <v>197.33050129443214</v>
      </c>
      <c r="Z107" s="1605">
        <v>152.23425350425475</v>
      </c>
      <c r="AA107" s="1605">
        <v>268.81873530705138</v>
      </c>
      <c r="AB107" s="1605">
        <v>91.252862507112198</v>
      </c>
    </row>
    <row r="108" spans="18:28" x14ac:dyDescent="0.25">
      <c r="R108" s="1607">
        <v>2008</v>
      </c>
      <c r="S108" s="1605">
        <f t="shared" si="19"/>
        <v>483.51</v>
      </c>
      <c r="T108" s="1605">
        <f t="shared" si="19"/>
        <v>43.1</v>
      </c>
      <c r="U108" s="1605">
        <f t="shared" si="19"/>
        <v>235.91</v>
      </c>
      <c r="V108" s="1605">
        <f t="shared" si="20"/>
        <v>99.486999999999995</v>
      </c>
      <c r="X108" s="1607">
        <v>2020</v>
      </c>
      <c r="Y108" s="1605">
        <v>211.5453484929939</v>
      </c>
      <c r="Z108" s="1605">
        <v>7.0730336626471999</v>
      </c>
      <c r="AA108" s="1605">
        <v>198.7073785711587</v>
      </c>
      <c r="AB108" s="1605">
        <v>45.161673595505597</v>
      </c>
    </row>
    <row r="109" spans="18:28" x14ac:dyDescent="0.25">
      <c r="R109" s="1607">
        <v>2009</v>
      </c>
      <c r="S109" s="1605">
        <f t="shared" si="19"/>
        <v>448.38329999999996</v>
      </c>
      <c r="T109" s="1605">
        <f t="shared" si="19"/>
        <v>254.363</v>
      </c>
      <c r="U109" s="1605">
        <f t="shared" si="19"/>
        <v>289.37342000000001</v>
      </c>
      <c r="V109" s="1605">
        <f t="shared" si="20"/>
        <v>184.72200000000001</v>
      </c>
      <c r="X109" s="1607">
        <v>2021</v>
      </c>
      <c r="Y109" s="1605">
        <v>203.8835508769663</v>
      </c>
      <c r="Z109" s="1605">
        <v>506.98487</v>
      </c>
      <c r="AA109" s="1605">
        <v>401.07673759859517</v>
      </c>
      <c r="AB109" s="1605">
        <v>85.825031179775266</v>
      </c>
    </row>
    <row r="110" spans="18:28" x14ac:dyDescent="0.25">
      <c r="R110" s="1607">
        <v>2010</v>
      </c>
      <c r="S110" s="1605">
        <f t="shared" si="19"/>
        <v>558.63338222614846</v>
      </c>
      <c r="T110" s="1605">
        <f t="shared" si="19"/>
        <v>332.55720000000002</v>
      </c>
      <c r="U110" s="1605">
        <f t="shared" si="19"/>
        <v>253.1712</v>
      </c>
      <c r="V110" s="1605">
        <f t="shared" si="20"/>
        <v>223.376</v>
      </c>
      <c r="X110" s="1607">
        <v>2022</v>
      </c>
      <c r="Y110" s="1605">
        <v>394.98551168775697</v>
      </c>
      <c r="Z110" s="1605">
        <v>157.38297661999999</v>
      </c>
      <c r="AA110" s="1605">
        <v>362.20982480680601</v>
      </c>
      <c r="AB110" s="1605">
        <v>103.07435081279498</v>
      </c>
    </row>
    <row r="111" spans="18:28" x14ac:dyDescent="0.25">
      <c r="R111" s="1607">
        <v>2011</v>
      </c>
      <c r="S111" s="1605">
        <f t="shared" si="19"/>
        <v>1240.8</v>
      </c>
      <c r="T111" s="1605">
        <f t="shared" si="19"/>
        <v>278.5</v>
      </c>
      <c r="U111" s="1605">
        <f t="shared" si="19"/>
        <v>229.4</v>
      </c>
      <c r="V111" s="1605">
        <f t="shared" si="20"/>
        <v>131.30000000000001</v>
      </c>
      <c r="X111" s="1607"/>
      <c r="Y111" s="1605"/>
      <c r="Z111" s="1605"/>
      <c r="AA111" s="1605"/>
      <c r="AB111" s="1605"/>
    </row>
    <row r="112" spans="18:28" x14ac:dyDescent="0.25">
      <c r="R112" s="1607">
        <v>2012</v>
      </c>
      <c r="S112" s="1605">
        <f t="shared" si="19"/>
        <v>1781.40966045</v>
      </c>
      <c r="T112" s="1605">
        <f t="shared" si="19"/>
        <v>470.27</v>
      </c>
      <c r="U112" s="1605">
        <f t="shared" si="19"/>
        <v>337.36420000000004</v>
      </c>
      <c r="V112" s="1605">
        <f t="shared" si="20"/>
        <v>149.8812093018218</v>
      </c>
      <c r="X112" s="1607"/>
      <c r="Y112" s="1605"/>
      <c r="Z112" s="1605"/>
      <c r="AA112" s="1605"/>
      <c r="AB112" s="1605"/>
    </row>
    <row r="113" spans="18:28" x14ac:dyDescent="0.25">
      <c r="R113" s="1607">
        <v>2013</v>
      </c>
      <c r="S113" s="1605">
        <f t="shared" si="19"/>
        <v>1829.8335</v>
      </c>
      <c r="T113" s="1605">
        <f t="shared" si="19"/>
        <v>188.4134</v>
      </c>
      <c r="U113" s="1605">
        <f t="shared" si="19"/>
        <v>421.36850000000004</v>
      </c>
      <c r="V113" s="1605">
        <f t="shared" si="20"/>
        <v>149.41353189887735</v>
      </c>
      <c r="X113" s="1607"/>
      <c r="Y113" s="1605"/>
      <c r="Z113" s="1605"/>
      <c r="AA113" s="1605"/>
      <c r="AB113" s="1605"/>
    </row>
    <row r="114" spans="18:28" x14ac:dyDescent="0.25">
      <c r="R114" s="1607">
        <v>2014</v>
      </c>
      <c r="S114" s="1605">
        <f t="shared" si="19"/>
        <v>2021.3049047048166</v>
      </c>
      <c r="T114" s="1605">
        <f t="shared" si="19"/>
        <v>244.01244188000001</v>
      </c>
      <c r="U114" s="1605">
        <f t="shared" si="19"/>
        <v>401.29525350396761</v>
      </c>
      <c r="V114" s="1605">
        <f t="shared" si="20"/>
        <v>111.02398648648649</v>
      </c>
      <c r="X114" s="1607"/>
      <c r="Y114" s="1605"/>
      <c r="Z114" s="1605"/>
      <c r="AA114" s="1605"/>
      <c r="AB114" s="1605"/>
    </row>
    <row r="115" spans="18:28" x14ac:dyDescent="0.25">
      <c r="R115" s="1607">
        <v>2015</v>
      </c>
      <c r="S115" s="1605">
        <f t="shared" si="19"/>
        <v>1773.8894952016162</v>
      </c>
      <c r="T115" s="1605">
        <f t="shared" si="19"/>
        <v>354.97169140999995</v>
      </c>
      <c r="U115" s="1605">
        <f t="shared" si="19"/>
        <v>357.44707323909199</v>
      </c>
      <c r="V115" s="1605">
        <f t="shared" si="20"/>
        <v>107.14969696969698</v>
      </c>
      <c r="X115" s="1607"/>
      <c r="Y115" s="1605"/>
      <c r="Z115" s="1605"/>
      <c r="AA115" s="1605"/>
      <c r="AB115" s="1605"/>
    </row>
    <row r="116" spans="18:28" x14ac:dyDescent="0.25">
      <c r="R116" s="1607">
        <v>2016</v>
      </c>
      <c r="S116" s="1605">
        <f t="shared" si="19"/>
        <v>965.9</v>
      </c>
      <c r="T116" s="1605">
        <f t="shared" si="19"/>
        <v>398.3</v>
      </c>
      <c r="U116" s="1605">
        <f t="shared" si="19"/>
        <v>364.7</v>
      </c>
      <c r="V116" s="1605">
        <f t="shared" si="20"/>
        <v>69.400000000000006</v>
      </c>
      <c r="X116" s="1607"/>
      <c r="Y116" s="1605"/>
      <c r="Z116" s="1605"/>
      <c r="AA116" s="1605"/>
      <c r="AB116" s="1605"/>
    </row>
    <row r="117" spans="18:28" x14ac:dyDescent="0.25">
      <c r="R117" s="1607">
        <v>2017</v>
      </c>
      <c r="S117" s="1605">
        <f t="shared" si="19"/>
        <v>855.91</v>
      </c>
      <c r="T117" s="1605">
        <f t="shared" si="19"/>
        <v>269</v>
      </c>
      <c r="U117" s="1605">
        <f t="shared" si="19"/>
        <v>292.34000000000003</v>
      </c>
      <c r="V117" s="1605">
        <f t="shared" si="20"/>
        <v>101.8</v>
      </c>
      <c r="X117" s="1607"/>
      <c r="Y117" s="1605"/>
      <c r="Z117" s="1605"/>
      <c r="AA117" s="1605"/>
      <c r="AB117" s="1605"/>
    </row>
    <row r="118" spans="18:28" x14ac:dyDescent="0.25">
      <c r="R118" s="1607">
        <v>2018</v>
      </c>
      <c r="S118" s="1605">
        <f t="shared" si="19"/>
        <v>270.7029896800878</v>
      </c>
      <c r="T118" s="1605">
        <f t="shared" si="19"/>
        <v>81.554137765000007</v>
      </c>
      <c r="U118" s="1605">
        <f t="shared" si="19"/>
        <v>306.93921893531569</v>
      </c>
      <c r="V118" s="1605">
        <f t="shared" si="20"/>
        <v>106.963153496122</v>
      </c>
      <c r="X118" s="1607"/>
      <c r="Y118" s="1605"/>
      <c r="Z118" s="1605"/>
      <c r="AA118" s="1605"/>
      <c r="AB118" s="1605"/>
    </row>
    <row r="119" spans="18:28" x14ac:dyDescent="0.25">
      <c r="R119" s="1607">
        <v>2019</v>
      </c>
      <c r="S119" s="1605">
        <f t="shared" si="19"/>
        <v>197.33050129443214</v>
      </c>
      <c r="T119" s="1605">
        <f t="shared" si="19"/>
        <v>152.23425350425475</v>
      </c>
      <c r="U119" s="1605">
        <f t="shared" si="19"/>
        <v>268.81873530705138</v>
      </c>
      <c r="V119" s="1605">
        <f t="shared" si="20"/>
        <v>91.252862507112198</v>
      </c>
      <c r="X119" s="1607"/>
      <c r="Y119" s="1605"/>
      <c r="Z119" s="1605"/>
      <c r="AA119" s="1605"/>
      <c r="AB119" s="1605"/>
    </row>
    <row r="120" spans="18:28" x14ac:dyDescent="0.25">
      <c r="R120" s="1607">
        <v>2020</v>
      </c>
      <c r="S120" s="1605">
        <f t="shared" si="19"/>
        <v>211.5453484929939</v>
      </c>
      <c r="T120" s="1605">
        <f t="shared" si="19"/>
        <v>7.0730336626471999</v>
      </c>
      <c r="U120" s="1605">
        <f t="shared" si="19"/>
        <v>198.7073785711587</v>
      </c>
      <c r="V120" s="1605">
        <f t="shared" si="20"/>
        <v>45.161673595505597</v>
      </c>
      <c r="X120" s="1607"/>
      <c r="Y120" s="1605"/>
      <c r="Z120" s="1605"/>
      <c r="AA120" s="1605"/>
      <c r="AB120" s="1605"/>
    </row>
    <row r="121" spans="18:28" x14ac:dyDescent="0.25">
      <c r="R121" s="1607">
        <v>2021</v>
      </c>
      <c r="S121" s="1605">
        <f t="shared" ref="S121:U122" si="21">E34</f>
        <v>203.8835508769663</v>
      </c>
      <c r="T121" s="1605">
        <f t="shared" si="21"/>
        <v>506.98487</v>
      </c>
      <c r="U121" s="1605">
        <f t="shared" si="21"/>
        <v>401.07673759859517</v>
      </c>
      <c r="V121" s="1605">
        <f>P34</f>
        <v>85.825031179775266</v>
      </c>
      <c r="X121" s="1607"/>
      <c r="Y121" s="1605"/>
      <c r="Z121" s="1605"/>
      <c r="AA121" s="1605"/>
      <c r="AB121" s="1605"/>
    </row>
    <row r="122" spans="18:28" x14ac:dyDescent="0.25">
      <c r="R122" s="1607">
        <v>2022</v>
      </c>
      <c r="S122" s="1605">
        <f t="shared" si="21"/>
        <v>602.25133748775704</v>
      </c>
      <c r="T122" s="1605">
        <f t="shared" si="21"/>
        <v>157.39741952</v>
      </c>
      <c r="U122" s="1605">
        <f t="shared" si="21"/>
        <v>376.85397480680604</v>
      </c>
      <c r="V122" s="1605">
        <f>P35</f>
        <v>103.07435081279498</v>
      </c>
      <c r="X122" s="1607"/>
      <c r="Y122" s="1605"/>
      <c r="Z122" s="1605"/>
      <c r="AA122" s="1605"/>
      <c r="AB122" s="1605"/>
    </row>
  </sheetData>
  <mergeCells count="7">
    <mergeCell ref="R39:R40"/>
    <mergeCell ref="B5:B6"/>
    <mergeCell ref="C5:C6"/>
    <mergeCell ref="D5:G5"/>
    <mergeCell ref="H5:K5"/>
    <mergeCell ref="L5:O5"/>
    <mergeCell ref="P5:P6"/>
  </mergeCells>
  <printOptions horizontalCentered="1" verticalCentered="1"/>
  <pageMargins left="0.23622047244094491" right="0.23622047244094491" top="0.39370078740157483" bottom="0.39370078740157483" header="0" footer="0"/>
  <pageSetup paperSize="9" scale="4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4"/>
  <sheetViews>
    <sheetView showGridLines="0" view="pageBreakPreview" zoomScaleNormal="100" zoomScaleSheetLayoutView="100" workbookViewId="0">
      <selection activeCell="I12" sqref="I12"/>
    </sheetView>
  </sheetViews>
  <sheetFormatPr baseColWidth="10" defaultColWidth="11.453125" defaultRowHeight="12.5" x14ac:dyDescent="0.25"/>
  <cols>
    <col min="1" max="1" width="21.1796875" style="315" customWidth="1"/>
    <col min="2" max="6" width="15.54296875" style="315" customWidth="1"/>
    <col min="7" max="8" width="10.7265625" style="315" customWidth="1"/>
    <col min="9" max="9" width="6.54296875" style="315" bestFit="1" customWidth="1"/>
    <col min="10" max="10" width="5.54296875" style="315" bestFit="1" customWidth="1"/>
    <col min="11" max="11" width="8.453125" style="315" bestFit="1" customWidth="1"/>
    <col min="12" max="12" width="9.26953125" style="315" bestFit="1" customWidth="1"/>
    <col min="13" max="13" width="10.54296875" style="315" bestFit="1" customWidth="1"/>
    <col min="14" max="14" width="16.7265625" style="315" bestFit="1" customWidth="1"/>
    <col min="15" max="15" width="24" style="315" bestFit="1" customWidth="1"/>
    <col min="16" max="16" width="8.26953125" style="315" bestFit="1" customWidth="1"/>
    <col min="17" max="19" width="5.7265625" style="315" bestFit="1" customWidth="1"/>
    <col min="20" max="16384" width="11.453125" style="315"/>
  </cols>
  <sheetData>
    <row r="1" spans="1:19" ht="15.5" x14ac:dyDescent="0.35">
      <c r="A1" s="749" t="s">
        <v>210</v>
      </c>
      <c r="C1" s="591"/>
      <c r="D1" s="591"/>
      <c r="E1" s="591"/>
      <c r="F1" s="591"/>
      <c r="I1" s="328"/>
      <c r="J1" s="328"/>
      <c r="K1" s="375"/>
      <c r="L1" s="328"/>
      <c r="M1" s="328"/>
      <c r="N1" s="328"/>
      <c r="O1" s="328"/>
      <c r="P1" s="328"/>
      <c r="Q1" s="328"/>
    </row>
    <row r="2" spans="1:19" ht="15.5" x14ac:dyDescent="0.35">
      <c r="A2" s="749"/>
      <c r="C2" s="591"/>
      <c r="D2" s="591"/>
      <c r="E2" s="591"/>
      <c r="F2" s="591"/>
      <c r="I2" s="328"/>
      <c r="J2" s="328"/>
      <c r="K2" s="375"/>
      <c r="L2" s="328"/>
      <c r="M2" s="328"/>
      <c r="N2" s="328"/>
      <c r="O2" s="328"/>
      <c r="P2" s="328"/>
      <c r="Q2" s="328"/>
    </row>
    <row r="3" spans="1:19" ht="14" x14ac:dyDescent="0.3">
      <c r="A3" s="751" t="s">
        <v>222</v>
      </c>
      <c r="B3" s="751"/>
      <c r="C3" s="751"/>
      <c r="D3" s="751"/>
      <c r="E3" s="751"/>
      <c r="F3" s="751"/>
      <c r="I3" s="375"/>
      <c r="J3" s="328"/>
      <c r="K3" s="375"/>
      <c r="L3" s="375"/>
      <c r="M3" s="375"/>
      <c r="N3" s="375"/>
      <c r="O3" s="375"/>
      <c r="P3" s="719"/>
      <c r="Q3" s="371"/>
    </row>
    <row r="4" spans="1:19" ht="13" thickBot="1" x14ac:dyDescent="0.3">
      <c r="I4" s="375"/>
      <c r="J4" s="328"/>
      <c r="K4" s="375"/>
      <c r="L4" s="375"/>
      <c r="M4" s="375"/>
      <c r="N4" s="375"/>
      <c r="O4" s="375"/>
      <c r="P4" s="719"/>
      <c r="Q4" s="371"/>
    </row>
    <row r="5" spans="1:19" ht="16.5" customHeight="1" thickBot="1" x14ac:dyDescent="0.4">
      <c r="A5" s="1150"/>
      <c r="B5" s="1599" t="s">
        <v>153</v>
      </c>
      <c r="C5" s="1600"/>
      <c r="D5" s="1600"/>
      <c r="E5" s="1600"/>
      <c r="F5" s="1601"/>
      <c r="L5" s="375"/>
      <c r="M5" s="375"/>
      <c r="N5" s="375"/>
      <c r="O5" s="375"/>
      <c r="P5" s="719"/>
      <c r="Q5" s="371"/>
    </row>
    <row r="6" spans="1:19" ht="12.75" customHeight="1" x14ac:dyDescent="0.25">
      <c r="A6" s="1135" t="s">
        <v>39</v>
      </c>
      <c r="B6" s="1594" t="s">
        <v>148</v>
      </c>
      <c r="C6" s="1564" t="s">
        <v>149</v>
      </c>
      <c r="D6" s="1564" t="s">
        <v>150</v>
      </c>
      <c r="E6" s="1596" t="s">
        <v>151</v>
      </c>
      <c r="F6" s="1590" t="s">
        <v>154</v>
      </c>
      <c r="G6" s="376"/>
      <c r="J6" s="1631"/>
      <c r="K6" s="1631"/>
      <c r="L6" s="1655"/>
      <c r="M6" s="1655"/>
      <c r="N6" s="1655"/>
      <c r="O6" s="375"/>
      <c r="P6" s="719"/>
      <c r="Q6" s="371"/>
    </row>
    <row r="7" spans="1:19" ht="15.75" customHeight="1" thickBot="1" x14ac:dyDescent="0.3">
      <c r="A7" s="1149"/>
      <c r="B7" s="1595"/>
      <c r="C7" s="1576"/>
      <c r="D7" s="1576"/>
      <c r="E7" s="1597"/>
      <c r="F7" s="1602"/>
      <c r="G7" s="376"/>
      <c r="I7" s="493"/>
      <c r="J7" s="1646"/>
      <c r="K7" s="1646" t="s">
        <v>148</v>
      </c>
      <c r="L7" s="1646" t="s">
        <v>149</v>
      </c>
      <c r="M7" s="1646" t="s">
        <v>150</v>
      </c>
      <c r="N7" s="1646" t="s">
        <v>151</v>
      </c>
      <c r="O7" s="1382"/>
      <c r="P7" s="493"/>
      <c r="Q7" s="371"/>
    </row>
    <row r="8" spans="1:19" x14ac:dyDescent="0.25">
      <c r="A8" s="725">
        <v>1995</v>
      </c>
      <c r="B8" s="1419">
        <v>5.7782302810253094</v>
      </c>
      <c r="C8" s="1420">
        <v>8.9302367672784584</v>
      </c>
      <c r="D8" s="1420">
        <v>11.283446398970833</v>
      </c>
      <c r="E8" s="1420">
        <v>8.4803805094420035</v>
      </c>
      <c r="F8" s="1421">
        <v>8.3932836249791052</v>
      </c>
      <c r="G8" s="753"/>
      <c r="J8" s="1676">
        <f>+A8</f>
        <v>1995</v>
      </c>
      <c r="K8" s="1627">
        <f>+B8</f>
        <v>5.7782302810253094</v>
      </c>
      <c r="L8" s="1627">
        <f t="shared" ref="L8:N8" si="0">+C8</f>
        <v>8.9302367672784584</v>
      </c>
      <c r="M8" s="1627">
        <f t="shared" si="0"/>
        <v>11.283446398970833</v>
      </c>
      <c r="N8" s="1627">
        <f t="shared" si="0"/>
        <v>8.4803805094420035</v>
      </c>
      <c r="O8" s="822"/>
      <c r="P8" s="822"/>
      <c r="Q8" s="760"/>
      <c r="R8" s="760"/>
      <c r="S8" s="760"/>
    </row>
    <row r="9" spans="1:19" x14ac:dyDescent="0.25">
      <c r="A9" s="720">
        <v>1996</v>
      </c>
      <c r="B9" s="1422">
        <v>6.0030181909749079</v>
      </c>
      <c r="C9" s="1423">
        <v>9.0694904684164612</v>
      </c>
      <c r="D9" s="1423">
        <v>11.700802658519068</v>
      </c>
      <c r="E9" s="1423">
        <v>10.015867859658382</v>
      </c>
      <c r="F9" s="1424">
        <v>8.6476466902058142</v>
      </c>
      <c r="G9" s="376"/>
      <c r="J9" s="1605">
        <f>+A13</f>
        <v>2000</v>
      </c>
      <c r="K9" s="1612">
        <f>+B13</f>
        <v>5.6232403935526856</v>
      </c>
      <c r="L9" s="1612">
        <f t="shared" ref="L9:N9" si="1">+C13</f>
        <v>7.3207428422098104</v>
      </c>
      <c r="M9" s="1612">
        <f t="shared" si="1"/>
        <v>10.077877207303533</v>
      </c>
      <c r="N9" s="1612">
        <f t="shared" si="1"/>
        <v>8.9205908881321658</v>
      </c>
      <c r="O9" s="132"/>
      <c r="P9" s="132"/>
      <c r="Q9" s="760"/>
      <c r="R9" s="760"/>
      <c r="S9" s="760"/>
    </row>
    <row r="10" spans="1:19" x14ac:dyDescent="0.25">
      <c r="A10" s="725">
        <v>1997</v>
      </c>
      <c r="B10" s="1419">
        <v>5.8684121848887303</v>
      </c>
      <c r="C10" s="1420">
        <v>8.9205556778745976</v>
      </c>
      <c r="D10" s="1420">
        <v>11.582177535507025</v>
      </c>
      <c r="E10" s="1420">
        <v>9.6052586075462489</v>
      </c>
      <c r="F10" s="1421">
        <v>8.1882472400080566</v>
      </c>
      <c r="G10" s="376"/>
      <c r="J10" s="1605">
        <f>+A18</f>
        <v>2005</v>
      </c>
      <c r="K10" s="1612">
        <f>+B18</f>
        <v>5.9368368175818906</v>
      </c>
      <c r="L10" s="1612">
        <f t="shared" ref="L10:N10" si="2">+C18</f>
        <v>7.973080188915155</v>
      </c>
      <c r="M10" s="1612">
        <f t="shared" si="2"/>
        <v>10.83636761874177</v>
      </c>
      <c r="N10" s="1612">
        <f t="shared" si="2"/>
        <v>10.285576031650297</v>
      </c>
      <c r="O10" s="132"/>
      <c r="P10" s="132"/>
      <c r="Q10" s="760"/>
      <c r="R10" s="760"/>
      <c r="S10" s="760"/>
    </row>
    <row r="11" spans="1:19" x14ac:dyDescent="0.25">
      <c r="A11" s="720">
        <v>1998</v>
      </c>
      <c r="B11" s="1422">
        <v>5.4203479166671089</v>
      </c>
      <c r="C11" s="1423">
        <v>7.4316461347594203</v>
      </c>
      <c r="D11" s="1423">
        <v>9.968398953140742</v>
      </c>
      <c r="E11" s="1423">
        <v>8.3813016205610715</v>
      </c>
      <c r="F11" s="1424">
        <v>7.0538730668958891</v>
      </c>
      <c r="G11" s="376"/>
      <c r="J11" s="1605">
        <f>+A23</f>
        <v>2010</v>
      </c>
      <c r="K11" s="1612">
        <f>+B23</f>
        <v>5.9118425557976728</v>
      </c>
      <c r="L11" s="1612">
        <f t="shared" ref="L11:N23" si="3">+C23</f>
        <v>10.110599528616511</v>
      </c>
      <c r="M11" s="1612">
        <f t="shared" si="3"/>
        <v>12.206216169236948</v>
      </c>
      <c r="N11" s="1612">
        <f t="shared" si="3"/>
        <v>12.072008153137142</v>
      </c>
      <c r="O11" s="132"/>
      <c r="P11" s="132"/>
      <c r="Q11" s="760"/>
      <c r="R11" s="760"/>
      <c r="S11" s="760"/>
    </row>
    <row r="12" spans="1:19" ht="12.75" customHeight="1" x14ac:dyDescent="0.25">
      <c r="A12" s="725">
        <v>1999</v>
      </c>
      <c r="B12" s="1419">
        <v>5.3406034884593927</v>
      </c>
      <c r="C12" s="1420">
        <v>7.0256874835606498</v>
      </c>
      <c r="D12" s="1420">
        <v>9.4944349046683083</v>
      </c>
      <c r="E12" s="1420">
        <v>8.132461037046669</v>
      </c>
      <c r="F12" s="1421">
        <v>6.7980137491809174</v>
      </c>
      <c r="G12" s="376"/>
      <c r="J12" s="1605">
        <f t="shared" ref="J12:J23" si="4">+A24</f>
        <v>2011</v>
      </c>
      <c r="K12" s="1612">
        <f t="shared" ref="K12:K23" si="5">+B24</f>
        <v>6.7069355606644594</v>
      </c>
      <c r="L12" s="1612">
        <f t="shared" si="3"/>
        <v>10.210850904489519</v>
      </c>
      <c r="M12" s="1612">
        <f t="shared" si="3"/>
        <v>13.043041593056575</v>
      </c>
      <c r="N12" s="1612">
        <f t="shared" si="3"/>
        <v>12.785253352605887</v>
      </c>
      <c r="O12" s="132"/>
      <c r="P12" s="132"/>
      <c r="Q12" s="760"/>
      <c r="R12" s="760"/>
      <c r="S12" s="760"/>
    </row>
    <row r="13" spans="1:19" x14ac:dyDescent="0.25">
      <c r="A13" s="720">
        <v>2000</v>
      </c>
      <c r="B13" s="1422">
        <v>5.6232403935526856</v>
      </c>
      <c r="C13" s="1423">
        <v>7.3207428422098104</v>
      </c>
      <c r="D13" s="1423">
        <v>10.077877207303533</v>
      </c>
      <c r="E13" s="1423">
        <v>8.9205908881321658</v>
      </c>
      <c r="F13" s="1424">
        <v>7.160031104190919</v>
      </c>
      <c r="G13" s="376"/>
      <c r="J13" s="1605">
        <f t="shared" si="4"/>
        <v>2012</v>
      </c>
      <c r="K13" s="1612">
        <f t="shared" si="5"/>
        <v>7.3816051823328888</v>
      </c>
      <c r="L13" s="1612">
        <f t="shared" si="3"/>
        <v>10.983008582909312</v>
      </c>
      <c r="M13" s="1612">
        <f t="shared" si="3"/>
        <v>14.1041130562808</v>
      </c>
      <c r="N13" s="1612">
        <f t="shared" si="3"/>
        <v>13.977994512777723</v>
      </c>
      <c r="O13" s="132"/>
      <c r="P13" s="132"/>
      <c r="Q13" s="760"/>
      <c r="R13" s="760"/>
      <c r="S13" s="760"/>
    </row>
    <row r="14" spans="1:19" x14ac:dyDescent="0.25">
      <c r="A14" s="725">
        <v>2001</v>
      </c>
      <c r="B14" s="1419">
        <v>5.1706818557398941</v>
      </c>
      <c r="C14" s="1420">
        <v>7.3332801640044396</v>
      </c>
      <c r="D14" s="1420">
        <v>10.040241931531753</v>
      </c>
      <c r="E14" s="1420">
        <v>9.3918509603971447</v>
      </c>
      <c r="F14" s="1421">
        <v>6.8517369115141831</v>
      </c>
      <c r="G14" s="376"/>
      <c r="J14" s="1605">
        <f t="shared" si="4"/>
        <v>2013</v>
      </c>
      <c r="K14" s="1612">
        <f t="shared" si="5"/>
        <v>7.5023613467435508</v>
      </c>
      <c r="L14" s="1612">
        <f t="shared" si="3"/>
        <v>10.907991925341509</v>
      </c>
      <c r="M14" s="1612">
        <f t="shared" si="3"/>
        <v>14.167614716116352</v>
      </c>
      <c r="N14" s="1612">
        <f t="shared" si="3"/>
        <v>13.258536157138929</v>
      </c>
      <c r="O14" s="132"/>
      <c r="P14" s="132"/>
      <c r="Q14" s="760"/>
      <c r="R14" s="760"/>
      <c r="S14" s="760"/>
    </row>
    <row r="15" spans="1:19" x14ac:dyDescent="0.25">
      <c r="A15" s="720">
        <v>2002</v>
      </c>
      <c r="B15" s="1422">
        <v>5.1015716422276212</v>
      </c>
      <c r="C15" s="1423">
        <v>7.4281104644374469</v>
      </c>
      <c r="D15" s="1423">
        <v>8.9766906984860597</v>
      </c>
      <c r="E15" s="1423">
        <v>7.9240644839032566</v>
      </c>
      <c r="F15" s="1424">
        <v>6.572256424100436</v>
      </c>
      <c r="G15" s="376"/>
      <c r="J15" s="1605">
        <f t="shared" si="4"/>
        <v>2014</v>
      </c>
      <c r="K15" s="1612">
        <f t="shared" si="5"/>
        <v>8.0312581138752481</v>
      </c>
      <c r="L15" s="1612">
        <f t="shared" si="3"/>
        <v>12.301411987957612</v>
      </c>
      <c r="M15" s="1612">
        <f t="shared" si="3"/>
        <v>15.78132862713845</v>
      </c>
      <c r="N15" s="1612">
        <f t="shared" si="3"/>
        <v>13.303554800411794</v>
      </c>
      <c r="O15" s="132"/>
      <c r="P15" s="132"/>
      <c r="Q15" s="760"/>
      <c r="R15" s="760"/>
      <c r="S15" s="760"/>
    </row>
    <row r="16" spans="1:19" x14ac:dyDescent="0.25">
      <c r="A16" s="725">
        <v>2003</v>
      </c>
      <c r="B16" s="1419">
        <v>5.0458110286969831</v>
      </c>
      <c r="C16" s="1420">
        <v>7.1353528490967735</v>
      </c>
      <c r="D16" s="1420">
        <v>9.6710123586537318</v>
      </c>
      <c r="E16" s="1420">
        <v>7.7695003248875425</v>
      </c>
      <c r="F16" s="1421">
        <v>6.6241520344619476</v>
      </c>
      <c r="G16" s="376"/>
      <c r="J16" s="1605">
        <f t="shared" si="4"/>
        <v>2015</v>
      </c>
      <c r="K16" s="1612">
        <f t="shared" si="5"/>
        <v>7.7017080299074561</v>
      </c>
      <c r="L16" s="1612">
        <f t="shared" si="3"/>
        <v>12.270693274277267</v>
      </c>
      <c r="M16" s="1612">
        <f t="shared" si="3"/>
        <v>15.568993167433273</v>
      </c>
      <c r="N16" s="1612">
        <f t="shared" si="3"/>
        <v>13.669802678698016</v>
      </c>
      <c r="O16" s="132"/>
      <c r="P16" s="132"/>
      <c r="Q16" s="760"/>
      <c r="R16" s="760"/>
      <c r="S16" s="760"/>
    </row>
    <row r="17" spans="1:19" x14ac:dyDescent="0.25">
      <c r="A17" s="720">
        <v>2004</v>
      </c>
      <c r="B17" s="1422">
        <v>5.5141717765146403</v>
      </c>
      <c r="C17" s="1423">
        <v>7.3539676426097262</v>
      </c>
      <c r="D17" s="1423">
        <v>9.9578542547562314</v>
      </c>
      <c r="E17" s="1423">
        <v>9.6732809065578884</v>
      </c>
      <c r="F17" s="1424">
        <v>7.0379541088956703</v>
      </c>
      <c r="G17" s="376"/>
      <c r="J17" s="1605">
        <f t="shared" si="4"/>
        <v>2016</v>
      </c>
      <c r="K17" s="1612">
        <f t="shared" si="5"/>
        <v>7.3001152641738161</v>
      </c>
      <c r="L17" s="1612">
        <f t="shared" si="3"/>
        <v>12.403367828064034</v>
      </c>
      <c r="M17" s="1612">
        <f t="shared" si="3"/>
        <v>16.075329350198377</v>
      </c>
      <c r="N17" s="1612">
        <f t="shared" si="3"/>
        <v>15.225606159678602</v>
      </c>
      <c r="O17" s="132"/>
      <c r="P17" s="132"/>
      <c r="Q17" s="760"/>
      <c r="R17" s="760"/>
      <c r="S17" s="760"/>
    </row>
    <row r="18" spans="1:19" x14ac:dyDescent="0.25">
      <c r="A18" s="725">
        <v>2005</v>
      </c>
      <c r="B18" s="1419">
        <v>5.9368368175818906</v>
      </c>
      <c r="C18" s="1420">
        <v>7.973080188915155</v>
      </c>
      <c r="D18" s="1420">
        <v>10.83636761874177</v>
      </c>
      <c r="E18" s="1420">
        <v>10.285576031650297</v>
      </c>
      <c r="F18" s="1421">
        <v>7.6285206656659188</v>
      </c>
      <c r="G18" s="376"/>
      <c r="J18" s="1605">
        <f t="shared" si="4"/>
        <v>2017</v>
      </c>
      <c r="K18" s="1612">
        <f t="shared" si="5"/>
        <v>6.9093560973172128</v>
      </c>
      <c r="L18" s="1612">
        <f t="shared" si="3"/>
        <v>12.36150458399481</v>
      </c>
      <c r="M18" s="1612">
        <f t="shared" si="3"/>
        <v>16.498263611023354</v>
      </c>
      <c r="N18" s="1612">
        <f t="shared" si="3"/>
        <v>15.901634872294233</v>
      </c>
      <c r="O18" s="132"/>
      <c r="P18" s="132"/>
      <c r="Q18" s="760"/>
      <c r="R18" s="760"/>
      <c r="S18" s="760"/>
    </row>
    <row r="19" spans="1:19" x14ac:dyDescent="0.25">
      <c r="A19" s="720">
        <v>2006</v>
      </c>
      <c r="B19" s="1422">
        <v>5.8997077777569062</v>
      </c>
      <c r="C19" s="1423">
        <v>7.7421660816668165</v>
      </c>
      <c r="D19" s="1423">
        <v>10.724619114042373</v>
      </c>
      <c r="E19" s="1423">
        <v>10.825611995897283</v>
      </c>
      <c r="F19" s="1424">
        <v>7.5512081046012387</v>
      </c>
      <c r="G19" s="376"/>
      <c r="J19" s="1605">
        <f t="shared" si="4"/>
        <v>2018</v>
      </c>
      <c r="K19" s="1612">
        <f t="shared" si="5"/>
        <v>6.8268639100443682</v>
      </c>
      <c r="L19" s="1612">
        <f t="shared" si="3"/>
        <v>12.878542073669545</v>
      </c>
      <c r="M19" s="1612">
        <f t="shared" si="3"/>
        <v>17.262855749113854</v>
      </c>
      <c r="N19" s="1612">
        <f t="shared" si="3"/>
        <v>16.094148722764423</v>
      </c>
      <c r="O19" s="132"/>
      <c r="P19" s="132"/>
      <c r="Q19" s="760"/>
      <c r="R19" s="760"/>
      <c r="S19" s="760"/>
    </row>
    <row r="20" spans="1:19" x14ac:dyDescent="0.25">
      <c r="A20" s="725">
        <v>2007</v>
      </c>
      <c r="B20" s="1419">
        <v>5.7597368375472158</v>
      </c>
      <c r="C20" s="1420">
        <v>7.7472458135610296</v>
      </c>
      <c r="D20" s="1420">
        <v>10.689901305538758</v>
      </c>
      <c r="E20" s="1420">
        <v>10.292187443523428</v>
      </c>
      <c r="F20" s="1421">
        <v>7.4049441102825764</v>
      </c>
      <c r="G20" s="376"/>
      <c r="J20" s="1605">
        <f t="shared" si="4"/>
        <v>2019</v>
      </c>
      <c r="K20" s="1612">
        <f t="shared" si="5"/>
        <v>6.7397943685643487</v>
      </c>
      <c r="L20" s="1612">
        <f t="shared" si="3"/>
        <v>12.950614593544486</v>
      </c>
      <c r="M20" s="1612">
        <f t="shared" si="3"/>
        <v>17.695675257879806</v>
      </c>
      <c r="N20" s="1612">
        <f t="shared" si="3"/>
        <v>17.231541664440272</v>
      </c>
      <c r="O20" s="132"/>
      <c r="P20" s="132"/>
      <c r="Q20" s="760"/>
      <c r="R20" s="760"/>
      <c r="S20" s="760"/>
    </row>
    <row r="21" spans="1:19" ht="12.75" customHeight="1" x14ac:dyDescent="0.25">
      <c r="A21" s="720">
        <v>2008</v>
      </c>
      <c r="B21" s="1422">
        <v>6.6581265067235282</v>
      </c>
      <c r="C21" s="1423">
        <v>8.8890837350718002</v>
      </c>
      <c r="D21" s="1423">
        <v>11.273478337353472</v>
      </c>
      <c r="E21" s="1423">
        <v>10.670788413669451</v>
      </c>
      <c r="F21" s="1424">
        <v>8.2186096245238325</v>
      </c>
      <c r="G21" s="376"/>
      <c r="J21" s="1605">
        <f t="shared" si="4"/>
        <v>2020</v>
      </c>
      <c r="K21" s="1612">
        <f t="shared" si="5"/>
        <v>6.6898167227717495</v>
      </c>
      <c r="L21" s="1612">
        <f t="shared" si="3"/>
        <v>12.988429168125307</v>
      </c>
      <c r="M21" s="1612">
        <f t="shared" si="3"/>
        <v>17.378445494673276</v>
      </c>
      <c r="N21" s="1612">
        <f t="shared" si="3"/>
        <v>16.968732144480366</v>
      </c>
      <c r="O21" s="132"/>
      <c r="P21" s="132"/>
      <c r="Q21" s="760"/>
      <c r="R21" s="760"/>
      <c r="S21" s="760"/>
    </row>
    <row r="22" spans="1:19" x14ac:dyDescent="0.25">
      <c r="A22" s="725">
        <v>2009</v>
      </c>
      <c r="B22" s="1419">
        <v>6.0908442865023833</v>
      </c>
      <c r="C22" s="1420">
        <v>9.4401478562870338</v>
      </c>
      <c r="D22" s="1420">
        <v>11.926617410595755</v>
      </c>
      <c r="E22" s="1420">
        <v>11.525785044073674</v>
      </c>
      <c r="F22" s="1421">
        <v>8.2550953480745317</v>
      </c>
      <c r="G22" s="376"/>
      <c r="J22" s="1605">
        <f t="shared" si="4"/>
        <v>2021</v>
      </c>
      <c r="K22" s="1612">
        <f t="shared" si="5"/>
        <v>6.3724182755427767</v>
      </c>
      <c r="L22" s="1612">
        <f t="shared" si="3"/>
        <v>12.410461583796062</v>
      </c>
      <c r="M22" s="1612">
        <f t="shared" si="3"/>
        <v>17.357864204119331</v>
      </c>
      <c r="N22" s="1612">
        <f t="shared" si="3"/>
        <v>16.479207499626959</v>
      </c>
      <c r="O22" s="132"/>
      <c r="P22" s="132"/>
      <c r="Q22" s="760"/>
      <c r="R22" s="760"/>
      <c r="S22" s="760"/>
    </row>
    <row r="23" spans="1:19" x14ac:dyDescent="0.25">
      <c r="A23" s="720">
        <v>2010</v>
      </c>
      <c r="B23" s="1422">
        <v>5.9118425557976728</v>
      </c>
      <c r="C23" s="1423">
        <v>10.110599528616511</v>
      </c>
      <c r="D23" s="1423">
        <v>12.206216169236948</v>
      </c>
      <c r="E23" s="1423">
        <v>12.072008153137142</v>
      </c>
      <c r="F23" s="1424">
        <v>8.3181154409106988</v>
      </c>
      <c r="G23" s="753"/>
      <c r="H23" s="371"/>
      <c r="J23" s="1605">
        <f t="shared" si="4"/>
        <v>2022</v>
      </c>
      <c r="K23" s="1612">
        <f t="shared" si="5"/>
        <v>6.9971196778393834</v>
      </c>
      <c r="L23" s="1612">
        <f t="shared" si="3"/>
        <v>13.872785997654631</v>
      </c>
      <c r="M23" s="1612">
        <f t="shared" si="3"/>
        <v>19.220209874273429</v>
      </c>
      <c r="N23" s="1612">
        <f t="shared" si="3"/>
        <v>18.389126935196604</v>
      </c>
      <c r="O23" s="132"/>
      <c r="P23" s="132"/>
      <c r="Q23" s="760"/>
      <c r="R23" s="760"/>
      <c r="S23" s="760"/>
    </row>
    <row r="24" spans="1:19" x14ac:dyDescent="0.25">
      <c r="A24" s="725">
        <v>2011</v>
      </c>
      <c r="B24" s="1419">
        <v>6.7069355606644594</v>
      </c>
      <c r="C24" s="1420">
        <v>10.210850904489519</v>
      </c>
      <c r="D24" s="1420">
        <v>13.043041593056575</v>
      </c>
      <c r="E24" s="1420">
        <v>12.785253352605887</v>
      </c>
      <c r="F24" s="1421">
        <v>8.9891892545910128</v>
      </c>
      <c r="G24" s="753"/>
      <c r="H24" s="371"/>
      <c r="I24" s="759"/>
      <c r="J24" s="759"/>
      <c r="K24" s="759"/>
      <c r="L24" s="759"/>
      <c r="M24" s="759"/>
      <c r="N24" s="759"/>
      <c r="O24" s="760"/>
      <c r="P24" s="760"/>
      <c r="Q24" s="760"/>
      <c r="R24" s="760"/>
      <c r="S24" s="760"/>
    </row>
    <row r="25" spans="1:19" x14ac:dyDescent="0.25">
      <c r="A25" s="720">
        <v>2012</v>
      </c>
      <c r="B25" s="1422">
        <v>7.3816051823328888</v>
      </c>
      <c r="C25" s="1423">
        <v>10.983008582909312</v>
      </c>
      <c r="D25" s="1423">
        <v>14.1041130562808</v>
      </c>
      <c r="E25" s="1423">
        <v>13.977994512777723</v>
      </c>
      <c r="F25" s="1424">
        <v>9.8047648076095761</v>
      </c>
      <c r="G25" s="753"/>
      <c r="H25" s="371"/>
      <c r="I25" s="759"/>
      <c r="J25" s="759"/>
      <c r="K25" s="759"/>
      <c r="L25" s="759"/>
      <c r="M25" s="759"/>
      <c r="N25" s="759"/>
      <c r="O25" s="760"/>
      <c r="P25" s="760"/>
      <c r="Q25" s="760"/>
      <c r="R25" s="760"/>
      <c r="S25" s="760"/>
    </row>
    <row r="26" spans="1:19" x14ac:dyDescent="0.25">
      <c r="A26" s="725">
        <v>2013</v>
      </c>
      <c r="B26" s="1419">
        <v>7.5023613467435508</v>
      </c>
      <c r="C26" s="1420">
        <v>10.907991925341509</v>
      </c>
      <c r="D26" s="1420">
        <v>14.167614716116352</v>
      </c>
      <c r="E26" s="1420">
        <v>13.258536157138929</v>
      </c>
      <c r="F26" s="1421">
        <v>9.9300048104897236</v>
      </c>
      <c r="G26" s="753"/>
      <c r="H26" s="371"/>
      <c r="I26" s="759"/>
      <c r="J26" s="759"/>
      <c r="K26" s="759"/>
      <c r="L26" s="759"/>
      <c r="M26" s="759"/>
      <c r="N26" s="759"/>
      <c r="O26" s="760"/>
      <c r="P26" s="760"/>
      <c r="Q26" s="760"/>
      <c r="R26" s="760"/>
      <c r="S26" s="760"/>
    </row>
    <row r="27" spans="1:19" x14ac:dyDescent="0.25">
      <c r="A27" s="720">
        <v>2014</v>
      </c>
      <c r="B27" s="1422">
        <v>8.0312581138752481</v>
      </c>
      <c r="C27" s="1423">
        <v>12.301411987957612</v>
      </c>
      <c r="D27" s="1423">
        <v>15.78132862713845</v>
      </c>
      <c r="E27" s="1423">
        <v>13.303554800411794</v>
      </c>
      <c r="F27" s="1424">
        <v>10.783932753718151</v>
      </c>
      <c r="G27" s="753"/>
      <c r="H27" s="371"/>
      <c r="I27" s="759"/>
      <c r="J27" s="759"/>
      <c r="K27" s="759"/>
      <c r="L27" s="759"/>
      <c r="M27" s="759"/>
      <c r="N27" s="759"/>
      <c r="O27" s="760"/>
      <c r="P27" s="760"/>
      <c r="Q27" s="760"/>
      <c r="R27" s="760"/>
      <c r="S27" s="760"/>
    </row>
    <row r="28" spans="1:19" x14ac:dyDescent="0.25">
      <c r="A28" s="725">
        <v>2015</v>
      </c>
      <c r="B28" s="1419">
        <v>7.7017080299074561</v>
      </c>
      <c r="C28" s="1420">
        <v>12.270693274277267</v>
      </c>
      <c r="D28" s="1420">
        <v>15.568993167433273</v>
      </c>
      <c r="E28" s="1420">
        <v>13.669802678698016</v>
      </c>
      <c r="F28" s="1421">
        <v>10.487586707134367</v>
      </c>
      <c r="G28" s="753"/>
      <c r="I28" s="759"/>
      <c r="J28" s="759"/>
      <c r="K28" s="759"/>
      <c r="L28" s="759"/>
      <c r="M28" s="759"/>
      <c r="N28" s="759"/>
      <c r="O28" s="760"/>
      <c r="P28" s="760"/>
      <c r="Q28" s="760"/>
      <c r="R28" s="760"/>
      <c r="S28" s="760"/>
    </row>
    <row r="29" spans="1:19" x14ac:dyDescent="0.25">
      <c r="A29" s="720">
        <v>2016</v>
      </c>
      <c r="B29" s="1422">
        <v>7.3001152641738161</v>
      </c>
      <c r="C29" s="1423">
        <v>12.403367828064034</v>
      </c>
      <c r="D29" s="1423">
        <v>16.075329350198377</v>
      </c>
      <c r="E29" s="1423">
        <v>15.225606159678602</v>
      </c>
      <c r="F29" s="1424">
        <v>10.26000541143358</v>
      </c>
      <c r="G29" s="753"/>
      <c r="I29" s="759"/>
      <c r="J29" s="759"/>
      <c r="K29" s="759"/>
      <c r="L29" s="759"/>
      <c r="M29" s="759"/>
      <c r="N29" s="759"/>
      <c r="O29" s="760"/>
      <c r="P29" s="760"/>
      <c r="Q29" s="760"/>
      <c r="R29" s="760"/>
      <c r="S29" s="760"/>
    </row>
    <row r="30" spans="1:19" x14ac:dyDescent="0.25">
      <c r="A30" s="725">
        <v>2017</v>
      </c>
      <c r="B30" s="1419">
        <v>6.9093560973172128</v>
      </c>
      <c r="C30" s="1420">
        <v>12.36150458399481</v>
      </c>
      <c r="D30" s="1420">
        <v>16.498263611023354</v>
      </c>
      <c r="E30" s="1420">
        <v>15.901634872294233</v>
      </c>
      <c r="F30" s="1421">
        <v>10.129734655357584</v>
      </c>
      <c r="G30" s="753"/>
      <c r="I30" s="759"/>
      <c r="J30" s="759"/>
      <c r="K30" s="759"/>
      <c r="L30" s="759"/>
      <c r="M30" s="759"/>
      <c r="N30" s="759"/>
      <c r="O30" s="760"/>
      <c r="P30" s="760"/>
      <c r="Q30" s="760"/>
      <c r="R30" s="760"/>
      <c r="S30" s="760"/>
    </row>
    <row r="31" spans="1:19" x14ac:dyDescent="0.25">
      <c r="A31" s="720">
        <v>2018</v>
      </c>
      <c r="B31" s="1422">
        <v>6.8268639100443682</v>
      </c>
      <c r="C31" s="1423">
        <v>12.878542073669545</v>
      </c>
      <c r="D31" s="1423">
        <v>17.262855749113854</v>
      </c>
      <c r="E31" s="1423">
        <v>16.094148722764423</v>
      </c>
      <c r="F31" s="1424">
        <v>10.317820651839206</v>
      </c>
      <c r="G31" s="753"/>
      <c r="I31" s="759"/>
      <c r="J31" s="759"/>
      <c r="K31" s="759"/>
      <c r="L31" s="759"/>
      <c r="M31" s="759"/>
      <c r="N31" s="759"/>
      <c r="O31" s="760"/>
      <c r="P31" s="760"/>
      <c r="Q31" s="760"/>
      <c r="R31" s="760"/>
      <c r="S31" s="760"/>
    </row>
    <row r="32" spans="1:19" x14ac:dyDescent="0.25">
      <c r="A32" s="725">
        <v>2019</v>
      </c>
      <c r="B32" s="1419">
        <v>6.7397943685643487</v>
      </c>
      <c r="C32" s="1420">
        <v>12.950614593544486</v>
      </c>
      <c r="D32" s="1420">
        <v>17.695675257879806</v>
      </c>
      <c r="E32" s="1420">
        <v>17.231541664440272</v>
      </c>
      <c r="F32" s="1421">
        <v>10.402008601138379</v>
      </c>
      <c r="G32" s="753"/>
      <c r="I32" s="759"/>
      <c r="J32" s="759"/>
      <c r="K32" s="759"/>
      <c r="L32" s="759"/>
      <c r="M32" s="759"/>
      <c r="N32" s="759"/>
      <c r="O32" s="760"/>
      <c r="P32" s="760"/>
      <c r="Q32" s="760"/>
      <c r="R32" s="760"/>
      <c r="S32" s="760"/>
    </row>
    <row r="33" spans="1:19" x14ac:dyDescent="0.25">
      <c r="A33" s="720">
        <v>2020</v>
      </c>
      <c r="B33" s="1422">
        <v>6.6898167227717495</v>
      </c>
      <c r="C33" s="1423">
        <v>12.988429168125307</v>
      </c>
      <c r="D33" s="1423">
        <v>17.378445494673276</v>
      </c>
      <c r="E33" s="1423">
        <v>16.968732144480366</v>
      </c>
      <c r="F33" s="1424">
        <v>10.472992945162083</v>
      </c>
      <c r="G33" s="753"/>
      <c r="I33" s="759"/>
      <c r="J33" s="759"/>
      <c r="K33" s="759"/>
      <c r="L33" s="759"/>
      <c r="M33" s="759"/>
      <c r="N33" s="759"/>
      <c r="O33" s="760"/>
      <c r="P33" s="760"/>
      <c r="Q33" s="760"/>
      <c r="R33" s="760"/>
      <c r="S33" s="760"/>
    </row>
    <row r="34" spans="1:19" x14ac:dyDescent="0.25">
      <c r="A34" s="725">
        <v>2021</v>
      </c>
      <c r="B34" s="1419">
        <v>6.3724182755427767</v>
      </c>
      <c r="C34" s="1420">
        <v>12.410461583796062</v>
      </c>
      <c r="D34" s="1420">
        <v>17.357864204119331</v>
      </c>
      <c r="E34" s="1420">
        <v>16.479207499626959</v>
      </c>
      <c r="F34" s="1421">
        <v>9.9533682832236394</v>
      </c>
      <c r="G34" s="753"/>
      <c r="I34" s="759"/>
      <c r="J34" s="759"/>
      <c r="K34" s="759"/>
      <c r="L34" s="759"/>
      <c r="M34" s="759"/>
      <c r="N34" s="759"/>
      <c r="O34" s="760"/>
      <c r="P34" s="760"/>
      <c r="Q34" s="760"/>
      <c r="R34" s="760"/>
      <c r="S34" s="760"/>
    </row>
    <row r="35" spans="1:19" ht="13" thickBot="1" x14ac:dyDescent="0.3">
      <c r="A35" s="720">
        <v>2022</v>
      </c>
      <c r="B35" s="1422">
        <v>6.9971196778393834</v>
      </c>
      <c r="C35" s="1423">
        <v>13.872785997654631</v>
      </c>
      <c r="D35" s="1423">
        <v>19.220209874273429</v>
      </c>
      <c r="E35" s="1423">
        <v>18.389126935196604</v>
      </c>
      <c r="F35" s="1424">
        <v>10.924310745187338</v>
      </c>
      <c r="G35" s="753"/>
      <c r="I35" s="759"/>
      <c r="J35" s="759"/>
      <c r="K35" s="759"/>
      <c r="L35" s="759"/>
      <c r="M35" s="759"/>
      <c r="N35" s="759"/>
      <c r="O35" s="760"/>
      <c r="P35" s="760"/>
      <c r="Q35" s="760"/>
      <c r="R35" s="760"/>
      <c r="S35" s="760"/>
    </row>
    <row r="36" spans="1:19" ht="18.75" customHeight="1" x14ac:dyDescent="0.25">
      <c r="A36" s="755" t="s">
        <v>161</v>
      </c>
      <c r="B36" s="1151">
        <f>(B35/B34)-1</f>
        <v>9.8032077507246962E-2</v>
      </c>
      <c r="C36" s="1151">
        <f t="shared" ref="C36:F36" si="6">(C35/C34)-1</f>
        <v>0.11782997787671978</v>
      </c>
      <c r="D36" s="1151">
        <f t="shared" si="6"/>
        <v>0.10729117639439356</v>
      </c>
      <c r="E36" s="1151">
        <f t="shared" si="6"/>
        <v>0.11589874304409853</v>
      </c>
      <c r="F36" s="1152">
        <f t="shared" si="6"/>
        <v>9.7549134557817663E-2</v>
      </c>
      <c r="G36" s="376"/>
    </row>
    <row r="37" spans="1:19" ht="18.75" customHeight="1" x14ac:dyDescent="0.25">
      <c r="A37" s="496" t="s">
        <v>162</v>
      </c>
      <c r="B37" s="1121">
        <f>((B35/B30)^(1/5))-1</f>
        <v>2.5276171564199146E-3</v>
      </c>
      <c r="C37" s="707">
        <f t="shared" ref="C37:F37" si="7">((C35/C30)^(1/5))-1</f>
        <v>2.3336513815484849E-2</v>
      </c>
      <c r="D37" s="707">
        <f t="shared" si="7"/>
        <v>3.1012610900497783E-2</v>
      </c>
      <c r="E37" s="707">
        <f t="shared" si="7"/>
        <v>2.9494111068428364E-2</v>
      </c>
      <c r="F37" s="1141">
        <f t="shared" si="7"/>
        <v>1.5217733311392756E-2</v>
      </c>
      <c r="G37" s="376"/>
    </row>
    <row r="38" spans="1:19" ht="18.75" customHeight="1" x14ac:dyDescent="0.25">
      <c r="A38" s="756" t="s">
        <v>163</v>
      </c>
      <c r="B38" s="710">
        <f>(B35/B25)-1</f>
        <v>-5.208697769608861E-2</v>
      </c>
      <c r="C38" s="710">
        <f t="shared" ref="C38:F38" si="8">(C35/C25)-1</f>
        <v>0.26311346230231569</v>
      </c>
      <c r="D38" s="710">
        <f t="shared" si="8"/>
        <v>0.36273793308217583</v>
      </c>
      <c r="E38" s="710">
        <f t="shared" si="8"/>
        <v>0.31557691758903794</v>
      </c>
      <c r="F38" s="1144">
        <f t="shared" si="8"/>
        <v>0.11418386463578112</v>
      </c>
      <c r="G38" s="376"/>
    </row>
    <row r="39" spans="1:19" ht="17.25" customHeight="1" thickBot="1" x14ac:dyDescent="0.3">
      <c r="A39" s="757" t="s">
        <v>164</v>
      </c>
      <c r="B39" s="714">
        <f>((B35/B25)^(1/10))-1</f>
        <v>-5.3349711794500321E-3</v>
      </c>
      <c r="C39" s="714">
        <f t="shared" ref="C39:F39" si="9">((C35/C25)^(1/10))-1</f>
        <v>2.3632901269376339E-2</v>
      </c>
      <c r="D39" s="714">
        <f t="shared" si="9"/>
        <v>3.1433504103121956E-2</v>
      </c>
      <c r="E39" s="714">
        <f t="shared" si="9"/>
        <v>2.7807126199956622E-2</v>
      </c>
      <c r="F39" s="1147">
        <f t="shared" si="9"/>
        <v>1.0870880954805262E-2</v>
      </c>
      <c r="G39" s="376"/>
      <c r="I39" s="754"/>
    </row>
    <row r="40" spans="1:19" x14ac:dyDescent="0.25">
      <c r="A40" s="382" t="s">
        <v>155</v>
      </c>
      <c r="G40" s="376"/>
    </row>
    <row r="41" spans="1:19" ht="15.5" x14ac:dyDescent="0.35">
      <c r="B41" s="371"/>
      <c r="C41" s="371"/>
      <c r="D41" s="371"/>
      <c r="E41" s="748"/>
      <c r="F41" s="752"/>
      <c r="G41" s="376"/>
    </row>
    <row r="42" spans="1:19" ht="15.5" x14ac:dyDescent="0.35">
      <c r="B42" s="371"/>
      <c r="C42" s="371"/>
      <c r="D42" s="371"/>
      <c r="E42" s="748"/>
      <c r="F42" s="752"/>
      <c r="G42" s="376"/>
    </row>
    <row r="43" spans="1:19" ht="15.5" x14ac:dyDescent="0.35">
      <c r="A43" s="383"/>
      <c r="B43" s="371"/>
      <c r="C43" s="371"/>
      <c r="D43" s="371"/>
      <c r="E43" s="748"/>
      <c r="F43" s="752"/>
      <c r="G43" s="376"/>
    </row>
    <row r="44" spans="1:19" x14ac:dyDescent="0.25">
      <c r="G44" s="376"/>
    </row>
  </sheetData>
  <mergeCells count="6">
    <mergeCell ref="B5:F5"/>
    <mergeCell ref="B6:B7"/>
    <mergeCell ref="C6:C7"/>
    <mergeCell ref="D6:D7"/>
    <mergeCell ref="E6:E7"/>
    <mergeCell ref="F6:F7"/>
  </mergeCells>
  <printOptions horizontalCentered="1"/>
  <pageMargins left="0.31496062992125984" right="3.937007874015748E-2" top="0.35433070866141736" bottom="0.19685039370078741" header="0" footer="0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08"/>
  <sheetViews>
    <sheetView showGridLines="0" view="pageBreakPreview" zoomScale="80" zoomScaleNormal="55" zoomScaleSheetLayoutView="80" workbookViewId="0">
      <selection activeCell="Q1" sqref="Q1"/>
    </sheetView>
  </sheetViews>
  <sheetFormatPr baseColWidth="10" defaultRowHeight="12.5" x14ac:dyDescent="0.25"/>
  <cols>
    <col min="1" max="1" width="4.26953125" customWidth="1"/>
    <col min="2" max="2" width="21.453125" customWidth="1"/>
    <col min="3" max="15" width="12.453125" customWidth="1"/>
    <col min="16" max="16" width="1.81640625" customWidth="1"/>
    <col min="17" max="29" width="10.90625" style="1603"/>
  </cols>
  <sheetData>
    <row r="1" spans="1:29" ht="18" x14ac:dyDescent="0.4">
      <c r="A1" s="10" t="s">
        <v>69</v>
      </c>
    </row>
    <row r="2" spans="1:29" ht="14" x14ac:dyDescent="0.3">
      <c r="B2" s="112"/>
      <c r="C2" s="112"/>
      <c r="D2" s="112"/>
      <c r="E2" s="112"/>
      <c r="F2" s="112"/>
      <c r="G2" s="112"/>
      <c r="H2" s="112"/>
      <c r="I2" s="112"/>
      <c r="J2" s="113"/>
      <c r="K2" s="113"/>
      <c r="L2" s="113"/>
      <c r="M2" s="113"/>
      <c r="N2" s="113"/>
      <c r="O2" s="113"/>
    </row>
    <row r="3" spans="1:29" ht="15.5" x14ac:dyDescent="0.35">
      <c r="B3" s="70" t="s">
        <v>192</v>
      </c>
      <c r="C3" s="173"/>
      <c r="D3" s="173"/>
      <c r="E3" s="173"/>
      <c r="F3" s="173"/>
      <c r="G3" s="173"/>
      <c r="H3" s="173"/>
    </row>
    <row r="4" spans="1:29" ht="13" thickBot="1" x14ac:dyDescent="0.3">
      <c r="D4" s="9"/>
      <c r="E4" s="9"/>
      <c r="F4" s="9"/>
      <c r="G4" s="9"/>
    </row>
    <row r="5" spans="1:29" s="94" customFormat="1" ht="15.75" customHeight="1" x14ac:dyDescent="0.25">
      <c r="B5" s="1454" t="s">
        <v>39</v>
      </c>
      <c r="C5" s="1456" t="s">
        <v>167</v>
      </c>
      <c r="D5" s="1457"/>
      <c r="E5" s="1457"/>
      <c r="F5" s="1457"/>
      <c r="G5" s="1458"/>
      <c r="H5" s="1037" t="s">
        <v>70</v>
      </c>
      <c r="I5" s="1038"/>
      <c r="J5" s="1039"/>
      <c r="K5" s="1039"/>
      <c r="L5" s="1039"/>
      <c r="M5" s="1037" t="s">
        <v>71</v>
      </c>
      <c r="N5" s="1040"/>
      <c r="O5" s="1041"/>
      <c r="Q5" s="1608"/>
      <c r="R5" s="1608" t="s">
        <v>53</v>
      </c>
      <c r="S5" s="1608" t="s">
        <v>72</v>
      </c>
      <c r="T5" s="1608" t="s">
        <v>73</v>
      </c>
      <c r="U5" s="1608" t="s">
        <v>74</v>
      </c>
      <c r="V5" s="1608" t="s">
        <v>75</v>
      </c>
      <c r="W5" s="1608"/>
      <c r="X5" s="1608"/>
      <c r="Y5" s="1608" t="s">
        <v>53</v>
      </c>
      <c r="Z5" s="1608" t="s">
        <v>72</v>
      </c>
      <c r="AA5" s="1608" t="s">
        <v>73</v>
      </c>
      <c r="AB5" s="1608" t="s">
        <v>74</v>
      </c>
      <c r="AC5" s="1608" t="s">
        <v>75</v>
      </c>
    </row>
    <row r="6" spans="1:29" s="94" customFormat="1" ht="13" thickBot="1" x14ac:dyDescent="0.3">
      <c r="B6" s="1455"/>
      <c r="C6" s="1042" t="s">
        <v>53</v>
      </c>
      <c r="D6" s="1042" t="s">
        <v>76</v>
      </c>
      <c r="E6" s="1043" t="s">
        <v>77</v>
      </c>
      <c r="F6" s="1043" t="s">
        <v>74</v>
      </c>
      <c r="G6" s="1043" t="s">
        <v>75</v>
      </c>
      <c r="H6" s="1044" t="s">
        <v>53</v>
      </c>
      <c r="I6" s="1043" t="s">
        <v>76</v>
      </c>
      <c r="J6" s="1043" t="s">
        <v>77</v>
      </c>
      <c r="K6" s="1043" t="s">
        <v>74</v>
      </c>
      <c r="L6" s="1043" t="s">
        <v>75</v>
      </c>
      <c r="M6" s="1044" t="s">
        <v>53</v>
      </c>
      <c r="N6" s="1045" t="s">
        <v>76</v>
      </c>
      <c r="O6" s="1046" t="s">
        <v>77</v>
      </c>
      <c r="Q6" s="1608">
        <v>1995</v>
      </c>
      <c r="R6" s="1622">
        <f t="shared" ref="R6:R33" si="0">C7</f>
        <v>4461.7</v>
      </c>
      <c r="S6" s="1622">
        <f t="shared" ref="S6:S33" si="1">D7</f>
        <v>2479.4</v>
      </c>
      <c r="T6" s="1622">
        <f t="shared" ref="T6:T33" si="2">E7</f>
        <v>1982.3</v>
      </c>
      <c r="U6" s="1608"/>
      <c r="V6" s="1622"/>
      <c r="W6" s="1608"/>
      <c r="X6" s="1608">
        <v>1995</v>
      </c>
      <c r="Y6" s="1622">
        <f>+R6</f>
        <v>4461.7</v>
      </c>
      <c r="Z6" s="1622">
        <f t="shared" ref="Z6:AC6" si="3">+S6</f>
        <v>2479.4</v>
      </c>
      <c r="AA6" s="1622">
        <f t="shared" si="3"/>
        <v>1982.3</v>
      </c>
      <c r="AB6" s="1622">
        <f t="shared" si="3"/>
        <v>0</v>
      </c>
      <c r="AC6" s="1622">
        <f t="shared" si="3"/>
        <v>0</v>
      </c>
    </row>
    <row r="7" spans="1:29" ht="13" x14ac:dyDescent="0.3">
      <c r="B7" s="1395">
        <v>1995</v>
      </c>
      <c r="C7" s="180">
        <f t="shared" ref="C7:C34" si="4">SUM(D7:G7)</f>
        <v>4461.7</v>
      </c>
      <c r="D7" s="150">
        <f>SUM(I7,N7)</f>
        <v>2479.4</v>
      </c>
      <c r="E7" s="181">
        <f t="shared" ref="E7:E25" si="5">SUM(J7,O7)</f>
        <v>1982.3</v>
      </c>
      <c r="F7" s="181"/>
      <c r="G7" s="182"/>
      <c r="H7" s="150">
        <f t="shared" ref="H7:H34" si="6">SUM(I7:L7)</f>
        <v>3185.7</v>
      </c>
      <c r="I7" s="150">
        <v>2190</v>
      </c>
      <c r="J7" s="150">
        <v>995.7</v>
      </c>
      <c r="K7" s="150"/>
      <c r="L7" s="182"/>
      <c r="M7" s="150">
        <f t="shared" ref="M7:M16" si="7">SUM(N7:O7)</f>
        <v>1276</v>
      </c>
      <c r="N7" s="183">
        <v>289.39999999999998</v>
      </c>
      <c r="O7" s="184">
        <v>986.59999999999991</v>
      </c>
      <c r="Q7" s="1603">
        <v>1996</v>
      </c>
      <c r="R7" s="1613">
        <f t="shared" si="0"/>
        <v>4662.6049999999996</v>
      </c>
      <c r="S7" s="1613">
        <f t="shared" si="1"/>
        <v>2492.7239999999997</v>
      </c>
      <c r="T7" s="1613">
        <f t="shared" si="2"/>
        <v>2169.6310000000003</v>
      </c>
      <c r="V7" s="1613"/>
      <c r="X7" s="1603">
        <v>2000</v>
      </c>
      <c r="Y7" s="1613">
        <f>+R11</f>
        <v>6066.1890000000003</v>
      </c>
      <c r="Z7" s="1613">
        <f t="shared" ref="Z7:AC7" si="8">+S11</f>
        <v>2856.8250000000003</v>
      </c>
      <c r="AA7" s="1613">
        <f t="shared" si="8"/>
        <v>3208.6640000000002</v>
      </c>
      <c r="AB7" s="1613">
        <f t="shared" si="8"/>
        <v>0</v>
      </c>
      <c r="AC7" s="1613">
        <f t="shared" si="8"/>
        <v>0</v>
      </c>
    </row>
    <row r="8" spans="1:29" ht="13" x14ac:dyDescent="0.3">
      <c r="B8" s="1396">
        <v>1996</v>
      </c>
      <c r="C8" s="174">
        <f t="shared" si="4"/>
        <v>4662.6049999999996</v>
      </c>
      <c r="D8" s="175">
        <f t="shared" ref="D8:E26" si="9">SUM(I8,N8)</f>
        <v>2492.7239999999997</v>
      </c>
      <c r="E8" s="185">
        <f t="shared" si="5"/>
        <v>2169.6310000000003</v>
      </c>
      <c r="F8" s="185"/>
      <c r="G8" s="186">
        <v>0.25</v>
      </c>
      <c r="H8" s="175">
        <f t="shared" si="6"/>
        <v>3352.8809999999999</v>
      </c>
      <c r="I8" s="175">
        <v>2200.1839999999997</v>
      </c>
      <c r="J8" s="175">
        <v>1152.4470000000001</v>
      </c>
      <c r="K8" s="175"/>
      <c r="L8" s="187">
        <v>0.25</v>
      </c>
      <c r="M8" s="175">
        <f t="shared" si="7"/>
        <v>1309.7239999999999</v>
      </c>
      <c r="N8" s="178">
        <v>292.54000000000002</v>
      </c>
      <c r="O8" s="179">
        <v>1017.184</v>
      </c>
      <c r="Q8" s="1603">
        <v>1997</v>
      </c>
      <c r="R8" s="1613">
        <f t="shared" si="0"/>
        <v>5192.4979999999996</v>
      </c>
      <c r="S8" s="1613">
        <f t="shared" si="1"/>
        <v>2512.9939999999997</v>
      </c>
      <c r="T8" s="1613">
        <f t="shared" si="2"/>
        <v>2679.2539999999999</v>
      </c>
      <c r="V8" s="1613"/>
      <c r="X8" s="1603">
        <v>2005</v>
      </c>
      <c r="Y8" s="1613">
        <f>+R16</f>
        <v>6200.5255999999999</v>
      </c>
      <c r="Z8" s="1613">
        <f t="shared" ref="Z8:AC8" si="10">+S16</f>
        <v>3207.0616000000005</v>
      </c>
      <c r="AA8" s="1613">
        <f t="shared" si="10"/>
        <v>2992.7639999999992</v>
      </c>
      <c r="AB8" s="1613">
        <f t="shared" si="10"/>
        <v>0</v>
      </c>
      <c r="AC8" s="1613">
        <f t="shared" si="10"/>
        <v>0</v>
      </c>
    </row>
    <row r="9" spans="1:29" ht="13" x14ac:dyDescent="0.3">
      <c r="B9" s="1395">
        <v>1997</v>
      </c>
      <c r="C9" s="180">
        <f t="shared" si="4"/>
        <v>5192.4979999999996</v>
      </c>
      <c r="D9" s="150">
        <f t="shared" si="9"/>
        <v>2512.9939999999997</v>
      </c>
      <c r="E9" s="148">
        <f t="shared" si="5"/>
        <v>2679.2539999999999</v>
      </c>
      <c r="F9" s="148"/>
      <c r="G9" s="188">
        <v>0.25</v>
      </c>
      <c r="H9" s="150">
        <f t="shared" si="6"/>
        <v>4325.0209999999997</v>
      </c>
      <c r="I9" s="150">
        <v>2411.5189999999998</v>
      </c>
      <c r="J9" s="150">
        <v>1913.252</v>
      </c>
      <c r="K9" s="150"/>
      <c r="L9" s="149">
        <v>0.25</v>
      </c>
      <c r="M9" s="150">
        <f t="shared" si="7"/>
        <v>867.47699999999998</v>
      </c>
      <c r="N9" s="183">
        <v>101.47499999999999</v>
      </c>
      <c r="O9" s="184">
        <v>766.00199999999995</v>
      </c>
      <c r="Q9" s="1603">
        <v>1998</v>
      </c>
      <c r="R9" s="1613">
        <f t="shared" si="0"/>
        <v>5515.29</v>
      </c>
      <c r="S9" s="1613">
        <f t="shared" si="1"/>
        <v>2572.0610000000001</v>
      </c>
      <c r="T9" s="1613">
        <f t="shared" si="2"/>
        <v>2942.9789999999998</v>
      </c>
      <c r="V9" s="1613"/>
      <c r="X9" s="1603">
        <v>2010</v>
      </c>
      <c r="Y9" s="1613">
        <f>+R21</f>
        <v>8612.5569999999971</v>
      </c>
      <c r="Z9" s="1613">
        <f t="shared" ref="Z9:AC9" si="11">+S21</f>
        <v>3437.6019999999994</v>
      </c>
      <c r="AA9" s="1613">
        <f t="shared" si="11"/>
        <v>5174.2549999999974</v>
      </c>
      <c r="AB9" s="1613">
        <f t="shared" si="11"/>
        <v>0</v>
      </c>
      <c r="AC9" s="1613">
        <f t="shared" si="11"/>
        <v>0</v>
      </c>
    </row>
    <row r="10" spans="1:29" ht="13" x14ac:dyDescent="0.3">
      <c r="B10" s="1396">
        <v>1998</v>
      </c>
      <c r="C10" s="174">
        <f t="shared" si="4"/>
        <v>5515.29</v>
      </c>
      <c r="D10" s="175">
        <f t="shared" si="9"/>
        <v>2572.0610000000001</v>
      </c>
      <c r="E10" s="185">
        <f t="shared" si="5"/>
        <v>2942.9789999999998</v>
      </c>
      <c r="F10" s="185"/>
      <c r="G10" s="186">
        <v>0.25</v>
      </c>
      <c r="H10" s="175">
        <f t="shared" si="6"/>
        <v>4632.2780000000002</v>
      </c>
      <c r="I10" s="175">
        <v>2467.4160000000002</v>
      </c>
      <c r="J10" s="175">
        <v>2164.6119999999996</v>
      </c>
      <c r="K10" s="175"/>
      <c r="L10" s="187">
        <v>0.25</v>
      </c>
      <c r="M10" s="175">
        <f t="shared" si="7"/>
        <v>883.01200000000006</v>
      </c>
      <c r="N10" s="178">
        <v>104.645</v>
      </c>
      <c r="O10" s="179">
        <v>778.36700000000008</v>
      </c>
      <c r="Q10" s="1603">
        <v>1999</v>
      </c>
      <c r="R10" s="1613">
        <f t="shared" si="0"/>
        <v>5742.4279999999999</v>
      </c>
      <c r="S10" s="1613">
        <f t="shared" si="1"/>
        <v>2673.2799999999997</v>
      </c>
      <c r="T10" s="1613">
        <f t="shared" si="2"/>
        <v>3068.4480000000003</v>
      </c>
      <c r="V10" s="1613"/>
      <c r="X10" s="1603">
        <v>2011</v>
      </c>
      <c r="Y10" s="1613">
        <f t="shared" ref="Y10:Y21" si="12">+R22</f>
        <v>8691.3240000000005</v>
      </c>
      <c r="Z10" s="1613">
        <f t="shared" ref="Z10:Z21" si="13">+S22</f>
        <v>3450.9529999999986</v>
      </c>
      <c r="AA10" s="1613">
        <f t="shared" ref="AA10:AA21" si="14">+T22</f>
        <v>5239.6710000000003</v>
      </c>
      <c r="AB10" s="1613">
        <f t="shared" ref="AB10:AB21" si="15">+U22</f>
        <v>0</v>
      </c>
      <c r="AC10" s="1613">
        <f t="shared" ref="AC10:AC21" si="16">+V22</f>
        <v>0</v>
      </c>
    </row>
    <row r="11" spans="1:29" ht="13" x14ac:dyDescent="0.3">
      <c r="B11" s="1395">
        <v>1999</v>
      </c>
      <c r="C11" s="180">
        <f t="shared" si="4"/>
        <v>5742.4279999999999</v>
      </c>
      <c r="D11" s="150">
        <f t="shared" si="9"/>
        <v>2673.2799999999997</v>
      </c>
      <c r="E11" s="148">
        <f t="shared" si="5"/>
        <v>3068.4480000000003</v>
      </c>
      <c r="F11" s="148"/>
      <c r="G11" s="188">
        <v>0.7</v>
      </c>
      <c r="H11" s="150">
        <f t="shared" si="6"/>
        <v>4828.2429999999995</v>
      </c>
      <c r="I11" s="150">
        <v>2587.1289999999999</v>
      </c>
      <c r="J11" s="150">
        <v>2240.4140000000002</v>
      </c>
      <c r="K11" s="150"/>
      <c r="L11" s="149">
        <v>0.7</v>
      </c>
      <c r="M11" s="150">
        <f t="shared" si="7"/>
        <v>914.18499999999995</v>
      </c>
      <c r="N11" s="183">
        <v>86.150999999999982</v>
      </c>
      <c r="O11" s="184">
        <v>828.03399999999999</v>
      </c>
      <c r="Q11" s="1603">
        <v>2000</v>
      </c>
      <c r="R11" s="1613">
        <f t="shared" si="0"/>
        <v>6066.1890000000003</v>
      </c>
      <c r="S11" s="1613">
        <f t="shared" si="1"/>
        <v>2856.8250000000003</v>
      </c>
      <c r="T11" s="1613">
        <f t="shared" si="2"/>
        <v>3208.6640000000002</v>
      </c>
      <c r="V11" s="1613"/>
      <c r="X11" s="1603">
        <v>2012</v>
      </c>
      <c r="Y11" s="1613">
        <f t="shared" si="12"/>
        <v>9699.4349999999995</v>
      </c>
      <c r="Z11" s="1613">
        <f t="shared" si="13"/>
        <v>3484.3239999999983</v>
      </c>
      <c r="AA11" s="1613">
        <f t="shared" si="14"/>
        <v>6134.4110000000001</v>
      </c>
      <c r="AB11" s="1613">
        <f t="shared" si="15"/>
        <v>80</v>
      </c>
      <c r="AC11" s="1613">
        <f t="shared" si="16"/>
        <v>0</v>
      </c>
    </row>
    <row r="12" spans="1:29" ht="13" x14ac:dyDescent="0.3">
      <c r="B12" s="1396">
        <v>2000</v>
      </c>
      <c r="C12" s="174">
        <f t="shared" si="4"/>
        <v>6066.1890000000003</v>
      </c>
      <c r="D12" s="175">
        <f t="shared" si="9"/>
        <v>2856.8250000000003</v>
      </c>
      <c r="E12" s="185">
        <f t="shared" si="5"/>
        <v>3208.6640000000002</v>
      </c>
      <c r="F12" s="185"/>
      <c r="G12" s="186">
        <f>L12</f>
        <v>0.7</v>
      </c>
      <c r="H12" s="175">
        <f t="shared" si="6"/>
        <v>5148.8509999999997</v>
      </c>
      <c r="I12" s="175">
        <v>2779.26</v>
      </c>
      <c r="J12" s="175">
        <v>2368.8910000000001</v>
      </c>
      <c r="K12" s="175"/>
      <c r="L12" s="187">
        <v>0.7</v>
      </c>
      <c r="M12" s="175">
        <f t="shared" si="7"/>
        <v>917.33800000000019</v>
      </c>
      <c r="N12" s="178">
        <v>77.564999999999998</v>
      </c>
      <c r="O12" s="179">
        <v>839.77300000000014</v>
      </c>
      <c r="Q12" s="1603">
        <v>2001</v>
      </c>
      <c r="R12" s="1613">
        <f t="shared" si="0"/>
        <v>5906.6930000000002</v>
      </c>
      <c r="S12" s="1613">
        <f t="shared" si="1"/>
        <v>2966.328</v>
      </c>
      <c r="T12" s="1613">
        <f t="shared" si="2"/>
        <v>2939.665</v>
      </c>
      <c r="V12" s="1613"/>
      <c r="X12" s="1603">
        <v>2013</v>
      </c>
      <c r="Y12" s="1613">
        <f t="shared" si="12"/>
        <v>11050.719000000003</v>
      </c>
      <c r="Z12" s="1613">
        <f t="shared" si="13"/>
        <v>3556.1819999999998</v>
      </c>
      <c r="AA12" s="1613">
        <f t="shared" si="14"/>
        <v>7413.8370000000023</v>
      </c>
      <c r="AB12" s="1613">
        <f t="shared" si="15"/>
        <v>80</v>
      </c>
      <c r="AC12" s="1613">
        <f t="shared" si="16"/>
        <v>0</v>
      </c>
    </row>
    <row r="13" spans="1:29" ht="13" x14ac:dyDescent="0.3">
      <c r="B13" s="1395">
        <v>2001</v>
      </c>
      <c r="C13" s="180">
        <f t="shared" si="4"/>
        <v>5906.6930000000002</v>
      </c>
      <c r="D13" s="150">
        <f t="shared" si="9"/>
        <v>2966.328</v>
      </c>
      <c r="E13" s="148">
        <f t="shared" si="5"/>
        <v>2939.665</v>
      </c>
      <c r="F13" s="148"/>
      <c r="G13" s="149">
        <v>0.7</v>
      </c>
      <c r="H13" s="150">
        <f t="shared" si="6"/>
        <v>5050.8139999999994</v>
      </c>
      <c r="I13" s="148">
        <v>2889.433</v>
      </c>
      <c r="J13" s="148">
        <v>2160.681</v>
      </c>
      <c r="K13" s="148"/>
      <c r="L13" s="149">
        <v>0.7</v>
      </c>
      <c r="M13" s="150">
        <f t="shared" si="7"/>
        <v>855.87900000000002</v>
      </c>
      <c r="N13" s="183">
        <v>76.894999999999996</v>
      </c>
      <c r="O13" s="184">
        <v>778.98400000000004</v>
      </c>
      <c r="Q13" s="1607">
        <v>2002</v>
      </c>
      <c r="R13" s="1613">
        <f t="shared" si="0"/>
        <v>5935.5330000000004</v>
      </c>
      <c r="S13" s="1613">
        <f t="shared" si="1"/>
        <v>2996.4710000000014</v>
      </c>
      <c r="T13" s="1613">
        <f t="shared" si="2"/>
        <v>2938.3619999999996</v>
      </c>
      <c r="V13" s="1613"/>
      <c r="X13" s="1603">
        <v>2014</v>
      </c>
      <c r="Y13" s="1613">
        <f t="shared" si="12"/>
        <v>11202.619000000002</v>
      </c>
      <c r="Z13" s="1613">
        <f t="shared" si="13"/>
        <v>3661.8649999999961</v>
      </c>
      <c r="AA13" s="1613">
        <f t="shared" si="14"/>
        <v>7302.0540000000055</v>
      </c>
      <c r="AB13" s="1613">
        <f t="shared" si="15"/>
        <v>96</v>
      </c>
      <c r="AC13" s="1613">
        <f t="shared" si="16"/>
        <v>142.69999999999999</v>
      </c>
    </row>
    <row r="14" spans="1:29" ht="13" x14ac:dyDescent="0.3">
      <c r="B14" s="1396">
        <v>2002</v>
      </c>
      <c r="C14" s="174">
        <f t="shared" si="4"/>
        <v>5935.5330000000004</v>
      </c>
      <c r="D14" s="175">
        <f t="shared" si="9"/>
        <v>2996.4710000000014</v>
      </c>
      <c r="E14" s="185">
        <f t="shared" si="5"/>
        <v>2938.3619999999996</v>
      </c>
      <c r="F14" s="185"/>
      <c r="G14" s="187">
        <f t="shared" ref="G14:G34" si="17">SUM(L14)</f>
        <v>0.7</v>
      </c>
      <c r="H14" s="175">
        <f t="shared" si="6"/>
        <v>5068.0510000000004</v>
      </c>
      <c r="I14" s="185">
        <v>2917.6020000000012</v>
      </c>
      <c r="J14" s="185">
        <v>2149.7489999999998</v>
      </c>
      <c r="K14" s="185"/>
      <c r="L14" s="187">
        <v>0.7</v>
      </c>
      <c r="M14" s="175">
        <f t="shared" si="7"/>
        <v>867.48199999999974</v>
      </c>
      <c r="N14" s="178">
        <v>78.868999999999971</v>
      </c>
      <c r="O14" s="179">
        <v>788.61299999999983</v>
      </c>
      <c r="Q14" s="1603">
        <v>2003</v>
      </c>
      <c r="R14" s="1613">
        <f t="shared" si="0"/>
        <v>5970.0630000000001</v>
      </c>
      <c r="S14" s="1613">
        <f t="shared" si="1"/>
        <v>3032.3070000000002</v>
      </c>
      <c r="T14" s="1613">
        <f t="shared" si="2"/>
        <v>2937.056</v>
      </c>
      <c r="V14" s="1613"/>
      <c r="X14" s="1607">
        <v>2015</v>
      </c>
      <c r="Y14" s="1613">
        <f t="shared" si="12"/>
        <v>12188.627</v>
      </c>
      <c r="Z14" s="1613">
        <f t="shared" si="13"/>
        <v>4151.8429999999962</v>
      </c>
      <c r="AA14" s="1613">
        <f t="shared" si="14"/>
        <v>7700.9840000000049</v>
      </c>
      <c r="AB14" s="1613">
        <f t="shared" si="15"/>
        <v>96</v>
      </c>
      <c r="AC14" s="1613">
        <f t="shared" si="16"/>
        <v>239.79999999999998</v>
      </c>
    </row>
    <row r="15" spans="1:29" ht="13" x14ac:dyDescent="0.3">
      <c r="B15" s="1395">
        <v>2003</v>
      </c>
      <c r="C15" s="180">
        <f>SUM(D15:G15)</f>
        <v>5970.0630000000001</v>
      </c>
      <c r="D15" s="150">
        <f t="shared" si="9"/>
        <v>3032.3070000000002</v>
      </c>
      <c r="E15" s="148">
        <f t="shared" si="5"/>
        <v>2937.056</v>
      </c>
      <c r="F15" s="148"/>
      <c r="G15" s="149">
        <f t="shared" si="17"/>
        <v>0.7</v>
      </c>
      <c r="H15" s="150">
        <f>SUM(I15:L15)</f>
        <v>5095.1030000000001</v>
      </c>
      <c r="I15" s="148">
        <v>2946.8210000000004</v>
      </c>
      <c r="J15" s="148">
        <v>2147.5819999999999</v>
      </c>
      <c r="K15" s="148"/>
      <c r="L15" s="149">
        <v>0.7</v>
      </c>
      <c r="M15" s="150">
        <f>SUM(N15:O15)</f>
        <v>874.96</v>
      </c>
      <c r="N15" s="149">
        <v>85.48599999999999</v>
      </c>
      <c r="O15" s="184">
        <v>789.47400000000005</v>
      </c>
      <c r="Q15" s="1603">
        <v>2004</v>
      </c>
      <c r="R15" s="1613">
        <f t="shared" si="0"/>
        <v>6016.3186000000023</v>
      </c>
      <c r="S15" s="1613">
        <f t="shared" si="1"/>
        <v>3055.8676000000023</v>
      </c>
      <c r="T15" s="1613">
        <f t="shared" si="2"/>
        <v>2959.7510000000002</v>
      </c>
      <c r="V15" s="1613"/>
      <c r="X15" s="1603">
        <v>2016</v>
      </c>
      <c r="Y15" s="1613">
        <f t="shared" si="12"/>
        <v>14517.715000000004</v>
      </c>
      <c r="Z15" s="1613">
        <f t="shared" si="13"/>
        <v>5189.2449999999972</v>
      </c>
      <c r="AA15" s="1613">
        <f t="shared" si="14"/>
        <v>8988.5200000000059</v>
      </c>
      <c r="AB15" s="1613">
        <f t="shared" si="15"/>
        <v>100</v>
      </c>
      <c r="AC15" s="1613">
        <f t="shared" si="16"/>
        <v>239.95</v>
      </c>
    </row>
    <row r="16" spans="1:29" ht="13" x14ac:dyDescent="0.3">
      <c r="B16" s="1396">
        <v>2004</v>
      </c>
      <c r="C16" s="174">
        <f t="shared" si="4"/>
        <v>6016.3186000000023</v>
      </c>
      <c r="D16" s="175">
        <f t="shared" si="9"/>
        <v>3055.8676000000023</v>
      </c>
      <c r="E16" s="185">
        <f t="shared" si="5"/>
        <v>2959.7510000000002</v>
      </c>
      <c r="F16" s="185"/>
      <c r="G16" s="187">
        <f t="shared" si="17"/>
        <v>0.7</v>
      </c>
      <c r="H16" s="175">
        <f t="shared" si="6"/>
        <v>5096.0216000000028</v>
      </c>
      <c r="I16" s="185">
        <v>2969.0596000000023</v>
      </c>
      <c r="J16" s="185">
        <v>2126.2620000000002</v>
      </c>
      <c r="K16" s="185"/>
      <c r="L16" s="187">
        <v>0.7</v>
      </c>
      <c r="M16" s="175">
        <f t="shared" si="7"/>
        <v>920.29700000000003</v>
      </c>
      <c r="N16" s="187">
        <v>86.807999999999964</v>
      </c>
      <c r="O16" s="179">
        <v>833.48900000000003</v>
      </c>
      <c r="Q16" s="1603">
        <v>2005</v>
      </c>
      <c r="R16" s="1613">
        <f t="shared" si="0"/>
        <v>6200.5255999999999</v>
      </c>
      <c r="S16" s="1613">
        <f t="shared" si="1"/>
        <v>3207.0616000000005</v>
      </c>
      <c r="T16" s="1613">
        <f t="shared" si="2"/>
        <v>2992.7639999999992</v>
      </c>
      <c r="V16" s="1613"/>
      <c r="X16" s="1607">
        <v>2017</v>
      </c>
      <c r="Y16" s="1613">
        <f t="shared" si="12"/>
        <v>14734.771000000197</v>
      </c>
      <c r="Z16" s="1613">
        <f t="shared" si="13"/>
        <v>5245.930000000023</v>
      </c>
      <c r="AA16" s="1613">
        <f t="shared" si="14"/>
        <v>9004.407000000172</v>
      </c>
      <c r="AB16" s="1613">
        <f t="shared" si="15"/>
        <v>244.48399999999998</v>
      </c>
      <c r="AC16" s="1613">
        <f t="shared" si="16"/>
        <v>239.94999999999985</v>
      </c>
    </row>
    <row r="17" spans="2:29" ht="13" x14ac:dyDescent="0.3">
      <c r="B17" s="1395">
        <v>2005</v>
      </c>
      <c r="C17" s="180">
        <f t="shared" si="4"/>
        <v>6200.5255999999999</v>
      </c>
      <c r="D17" s="150">
        <f t="shared" si="9"/>
        <v>3207.0616000000005</v>
      </c>
      <c r="E17" s="148">
        <f t="shared" si="5"/>
        <v>2992.7639999999992</v>
      </c>
      <c r="F17" s="148"/>
      <c r="G17" s="149">
        <f t="shared" si="17"/>
        <v>0.7</v>
      </c>
      <c r="H17" s="150">
        <f t="shared" si="6"/>
        <v>5220.6336000000001</v>
      </c>
      <c r="I17" s="148">
        <v>3119.1996000000004</v>
      </c>
      <c r="J17" s="148">
        <v>2100.7339999999995</v>
      </c>
      <c r="K17" s="148"/>
      <c r="L17" s="149">
        <v>0.7</v>
      </c>
      <c r="M17" s="150">
        <f t="shared" ref="M17:M34" si="18">+N17+O17</f>
        <v>979.89199999999994</v>
      </c>
      <c r="N17" s="149">
        <v>87.861999999999981</v>
      </c>
      <c r="O17" s="184">
        <v>892.03</v>
      </c>
      <c r="Q17" s="1603">
        <v>2006</v>
      </c>
      <c r="R17" s="1613">
        <f t="shared" si="0"/>
        <v>6658.1435999999994</v>
      </c>
      <c r="S17" s="1613">
        <f t="shared" si="1"/>
        <v>3216.0025999999998</v>
      </c>
      <c r="T17" s="1613">
        <f t="shared" si="2"/>
        <v>3441.4409999999998</v>
      </c>
      <c r="V17" s="1613"/>
      <c r="X17" s="1603">
        <v>2018</v>
      </c>
      <c r="Y17" s="1613">
        <f t="shared" si="12"/>
        <v>15144.58600000001</v>
      </c>
      <c r="Z17" s="1613">
        <f t="shared" si="13"/>
        <v>5363.3650000000007</v>
      </c>
      <c r="AA17" s="1613">
        <f t="shared" si="14"/>
        <v>9124.4870000000083</v>
      </c>
      <c r="AB17" s="1613">
        <f t="shared" si="15"/>
        <v>284.48400000000004</v>
      </c>
      <c r="AC17" s="1613">
        <f t="shared" si="16"/>
        <v>372.24999999999994</v>
      </c>
    </row>
    <row r="18" spans="2:29" ht="13" x14ac:dyDescent="0.3">
      <c r="B18" s="1396">
        <v>2006</v>
      </c>
      <c r="C18" s="174">
        <f>SUM(D18:G18)</f>
        <v>6658.1435999999994</v>
      </c>
      <c r="D18" s="175">
        <f t="shared" si="9"/>
        <v>3216.0025999999998</v>
      </c>
      <c r="E18" s="185">
        <f t="shared" si="5"/>
        <v>3441.4409999999998</v>
      </c>
      <c r="F18" s="185"/>
      <c r="G18" s="187">
        <f t="shared" si="17"/>
        <v>0.7</v>
      </c>
      <c r="H18" s="175">
        <f>SUM(I18:L18)</f>
        <v>5625.1415999999999</v>
      </c>
      <c r="I18" s="185">
        <v>3127.8006</v>
      </c>
      <c r="J18" s="185">
        <v>2496.6410000000001</v>
      </c>
      <c r="K18" s="185"/>
      <c r="L18" s="187">
        <v>0.7</v>
      </c>
      <c r="M18" s="175">
        <f t="shared" si="18"/>
        <v>1033.0019999999997</v>
      </c>
      <c r="N18" s="187">
        <v>88.201999999999998</v>
      </c>
      <c r="O18" s="179">
        <v>944.79999999999973</v>
      </c>
      <c r="Q18" s="1607">
        <v>2007</v>
      </c>
      <c r="R18" s="1613">
        <f t="shared" si="0"/>
        <v>7027.5172000000002</v>
      </c>
      <c r="S18" s="1613">
        <f t="shared" si="1"/>
        <v>3233.5982000000004</v>
      </c>
      <c r="T18" s="1613">
        <f t="shared" si="2"/>
        <v>3793.2190000000001</v>
      </c>
      <c r="V18" s="1613"/>
      <c r="X18" s="1607">
        <v>2019</v>
      </c>
      <c r="Y18" s="1613">
        <f t="shared" si="12"/>
        <v>15122.840000000011</v>
      </c>
      <c r="Z18" s="1613">
        <f t="shared" si="13"/>
        <v>5397.2050000000027</v>
      </c>
      <c r="AA18" s="1613">
        <f t="shared" si="14"/>
        <v>9064.3510000000097</v>
      </c>
      <c r="AB18" s="1613">
        <f t="shared" si="15"/>
        <v>289.03399999999999</v>
      </c>
      <c r="AC18" s="1613">
        <f t="shared" si="16"/>
        <v>372.24999999999994</v>
      </c>
    </row>
    <row r="19" spans="2:29" ht="13" x14ac:dyDescent="0.3">
      <c r="B19" s="1395">
        <v>2007</v>
      </c>
      <c r="C19" s="180">
        <f t="shared" si="4"/>
        <v>7027.5172000000002</v>
      </c>
      <c r="D19" s="150">
        <f t="shared" si="9"/>
        <v>3233.5982000000004</v>
      </c>
      <c r="E19" s="148">
        <f t="shared" si="5"/>
        <v>3793.2190000000001</v>
      </c>
      <c r="F19" s="148"/>
      <c r="G19" s="149">
        <f t="shared" si="17"/>
        <v>0.7</v>
      </c>
      <c r="H19" s="150">
        <f t="shared" si="6"/>
        <v>5989.7251999999999</v>
      </c>
      <c r="I19" s="148">
        <v>3145.1412000000005</v>
      </c>
      <c r="J19" s="148">
        <v>2843.884</v>
      </c>
      <c r="K19" s="148"/>
      <c r="L19" s="149">
        <v>0.7</v>
      </c>
      <c r="M19" s="150">
        <f t="shared" si="18"/>
        <v>1037.7919999999999</v>
      </c>
      <c r="N19" s="149">
        <v>88.456999999999994</v>
      </c>
      <c r="O19" s="184">
        <v>949.33499999999992</v>
      </c>
      <c r="Q19" s="1603">
        <v>2008</v>
      </c>
      <c r="R19" s="1613">
        <f t="shared" si="0"/>
        <v>7157.9350000000031</v>
      </c>
      <c r="S19" s="1613">
        <f t="shared" si="1"/>
        <v>3242.0260000000017</v>
      </c>
      <c r="T19" s="1613">
        <f t="shared" si="2"/>
        <v>3915.2090000000017</v>
      </c>
      <c r="V19" s="1613"/>
      <c r="X19" s="1603">
        <v>2020</v>
      </c>
      <c r="Y19" s="1613">
        <f t="shared" si="12"/>
        <v>15186.97000000001</v>
      </c>
      <c r="Z19" s="1613">
        <f t="shared" si="13"/>
        <v>5416.5830000000033</v>
      </c>
      <c r="AA19" s="1613">
        <f t="shared" si="14"/>
        <v>9072.3630000000085</v>
      </c>
      <c r="AB19" s="1613">
        <f t="shared" si="15"/>
        <v>289.03399999999999</v>
      </c>
      <c r="AC19" s="1613">
        <f t="shared" si="16"/>
        <v>408.98999999999995</v>
      </c>
    </row>
    <row r="20" spans="2:29" ht="13" x14ac:dyDescent="0.3">
      <c r="B20" s="1396">
        <v>2008</v>
      </c>
      <c r="C20" s="174">
        <f t="shared" si="4"/>
        <v>7157.9350000000031</v>
      </c>
      <c r="D20" s="175">
        <f t="shared" si="9"/>
        <v>3242.0260000000017</v>
      </c>
      <c r="E20" s="176">
        <f t="shared" si="5"/>
        <v>3915.2090000000017</v>
      </c>
      <c r="F20" s="176"/>
      <c r="G20" s="187">
        <f t="shared" si="17"/>
        <v>0.7</v>
      </c>
      <c r="H20" s="175">
        <f t="shared" si="6"/>
        <v>5996.9830000000029</v>
      </c>
      <c r="I20" s="185">
        <v>3152.0380000000018</v>
      </c>
      <c r="J20" s="185">
        <v>2844.2450000000008</v>
      </c>
      <c r="K20" s="185"/>
      <c r="L20" s="187">
        <v>0.7</v>
      </c>
      <c r="M20" s="175">
        <f t="shared" si="18"/>
        <v>1160.9520000000007</v>
      </c>
      <c r="N20" s="187">
        <v>89.987999999999971</v>
      </c>
      <c r="O20" s="179">
        <v>1070.9640000000006</v>
      </c>
      <c r="Q20" s="1603">
        <v>2009</v>
      </c>
      <c r="R20" s="1613">
        <f t="shared" si="0"/>
        <v>7986.4960000000019</v>
      </c>
      <c r="S20" s="1613">
        <f t="shared" si="1"/>
        <v>3277.4640000000018</v>
      </c>
      <c r="T20" s="1613">
        <f t="shared" si="2"/>
        <v>4708.3320000000003</v>
      </c>
      <c r="V20" s="1613"/>
      <c r="X20" s="1607">
        <v>2021</v>
      </c>
      <c r="Y20" s="1613">
        <f t="shared" si="12"/>
        <v>15340.308999999972</v>
      </c>
      <c r="Z20" s="1613">
        <f t="shared" si="13"/>
        <v>5513.7740000000113</v>
      </c>
      <c r="AA20" s="1613">
        <f t="shared" si="14"/>
        <v>9131.0349999999617</v>
      </c>
      <c r="AB20" s="1613">
        <f t="shared" si="15"/>
        <v>286.51000000000022</v>
      </c>
      <c r="AC20" s="1613">
        <f t="shared" si="16"/>
        <v>408.98999999999995</v>
      </c>
    </row>
    <row r="21" spans="2:29" ht="13" x14ac:dyDescent="0.3">
      <c r="B21" s="1395">
        <v>2009</v>
      </c>
      <c r="C21" s="180">
        <f t="shared" si="4"/>
        <v>7986.4960000000019</v>
      </c>
      <c r="D21" s="150">
        <f t="shared" si="9"/>
        <v>3277.4640000000018</v>
      </c>
      <c r="E21" s="181">
        <f t="shared" si="5"/>
        <v>4708.3320000000003</v>
      </c>
      <c r="F21" s="181"/>
      <c r="G21" s="149">
        <f t="shared" si="17"/>
        <v>0.7</v>
      </c>
      <c r="H21" s="150">
        <f t="shared" si="6"/>
        <v>6723.5160000000024</v>
      </c>
      <c r="I21" s="148">
        <v>3183.1260000000016</v>
      </c>
      <c r="J21" s="148">
        <v>3539.6900000000005</v>
      </c>
      <c r="K21" s="148"/>
      <c r="L21" s="149">
        <v>0.7</v>
      </c>
      <c r="M21" s="150">
        <f t="shared" si="18"/>
        <v>1262.9800000000002</v>
      </c>
      <c r="N21" s="149">
        <v>94.337999999999994</v>
      </c>
      <c r="O21" s="184">
        <v>1168.6420000000003</v>
      </c>
      <c r="Q21" s="1603">
        <v>2010</v>
      </c>
      <c r="R21" s="1613">
        <f t="shared" si="0"/>
        <v>8612.5569999999971</v>
      </c>
      <c r="S21" s="1613">
        <f t="shared" si="1"/>
        <v>3437.6019999999994</v>
      </c>
      <c r="T21" s="1613">
        <f t="shared" si="2"/>
        <v>5174.2549999999974</v>
      </c>
      <c r="V21" s="1613"/>
      <c r="X21" s="1603">
        <v>2022</v>
      </c>
      <c r="Y21" s="1613">
        <f t="shared" si="12"/>
        <v>15759.502000000011</v>
      </c>
      <c r="Z21" s="1613">
        <f t="shared" si="13"/>
        <v>5514.3140000000039</v>
      </c>
      <c r="AA21" s="1613">
        <f t="shared" si="14"/>
        <v>9419.6880000000074</v>
      </c>
      <c r="AB21" s="1613">
        <f t="shared" si="15"/>
        <v>286.51</v>
      </c>
      <c r="AC21" s="1613">
        <f t="shared" si="16"/>
        <v>538.99</v>
      </c>
    </row>
    <row r="22" spans="2:29" ht="13" x14ac:dyDescent="0.3">
      <c r="B22" s="1396">
        <v>2010</v>
      </c>
      <c r="C22" s="174">
        <f t="shared" si="4"/>
        <v>8612.5569999999971</v>
      </c>
      <c r="D22" s="175">
        <f t="shared" si="9"/>
        <v>3437.6019999999994</v>
      </c>
      <c r="E22" s="176">
        <f t="shared" si="5"/>
        <v>5174.2549999999974</v>
      </c>
      <c r="F22" s="176"/>
      <c r="G22" s="187">
        <f t="shared" si="17"/>
        <v>0.7</v>
      </c>
      <c r="H22" s="175">
        <f t="shared" si="6"/>
        <v>7309.1659999999965</v>
      </c>
      <c r="I22" s="185">
        <v>3344.7949999999996</v>
      </c>
      <c r="J22" s="185">
        <v>3963.6709999999966</v>
      </c>
      <c r="K22" s="185"/>
      <c r="L22" s="187">
        <v>0.7</v>
      </c>
      <c r="M22" s="175">
        <f>+N22+O22</f>
        <v>1303.3910000000008</v>
      </c>
      <c r="N22" s="187">
        <v>92.806999999999974</v>
      </c>
      <c r="O22" s="179">
        <v>1210.5840000000007</v>
      </c>
      <c r="Q22" s="1603">
        <v>2011</v>
      </c>
      <c r="R22" s="1613">
        <f t="shared" si="0"/>
        <v>8691.3240000000005</v>
      </c>
      <c r="S22" s="1613">
        <f t="shared" si="1"/>
        <v>3450.9529999999986</v>
      </c>
      <c r="T22" s="1613">
        <f t="shared" si="2"/>
        <v>5239.6710000000003</v>
      </c>
      <c r="V22" s="1613"/>
      <c r="Y22" s="1613"/>
      <c r="Z22" s="1613"/>
      <c r="AA22" s="1613"/>
      <c r="AB22" s="1613"/>
      <c r="AC22" s="1613"/>
    </row>
    <row r="23" spans="2:29" ht="13" x14ac:dyDescent="0.3">
      <c r="B23" s="1395">
        <v>2011</v>
      </c>
      <c r="C23" s="180">
        <f t="shared" si="4"/>
        <v>8691.3240000000005</v>
      </c>
      <c r="D23" s="150">
        <f t="shared" si="9"/>
        <v>3450.9529999999986</v>
      </c>
      <c r="E23" s="181">
        <f t="shared" si="5"/>
        <v>5239.6710000000003</v>
      </c>
      <c r="F23" s="181"/>
      <c r="G23" s="149">
        <f t="shared" si="17"/>
        <v>0.7</v>
      </c>
      <c r="H23" s="150">
        <f t="shared" si="6"/>
        <v>7314.2369999999992</v>
      </c>
      <c r="I23" s="150">
        <v>3357.0599999999986</v>
      </c>
      <c r="J23" s="150">
        <v>3956.4770000000008</v>
      </c>
      <c r="K23" s="148"/>
      <c r="L23" s="149">
        <v>0.7</v>
      </c>
      <c r="M23" s="150">
        <f t="shared" si="18"/>
        <v>1377.087</v>
      </c>
      <c r="N23" s="150">
        <v>93.893000000000001</v>
      </c>
      <c r="O23" s="220">
        <v>1283.194</v>
      </c>
      <c r="Q23" s="1603">
        <v>2012</v>
      </c>
      <c r="R23" s="1613">
        <f t="shared" si="0"/>
        <v>9699.4349999999995</v>
      </c>
      <c r="S23" s="1613">
        <f t="shared" si="1"/>
        <v>3484.3239999999983</v>
      </c>
      <c r="T23" s="1613">
        <f t="shared" si="2"/>
        <v>6134.4110000000001</v>
      </c>
      <c r="U23" s="1613">
        <f t="shared" ref="U23:U33" si="19">F24</f>
        <v>80</v>
      </c>
      <c r="V23" s="1613"/>
      <c r="Y23" s="1613"/>
      <c r="Z23" s="1613"/>
      <c r="AA23" s="1613"/>
      <c r="AB23" s="1613"/>
      <c r="AC23" s="1613"/>
    </row>
    <row r="24" spans="2:29" ht="13" x14ac:dyDescent="0.3">
      <c r="B24" s="1392">
        <v>2012</v>
      </c>
      <c r="C24" s="189">
        <f t="shared" si="4"/>
        <v>9699.4349999999995</v>
      </c>
      <c r="D24" s="190">
        <f>SUM(I24,N24)</f>
        <v>3484.3239999999983</v>
      </c>
      <c r="E24" s="191">
        <f>SUM(J24,O24)</f>
        <v>6134.4110000000001</v>
      </c>
      <c r="F24" s="192">
        <f t="shared" ref="F24:F34" si="20">SUM(K24)</f>
        <v>80</v>
      </c>
      <c r="G24" s="192">
        <f t="shared" si="17"/>
        <v>0.7</v>
      </c>
      <c r="H24" s="190">
        <f t="shared" si="6"/>
        <v>8267.1709999999985</v>
      </c>
      <c r="I24" s="185">
        <v>3380.8299999999981</v>
      </c>
      <c r="J24" s="185">
        <v>4805.6409999999996</v>
      </c>
      <c r="K24" s="193">
        <v>80</v>
      </c>
      <c r="L24" s="192">
        <v>0.7</v>
      </c>
      <c r="M24" s="190">
        <f t="shared" si="18"/>
        <v>1432.2640000000001</v>
      </c>
      <c r="N24" s="187">
        <v>103.494</v>
      </c>
      <c r="O24" s="179">
        <v>1328.7700000000002</v>
      </c>
      <c r="Q24" s="1603">
        <v>2013</v>
      </c>
      <c r="R24" s="1613">
        <f t="shared" si="0"/>
        <v>11050.719000000003</v>
      </c>
      <c r="S24" s="1613">
        <f t="shared" si="1"/>
        <v>3556.1819999999998</v>
      </c>
      <c r="T24" s="1613">
        <f t="shared" si="2"/>
        <v>7413.8370000000023</v>
      </c>
      <c r="U24" s="1613">
        <f t="shared" si="19"/>
        <v>80</v>
      </c>
      <c r="V24" s="1613"/>
      <c r="Y24" s="1613"/>
      <c r="Z24" s="1613"/>
      <c r="AA24" s="1613"/>
      <c r="AB24" s="1613"/>
      <c r="AC24" s="1613"/>
    </row>
    <row r="25" spans="2:29" ht="13" x14ac:dyDescent="0.3">
      <c r="B25" s="1397">
        <v>2013</v>
      </c>
      <c r="C25" s="194">
        <f t="shared" si="4"/>
        <v>11050.719000000003</v>
      </c>
      <c r="D25" s="195">
        <f t="shared" si="9"/>
        <v>3556.1819999999998</v>
      </c>
      <c r="E25" s="196">
        <f t="shared" si="5"/>
        <v>7413.8370000000023</v>
      </c>
      <c r="F25" s="197">
        <f t="shared" si="20"/>
        <v>80</v>
      </c>
      <c r="G25" s="197">
        <f t="shared" si="17"/>
        <v>0.7</v>
      </c>
      <c r="H25" s="195">
        <f t="shared" si="6"/>
        <v>9634.631000000003</v>
      </c>
      <c r="I25" s="198">
        <v>3450.5469999999996</v>
      </c>
      <c r="J25" s="198">
        <v>6103.3840000000027</v>
      </c>
      <c r="K25" s="198">
        <v>80</v>
      </c>
      <c r="L25" s="197">
        <v>0.7</v>
      </c>
      <c r="M25" s="195">
        <f t="shared" si="18"/>
        <v>1416.0879999999997</v>
      </c>
      <c r="N25" s="197">
        <v>105.63500000000001</v>
      </c>
      <c r="O25" s="199">
        <v>1310.4529999999997</v>
      </c>
      <c r="Q25" s="1603">
        <v>2014</v>
      </c>
      <c r="R25" s="1613">
        <f t="shared" si="0"/>
        <v>11202.619000000002</v>
      </c>
      <c r="S25" s="1613">
        <f t="shared" si="1"/>
        <v>3661.8649999999961</v>
      </c>
      <c r="T25" s="1613">
        <f t="shared" si="2"/>
        <v>7302.0540000000055</v>
      </c>
      <c r="U25" s="1613">
        <f t="shared" si="19"/>
        <v>96</v>
      </c>
      <c r="V25" s="1613">
        <f t="shared" ref="V25:V33" si="21">G26</f>
        <v>142.69999999999999</v>
      </c>
      <c r="Y25" s="1613"/>
      <c r="Z25" s="1613"/>
      <c r="AA25" s="1613"/>
      <c r="AB25" s="1613"/>
      <c r="AC25" s="1613"/>
    </row>
    <row r="26" spans="2:29" ht="13" x14ac:dyDescent="0.3">
      <c r="B26" s="1391">
        <v>2014</v>
      </c>
      <c r="C26" s="174">
        <f t="shared" si="4"/>
        <v>11202.619000000002</v>
      </c>
      <c r="D26" s="175">
        <f t="shared" si="9"/>
        <v>3661.8649999999961</v>
      </c>
      <c r="E26" s="176">
        <f t="shared" si="9"/>
        <v>7302.0540000000055</v>
      </c>
      <c r="F26" s="176">
        <f t="shared" si="20"/>
        <v>96</v>
      </c>
      <c r="G26" s="187">
        <f t="shared" si="17"/>
        <v>142.69999999999999</v>
      </c>
      <c r="H26" s="175">
        <f t="shared" si="6"/>
        <v>9739.2480000000032</v>
      </c>
      <c r="I26" s="185">
        <v>3558.2689999999961</v>
      </c>
      <c r="J26" s="185">
        <v>5942.2790000000059</v>
      </c>
      <c r="K26" s="185">
        <v>96</v>
      </c>
      <c r="L26" s="187">
        <v>142.69999999999999</v>
      </c>
      <c r="M26" s="175">
        <f t="shared" si="18"/>
        <v>1463.3709999999996</v>
      </c>
      <c r="N26" s="187">
        <v>103.59599999999998</v>
      </c>
      <c r="O26" s="179">
        <v>1359.7749999999996</v>
      </c>
      <c r="Q26" s="1607">
        <v>2015</v>
      </c>
      <c r="R26" s="1613">
        <f t="shared" si="0"/>
        <v>12188.627</v>
      </c>
      <c r="S26" s="1613">
        <f t="shared" si="1"/>
        <v>4151.8429999999962</v>
      </c>
      <c r="T26" s="1613">
        <f t="shared" si="2"/>
        <v>7700.9840000000049</v>
      </c>
      <c r="U26" s="1613">
        <f t="shared" si="19"/>
        <v>96</v>
      </c>
      <c r="V26" s="1613">
        <f t="shared" si="21"/>
        <v>239.79999999999998</v>
      </c>
      <c r="X26" s="1607"/>
      <c r="Y26" s="1613"/>
      <c r="Z26" s="1613"/>
      <c r="AA26" s="1613"/>
      <c r="AB26" s="1613"/>
      <c r="AC26" s="1613"/>
    </row>
    <row r="27" spans="2:29" ht="13" x14ac:dyDescent="0.3">
      <c r="B27" s="1390">
        <v>2015</v>
      </c>
      <c r="C27" s="194">
        <f t="shared" si="4"/>
        <v>12188.627</v>
      </c>
      <c r="D27" s="195">
        <f t="shared" ref="D27:E34" si="22">SUM(I27,N27)</f>
        <v>4151.8429999999962</v>
      </c>
      <c r="E27" s="196">
        <f t="shared" si="22"/>
        <v>7700.9840000000049</v>
      </c>
      <c r="F27" s="197">
        <f t="shared" si="20"/>
        <v>96</v>
      </c>
      <c r="G27" s="197">
        <f t="shared" si="17"/>
        <v>239.79999999999998</v>
      </c>
      <c r="H27" s="195">
        <f t="shared" si="6"/>
        <v>10717.713000000002</v>
      </c>
      <c r="I27" s="198">
        <v>4047.8669999999961</v>
      </c>
      <c r="J27" s="198">
        <v>6334.0460000000057</v>
      </c>
      <c r="K27" s="198">
        <v>96</v>
      </c>
      <c r="L27" s="197">
        <v>239.79999999999998</v>
      </c>
      <c r="M27" s="195">
        <f t="shared" si="18"/>
        <v>1470.9139999999993</v>
      </c>
      <c r="N27" s="197">
        <v>103.97599999999998</v>
      </c>
      <c r="O27" s="199">
        <v>1366.9379999999994</v>
      </c>
      <c r="Q27" s="1603">
        <v>2016</v>
      </c>
      <c r="R27" s="1613">
        <f t="shared" si="0"/>
        <v>14517.715000000004</v>
      </c>
      <c r="S27" s="1613">
        <f t="shared" si="1"/>
        <v>5189.2449999999972</v>
      </c>
      <c r="T27" s="1613">
        <f t="shared" si="2"/>
        <v>8988.5200000000059</v>
      </c>
      <c r="U27" s="1613">
        <f t="shared" si="19"/>
        <v>100</v>
      </c>
      <c r="V27" s="1613">
        <f t="shared" si="21"/>
        <v>239.95</v>
      </c>
      <c r="Y27" s="1613"/>
      <c r="Z27" s="1613"/>
      <c r="AA27" s="1613"/>
      <c r="AB27" s="1613"/>
      <c r="AC27" s="1613"/>
    </row>
    <row r="28" spans="2:29" ht="13" x14ac:dyDescent="0.3">
      <c r="B28" s="1391">
        <v>2016</v>
      </c>
      <c r="C28" s="174">
        <f t="shared" si="4"/>
        <v>14517.715000000004</v>
      </c>
      <c r="D28" s="175">
        <f t="shared" si="22"/>
        <v>5189.2449999999972</v>
      </c>
      <c r="E28" s="176">
        <f t="shared" si="22"/>
        <v>8988.5200000000059</v>
      </c>
      <c r="F28" s="176">
        <f t="shared" si="20"/>
        <v>100</v>
      </c>
      <c r="G28" s="187">
        <f t="shared" si="17"/>
        <v>239.95</v>
      </c>
      <c r="H28" s="175">
        <f t="shared" si="6"/>
        <v>13044.474000000006</v>
      </c>
      <c r="I28" s="185">
        <v>5072.4689999999973</v>
      </c>
      <c r="J28" s="185">
        <v>7632.0550000000067</v>
      </c>
      <c r="K28" s="185">
        <v>100</v>
      </c>
      <c r="L28" s="187">
        <v>239.95</v>
      </c>
      <c r="M28" s="175">
        <f t="shared" si="18"/>
        <v>1473.241</v>
      </c>
      <c r="N28" s="187">
        <v>116.776</v>
      </c>
      <c r="O28" s="179">
        <v>1356.4649999999999</v>
      </c>
      <c r="Q28" s="1607">
        <v>2017</v>
      </c>
      <c r="R28" s="1613">
        <f t="shared" si="0"/>
        <v>14734.771000000197</v>
      </c>
      <c r="S28" s="1613">
        <f t="shared" si="1"/>
        <v>5245.930000000023</v>
      </c>
      <c r="T28" s="1613">
        <f t="shared" si="2"/>
        <v>9004.407000000172</v>
      </c>
      <c r="U28" s="1613">
        <f t="shared" si="19"/>
        <v>244.48399999999998</v>
      </c>
      <c r="V28" s="1613">
        <f t="shared" si="21"/>
        <v>239.94999999999985</v>
      </c>
      <c r="X28" s="1607"/>
      <c r="Y28" s="1613"/>
      <c r="Z28" s="1613"/>
      <c r="AA28" s="1613"/>
      <c r="AB28" s="1613"/>
      <c r="AC28" s="1613"/>
    </row>
    <row r="29" spans="2:29" ht="13" x14ac:dyDescent="0.3">
      <c r="B29" s="1390">
        <v>2017</v>
      </c>
      <c r="C29" s="194">
        <f t="shared" si="4"/>
        <v>14734.771000000197</v>
      </c>
      <c r="D29" s="195">
        <f t="shared" si="22"/>
        <v>5245.930000000023</v>
      </c>
      <c r="E29" s="196">
        <f t="shared" si="22"/>
        <v>9004.407000000172</v>
      </c>
      <c r="F29" s="197">
        <f t="shared" si="20"/>
        <v>244.48399999999998</v>
      </c>
      <c r="G29" s="197">
        <f t="shared" si="17"/>
        <v>239.94999999999985</v>
      </c>
      <c r="H29" s="195">
        <f t="shared" si="6"/>
        <v>13238.762000000199</v>
      </c>
      <c r="I29" s="198">
        <v>5115.7070000000231</v>
      </c>
      <c r="J29" s="198">
        <v>7638.6210000001747</v>
      </c>
      <c r="K29" s="198">
        <v>244.48399999999998</v>
      </c>
      <c r="L29" s="197">
        <v>239.94999999999985</v>
      </c>
      <c r="M29" s="195">
        <f t="shared" si="18"/>
        <v>1496.0089999999977</v>
      </c>
      <c r="N29" s="197">
        <v>130.2229999999997</v>
      </c>
      <c r="O29" s="199">
        <v>1365.785999999998</v>
      </c>
      <c r="Q29" s="1603">
        <v>2018</v>
      </c>
      <c r="R29" s="1613">
        <f t="shared" si="0"/>
        <v>15144.58600000001</v>
      </c>
      <c r="S29" s="1613">
        <f t="shared" si="1"/>
        <v>5363.3650000000007</v>
      </c>
      <c r="T29" s="1613">
        <f t="shared" si="2"/>
        <v>9124.4870000000083</v>
      </c>
      <c r="U29" s="1613">
        <f t="shared" si="19"/>
        <v>284.48400000000004</v>
      </c>
      <c r="V29" s="1613">
        <f t="shared" si="21"/>
        <v>372.24999999999994</v>
      </c>
      <c r="Y29" s="1613"/>
      <c r="Z29" s="1613"/>
      <c r="AA29" s="1613"/>
      <c r="AB29" s="1613"/>
      <c r="AC29" s="1613"/>
    </row>
    <row r="30" spans="2:29" ht="13" x14ac:dyDescent="0.3">
      <c r="B30" s="1391">
        <v>2018</v>
      </c>
      <c r="C30" s="174">
        <f t="shared" si="4"/>
        <v>15144.58600000001</v>
      </c>
      <c r="D30" s="175">
        <f t="shared" si="22"/>
        <v>5363.3650000000007</v>
      </c>
      <c r="E30" s="176">
        <f t="shared" si="22"/>
        <v>9124.4870000000083</v>
      </c>
      <c r="F30" s="176">
        <f t="shared" si="20"/>
        <v>284.48400000000004</v>
      </c>
      <c r="G30" s="187">
        <f t="shared" si="17"/>
        <v>372.24999999999994</v>
      </c>
      <c r="H30" s="175">
        <f t="shared" si="6"/>
        <v>13649.930000000008</v>
      </c>
      <c r="I30" s="185">
        <v>5232.4620000000004</v>
      </c>
      <c r="J30" s="185">
        <v>7760.7340000000077</v>
      </c>
      <c r="K30" s="185">
        <v>284.48400000000004</v>
      </c>
      <c r="L30" s="187">
        <v>372.24999999999994</v>
      </c>
      <c r="M30" s="175">
        <f t="shared" si="18"/>
        <v>1494.6559999999999</v>
      </c>
      <c r="N30" s="187">
        <v>130.90299999999999</v>
      </c>
      <c r="O30" s="179">
        <v>1363.7529999999999</v>
      </c>
      <c r="Q30" s="1607">
        <v>2019</v>
      </c>
      <c r="R30" s="1613">
        <f t="shared" si="0"/>
        <v>15122.840000000011</v>
      </c>
      <c r="S30" s="1613">
        <f t="shared" si="1"/>
        <v>5397.2050000000027</v>
      </c>
      <c r="T30" s="1613">
        <f t="shared" si="2"/>
        <v>9064.3510000000097</v>
      </c>
      <c r="U30" s="1613">
        <f t="shared" si="19"/>
        <v>289.03399999999999</v>
      </c>
      <c r="V30" s="1613">
        <f t="shared" si="21"/>
        <v>372.24999999999994</v>
      </c>
      <c r="X30" s="1607"/>
      <c r="Y30" s="1613"/>
      <c r="Z30" s="1613"/>
      <c r="AA30" s="1613"/>
      <c r="AB30" s="1613"/>
      <c r="AC30" s="1613"/>
    </row>
    <row r="31" spans="2:29" ht="13" x14ac:dyDescent="0.3">
      <c r="B31" s="1390">
        <v>2019</v>
      </c>
      <c r="C31" s="194">
        <f t="shared" si="4"/>
        <v>15122.840000000011</v>
      </c>
      <c r="D31" s="195">
        <f t="shared" si="22"/>
        <v>5397.2050000000027</v>
      </c>
      <c r="E31" s="196">
        <f t="shared" si="22"/>
        <v>9064.3510000000097</v>
      </c>
      <c r="F31" s="197">
        <f t="shared" si="20"/>
        <v>289.03399999999999</v>
      </c>
      <c r="G31" s="197">
        <f t="shared" si="17"/>
        <v>372.24999999999994</v>
      </c>
      <c r="H31" s="195">
        <f t="shared" si="6"/>
        <v>13650.195000000011</v>
      </c>
      <c r="I31" s="198">
        <v>5266.3020000000024</v>
      </c>
      <c r="J31" s="198">
        <v>7722.6090000000086</v>
      </c>
      <c r="K31" s="198">
        <v>289.03399999999999</v>
      </c>
      <c r="L31" s="197">
        <v>372.24999999999994</v>
      </c>
      <c r="M31" s="195">
        <f t="shared" si="18"/>
        <v>1472.6450000000007</v>
      </c>
      <c r="N31" s="197">
        <v>130.90299999999999</v>
      </c>
      <c r="O31" s="199">
        <v>1341.7420000000006</v>
      </c>
      <c r="Q31" s="1603">
        <v>2020</v>
      </c>
      <c r="R31" s="1613">
        <f t="shared" si="0"/>
        <v>15186.97000000001</v>
      </c>
      <c r="S31" s="1613">
        <f t="shared" si="1"/>
        <v>5416.5830000000033</v>
      </c>
      <c r="T31" s="1613">
        <f t="shared" si="2"/>
        <v>9072.3630000000085</v>
      </c>
      <c r="U31" s="1613">
        <f t="shared" si="19"/>
        <v>289.03399999999999</v>
      </c>
      <c r="V31" s="1613">
        <f t="shared" si="21"/>
        <v>408.98999999999995</v>
      </c>
      <c r="Y31" s="1613"/>
      <c r="Z31" s="1613"/>
      <c r="AA31" s="1613"/>
      <c r="AB31" s="1613"/>
      <c r="AC31" s="1613"/>
    </row>
    <row r="32" spans="2:29" ht="13" x14ac:dyDescent="0.3">
      <c r="B32" s="1391">
        <v>2020</v>
      </c>
      <c r="C32" s="174">
        <f t="shared" si="4"/>
        <v>15186.97000000001</v>
      </c>
      <c r="D32" s="175">
        <f t="shared" si="22"/>
        <v>5416.5830000000033</v>
      </c>
      <c r="E32" s="176">
        <f t="shared" si="22"/>
        <v>9072.3630000000085</v>
      </c>
      <c r="F32" s="176">
        <f t="shared" si="20"/>
        <v>289.03399999999999</v>
      </c>
      <c r="G32" s="187">
        <f t="shared" si="17"/>
        <v>408.98999999999995</v>
      </c>
      <c r="H32" s="175">
        <f t="shared" si="6"/>
        <v>13724.04800000001</v>
      </c>
      <c r="I32" s="185">
        <v>5285.680000000003</v>
      </c>
      <c r="J32" s="185">
        <v>7740.3440000000073</v>
      </c>
      <c r="K32" s="185">
        <v>289.03399999999999</v>
      </c>
      <c r="L32" s="187">
        <v>408.98999999999995</v>
      </c>
      <c r="M32" s="175">
        <f t="shared" si="18"/>
        <v>1462.9220000000009</v>
      </c>
      <c r="N32" s="187">
        <v>130.90299999999999</v>
      </c>
      <c r="O32" s="179">
        <v>1332.0190000000009</v>
      </c>
      <c r="Q32" s="1607">
        <v>2021</v>
      </c>
      <c r="R32" s="1613">
        <f t="shared" si="0"/>
        <v>15340.308999999972</v>
      </c>
      <c r="S32" s="1613">
        <f t="shared" si="1"/>
        <v>5513.7740000000113</v>
      </c>
      <c r="T32" s="1613">
        <f t="shared" si="2"/>
        <v>9131.0349999999617</v>
      </c>
      <c r="U32" s="1613">
        <f t="shared" si="19"/>
        <v>286.51000000000022</v>
      </c>
      <c r="V32" s="1613">
        <f t="shared" si="21"/>
        <v>408.98999999999995</v>
      </c>
      <c r="X32" s="1607"/>
      <c r="Y32" s="1613"/>
      <c r="Z32" s="1613"/>
      <c r="AA32" s="1613"/>
      <c r="AB32" s="1613"/>
      <c r="AC32" s="1613"/>
    </row>
    <row r="33" spans="2:29" ht="13" x14ac:dyDescent="0.3">
      <c r="B33" s="1390">
        <v>2021</v>
      </c>
      <c r="C33" s="194">
        <f t="shared" ref="C33" si="23">SUM(D33:G33)</f>
        <v>15340.308999999972</v>
      </c>
      <c r="D33" s="195">
        <f t="shared" ref="D33" si="24">SUM(I33,N33)</f>
        <v>5513.7740000000113</v>
      </c>
      <c r="E33" s="196">
        <f t="shared" ref="E33" si="25">SUM(J33,O33)</f>
        <v>9131.0349999999617</v>
      </c>
      <c r="F33" s="197">
        <f t="shared" ref="F33" si="26">SUM(K33)</f>
        <v>286.51000000000022</v>
      </c>
      <c r="G33" s="197">
        <f t="shared" ref="G33" si="27">SUM(L33)</f>
        <v>408.98999999999995</v>
      </c>
      <c r="H33" s="195">
        <f t="shared" ref="H33" si="28">SUM(I33:L33)</f>
        <v>13860.954999999973</v>
      </c>
      <c r="I33" s="198">
        <v>5383.871000000011</v>
      </c>
      <c r="J33" s="198">
        <v>7781.5839999999625</v>
      </c>
      <c r="K33" s="198">
        <v>286.51000000000022</v>
      </c>
      <c r="L33" s="197">
        <v>408.98999999999995</v>
      </c>
      <c r="M33" s="195">
        <f t="shared" ref="M33" si="29">+N33+O33</f>
        <v>1479.3539999999996</v>
      </c>
      <c r="N33" s="197">
        <v>129.90300000000002</v>
      </c>
      <c r="O33" s="199">
        <v>1349.4509999999996</v>
      </c>
      <c r="Q33" s="1603">
        <v>2022</v>
      </c>
      <c r="R33" s="1613">
        <f t="shared" si="0"/>
        <v>15759.502000000011</v>
      </c>
      <c r="S33" s="1613">
        <f t="shared" si="1"/>
        <v>5514.3140000000039</v>
      </c>
      <c r="T33" s="1613">
        <f t="shared" si="2"/>
        <v>9419.6880000000074</v>
      </c>
      <c r="U33" s="1613">
        <f t="shared" si="19"/>
        <v>286.51</v>
      </c>
      <c r="V33" s="1613">
        <f t="shared" si="21"/>
        <v>538.99</v>
      </c>
      <c r="Y33" s="1613"/>
      <c r="Z33" s="1613"/>
      <c r="AA33" s="1613"/>
      <c r="AB33" s="1613"/>
      <c r="AC33" s="1613"/>
    </row>
    <row r="34" spans="2:29" ht="13.5" thickBot="1" x14ac:dyDescent="0.35">
      <c r="B34" s="1391">
        <v>2022</v>
      </c>
      <c r="C34" s="174">
        <f t="shared" si="4"/>
        <v>15759.502000000011</v>
      </c>
      <c r="D34" s="175">
        <f t="shared" si="22"/>
        <v>5514.3140000000039</v>
      </c>
      <c r="E34" s="176">
        <f t="shared" si="22"/>
        <v>9419.6880000000074</v>
      </c>
      <c r="F34" s="176">
        <f t="shared" si="20"/>
        <v>286.51</v>
      </c>
      <c r="G34" s="187">
        <f t="shared" si="17"/>
        <v>538.99</v>
      </c>
      <c r="H34" s="175">
        <f t="shared" si="6"/>
        <v>14248.47800000001</v>
      </c>
      <c r="I34" s="185">
        <v>5384.4110000000037</v>
      </c>
      <c r="J34" s="185">
        <v>8038.5670000000073</v>
      </c>
      <c r="K34" s="185">
        <v>286.51</v>
      </c>
      <c r="L34" s="187">
        <v>538.99</v>
      </c>
      <c r="M34" s="175">
        <f t="shared" si="18"/>
        <v>1511.0239999999999</v>
      </c>
      <c r="N34" s="187">
        <v>129.90299999999999</v>
      </c>
      <c r="O34" s="179">
        <v>1381.1209999999999</v>
      </c>
      <c r="Q34" s="1607"/>
      <c r="R34" s="1613"/>
      <c r="S34" s="1613"/>
      <c r="T34" s="1613"/>
      <c r="U34" s="1613"/>
      <c r="V34" s="1613"/>
      <c r="X34" s="1612"/>
    </row>
    <row r="35" spans="2:29" s="94" customFormat="1" ht="15.75" customHeight="1" x14ac:dyDescent="0.25">
      <c r="B35" s="803" t="s">
        <v>161</v>
      </c>
      <c r="C35" s="833">
        <f t="shared" ref="C35:O35" si="30">(C34/C33)-1</f>
        <v>2.7326242254966271E-2</v>
      </c>
      <c r="D35" s="832">
        <f t="shared" si="30"/>
        <v>9.7936549447341648E-5</v>
      </c>
      <c r="E35" s="832">
        <f t="shared" si="30"/>
        <v>3.1612298058220967E-2</v>
      </c>
      <c r="F35" s="832">
        <f t="shared" si="30"/>
        <v>0</v>
      </c>
      <c r="G35" s="832">
        <f t="shared" si="30"/>
        <v>0.31785618230274593</v>
      </c>
      <c r="H35" s="832">
        <f t="shared" si="30"/>
        <v>2.7957886018678879E-2</v>
      </c>
      <c r="I35" s="1174">
        <f t="shared" si="30"/>
        <v>1.0029957998480832E-4</v>
      </c>
      <c r="J35" s="832">
        <f t="shared" si="30"/>
        <v>3.302451017685426E-2</v>
      </c>
      <c r="K35" s="832">
        <f t="shared" si="30"/>
        <v>0</v>
      </c>
      <c r="L35" s="1174">
        <f t="shared" si="30"/>
        <v>0.31785618230274593</v>
      </c>
      <c r="M35" s="1174">
        <f t="shared" si="30"/>
        <v>2.1407992948273558E-2</v>
      </c>
      <c r="N35" s="832">
        <f t="shared" si="30"/>
        <v>0</v>
      </c>
      <c r="O35" s="834">
        <f t="shared" si="30"/>
        <v>2.3468803239243385E-2</v>
      </c>
      <c r="Q35" s="1608"/>
      <c r="R35" s="1622"/>
      <c r="S35" s="1622"/>
      <c r="T35" s="1622"/>
      <c r="U35" s="1608"/>
      <c r="V35" s="1608"/>
      <c r="W35" s="1608"/>
      <c r="X35" s="1608"/>
      <c r="Y35" s="1608"/>
      <c r="Z35" s="1608"/>
      <c r="AA35" s="1608"/>
      <c r="AB35" s="1608"/>
      <c r="AC35" s="1608"/>
    </row>
    <row r="36" spans="2:29" s="94" customFormat="1" ht="15.75" customHeight="1" x14ac:dyDescent="0.25">
      <c r="B36" s="807" t="s">
        <v>162</v>
      </c>
      <c r="C36" s="1440">
        <f t="shared" ref="C36:O36" si="31">((C34/C29)^(1/5))-1</f>
        <v>1.3537495238681752E-2</v>
      </c>
      <c r="D36" s="835">
        <f t="shared" si="31"/>
        <v>1.0028899505937439E-2</v>
      </c>
      <c r="E36" s="835">
        <f t="shared" si="31"/>
        <v>9.0583493334848164E-3</v>
      </c>
      <c r="F36" s="835">
        <f t="shared" si="31"/>
        <v>3.2233307318485727E-2</v>
      </c>
      <c r="G36" s="835">
        <f t="shared" si="31"/>
        <v>0.17568774341470128</v>
      </c>
      <c r="H36" s="835">
        <f t="shared" si="31"/>
        <v>1.4808789966250568E-2</v>
      </c>
      <c r="I36" s="835">
        <f t="shared" si="31"/>
        <v>1.0291055590207154E-2</v>
      </c>
      <c r="J36" s="835">
        <f t="shared" si="31"/>
        <v>1.0259015326879783E-2</v>
      </c>
      <c r="K36" s="835">
        <f t="shared" si="31"/>
        <v>3.2233307318485727E-2</v>
      </c>
      <c r="L36" s="835">
        <f t="shared" si="31"/>
        <v>0.17568774341470128</v>
      </c>
      <c r="M36" s="835">
        <f t="shared" si="31"/>
        <v>1.9993302223366705E-3</v>
      </c>
      <c r="N36" s="835">
        <f t="shared" si="31"/>
        <v>-4.9194842988009579E-4</v>
      </c>
      <c r="O36" s="836">
        <f t="shared" si="31"/>
        <v>2.2355754141694106E-3</v>
      </c>
      <c r="Q36" s="1608"/>
      <c r="R36" s="1622"/>
      <c r="S36" s="1622"/>
      <c r="T36" s="1622"/>
      <c r="U36" s="1608"/>
      <c r="V36" s="1608"/>
      <c r="W36" s="1608"/>
      <c r="X36" s="1608"/>
      <c r="Y36" s="1608"/>
      <c r="Z36" s="1608"/>
      <c r="AA36" s="1608"/>
      <c r="AB36" s="1608"/>
      <c r="AC36" s="1608"/>
    </row>
    <row r="37" spans="2:29" s="94" customFormat="1" ht="15.75" customHeight="1" x14ac:dyDescent="0.25">
      <c r="B37" s="808" t="s">
        <v>163</v>
      </c>
      <c r="C37" s="1441">
        <f>(C34/C24)-1</f>
        <v>0.62478556740676261</v>
      </c>
      <c r="D37" s="837">
        <f>(D34/D24)-1</f>
        <v>0.58260655438472631</v>
      </c>
      <c r="E37" s="837">
        <f>(E34/E24)-1</f>
        <v>0.53554888969780601</v>
      </c>
      <c r="F37" s="837">
        <f>(F34/F24)-1</f>
        <v>2.581375</v>
      </c>
      <c r="G37" s="837" t="s">
        <v>32</v>
      </c>
      <c r="H37" s="837">
        <f>(H34/H24)-1</f>
        <v>0.7235010622134237</v>
      </c>
      <c r="I37" s="837">
        <f>(I34/I24)-1</f>
        <v>0.5926299163223252</v>
      </c>
      <c r="J37" s="837">
        <f>(J34/J24)-1</f>
        <v>0.67273564546332287</v>
      </c>
      <c r="K37" s="837">
        <f>(K34/K24)-1</f>
        <v>2.581375</v>
      </c>
      <c r="L37" s="837" t="s">
        <v>32</v>
      </c>
      <c r="M37" s="837">
        <f>(M34/M24)-1</f>
        <v>5.4989862204174456E-2</v>
      </c>
      <c r="N37" s="837">
        <f>(N34/N24)-1</f>
        <v>0.25517421299785492</v>
      </c>
      <c r="O37" s="838">
        <f>(O34/O24)-1</f>
        <v>3.9398089962897842E-2</v>
      </c>
      <c r="Q37" s="1608"/>
      <c r="R37" s="1622"/>
      <c r="S37" s="1622"/>
      <c r="T37" s="1622"/>
      <c r="U37" s="1608"/>
      <c r="V37" s="1608"/>
      <c r="W37" s="1608"/>
      <c r="X37" s="1608"/>
      <c r="Y37" s="1608"/>
      <c r="Z37" s="1608"/>
      <c r="AA37" s="1608"/>
      <c r="AB37" s="1608"/>
      <c r="AC37" s="1608"/>
    </row>
    <row r="38" spans="2:29" s="94" customFormat="1" ht="15.75" customHeight="1" thickBot="1" x14ac:dyDescent="0.3">
      <c r="B38" s="809" t="s">
        <v>164</v>
      </c>
      <c r="C38" s="841">
        <f t="shared" ref="C38:O38" si="32">((C34/C24)^(1/10))-1</f>
        <v>4.9734825210666189E-2</v>
      </c>
      <c r="D38" s="840">
        <f t="shared" si="32"/>
        <v>4.697737319559625E-2</v>
      </c>
      <c r="E38" s="840">
        <f t="shared" si="32"/>
        <v>4.3821804971231559E-2</v>
      </c>
      <c r="F38" s="840">
        <f t="shared" si="32"/>
        <v>0.13606970731400736</v>
      </c>
      <c r="G38" s="840">
        <f t="shared" si="32"/>
        <v>0.94378518070559658</v>
      </c>
      <c r="H38" s="840">
        <f t="shared" si="32"/>
        <v>5.5944653369520703E-2</v>
      </c>
      <c r="I38" s="840">
        <f t="shared" si="32"/>
        <v>4.7638588923734737E-2</v>
      </c>
      <c r="J38" s="840">
        <f t="shared" si="32"/>
        <v>5.279237579265228E-2</v>
      </c>
      <c r="K38" s="840">
        <f t="shared" si="32"/>
        <v>0.13606970731400736</v>
      </c>
      <c r="L38" s="840">
        <f t="shared" si="32"/>
        <v>0.94378518070559658</v>
      </c>
      <c r="M38" s="840">
        <f t="shared" si="32"/>
        <v>5.3674692844372096E-3</v>
      </c>
      <c r="N38" s="840">
        <f t="shared" si="32"/>
        <v>2.2987673782829177E-2</v>
      </c>
      <c r="O38" s="842">
        <f t="shared" si="32"/>
        <v>3.871654159600002E-3</v>
      </c>
      <c r="Q38" s="1608"/>
      <c r="R38" s="1608"/>
      <c r="S38" s="1608"/>
      <c r="T38" s="1608"/>
      <c r="U38" s="1608"/>
      <c r="V38" s="1608"/>
      <c r="W38" s="1608"/>
      <c r="X38" s="1608"/>
      <c r="Y38" s="1608"/>
      <c r="Z38" s="1608"/>
      <c r="AA38" s="1608"/>
      <c r="AB38" s="1608"/>
      <c r="AC38" s="1608"/>
    </row>
    <row r="39" spans="2:29" ht="9" customHeight="1" x14ac:dyDescent="0.25">
      <c r="B39" s="22"/>
      <c r="R39" s="1603" t="s">
        <v>78</v>
      </c>
    </row>
    <row r="40" spans="2:29" ht="15.75" customHeight="1" x14ac:dyDescent="0.25">
      <c r="B40" s="203"/>
      <c r="E40" s="9"/>
    </row>
    <row r="41" spans="2:29" x14ac:dyDescent="0.25">
      <c r="R41" s="1603" t="s">
        <v>53</v>
      </c>
      <c r="S41" s="1603" t="s">
        <v>76</v>
      </c>
      <c r="T41" s="1603" t="s">
        <v>77</v>
      </c>
      <c r="U41" s="1603" t="s">
        <v>74</v>
      </c>
      <c r="V41" s="1603" t="s">
        <v>75</v>
      </c>
      <c r="Y41" s="1603" t="s">
        <v>53</v>
      </c>
      <c r="Z41" s="1603" t="s">
        <v>76</v>
      </c>
      <c r="AA41" s="1603" t="s">
        <v>77</v>
      </c>
      <c r="AB41" s="1603" t="s">
        <v>74</v>
      </c>
      <c r="AC41" s="1603" t="s">
        <v>75</v>
      </c>
    </row>
    <row r="42" spans="2:29" x14ac:dyDescent="0.25">
      <c r="Q42" s="1603">
        <v>1995</v>
      </c>
      <c r="R42" s="1613">
        <f t="shared" ref="R42:R69" si="33">H7</f>
        <v>3185.7</v>
      </c>
      <c r="S42" s="1613">
        <f t="shared" ref="S42:S69" si="34">I7</f>
        <v>2190</v>
      </c>
      <c r="T42" s="1613">
        <f t="shared" ref="T42:T69" si="35">J7</f>
        <v>995.7</v>
      </c>
      <c r="V42" s="1613"/>
      <c r="X42" s="1608">
        <f>+Q42</f>
        <v>1995</v>
      </c>
      <c r="Y42" s="1622">
        <f>+R42</f>
        <v>3185.7</v>
      </c>
      <c r="Z42" s="1622">
        <f t="shared" ref="Z42" si="36">+S42</f>
        <v>2190</v>
      </c>
      <c r="AA42" s="1622">
        <f t="shared" ref="AA42" si="37">+T42</f>
        <v>995.7</v>
      </c>
      <c r="AB42" s="1622">
        <f t="shared" ref="AB42" si="38">+U42</f>
        <v>0</v>
      </c>
      <c r="AC42" s="1622">
        <f t="shared" ref="AC42" si="39">+V42</f>
        <v>0</v>
      </c>
    </row>
    <row r="43" spans="2:29" x14ac:dyDescent="0.25">
      <c r="Q43" s="1603">
        <v>1996</v>
      </c>
      <c r="R43" s="1613">
        <f t="shared" si="33"/>
        <v>3352.8809999999999</v>
      </c>
      <c r="S43" s="1613">
        <f t="shared" si="34"/>
        <v>2200.1839999999997</v>
      </c>
      <c r="T43" s="1613">
        <f t="shared" si="35"/>
        <v>1152.4470000000001</v>
      </c>
      <c r="V43" s="1613"/>
      <c r="X43" s="1603">
        <f>+Q47</f>
        <v>2000</v>
      </c>
      <c r="Y43" s="1613">
        <f>+R47</f>
        <v>5148.8509999999997</v>
      </c>
      <c r="Z43" s="1613">
        <f t="shared" ref="Z43" si="40">+S47</f>
        <v>2779.26</v>
      </c>
      <c r="AA43" s="1613">
        <f t="shared" ref="AA43" si="41">+T47</f>
        <v>2368.8910000000001</v>
      </c>
      <c r="AB43" s="1613">
        <f t="shared" ref="AB43" si="42">+U47</f>
        <v>0</v>
      </c>
      <c r="AC43" s="1613">
        <f t="shared" ref="AC43" si="43">+V47</f>
        <v>0</v>
      </c>
    </row>
    <row r="44" spans="2:29" x14ac:dyDescent="0.25">
      <c r="Q44" s="1603">
        <v>1997</v>
      </c>
      <c r="R44" s="1613">
        <f t="shared" si="33"/>
        <v>4325.0209999999997</v>
      </c>
      <c r="S44" s="1613">
        <f t="shared" si="34"/>
        <v>2411.5189999999998</v>
      </c>
      <c r="T44" s="1613">
        <f t="shared" si="35"/>
        <v>1913.252</v>
      </c>
      <c r="V44" s="1613"/>
      <c r="X44" s="1603">
        <f>+Q52</f>
        <v>2005</v>
      </c>
      <c r="Y44" s="1613">
        <f>+R52</f>
        <v>5220.6336000000001</v>
      </c>
      <c r="Z44" s="1613">
        <f t="shared" ref="Z44" si="44">+S52</f>
        <v>3119.1996000000004</v>
      </c>
      <c r="AA44" s="1613">
        <f t="shared" ref="AA44" si="45">+T52</f>
        <v>2100.7339999999995</v>
      </c>
      <c r="AB44" s="1613">
        <f t="shared" ref="AB44" si="46">+U52</f>
        <v>0</v>
      </c>
      <c r="AC44" s="1613">
        <f t="shared" ref="AC44" si="47">+V52</f>
        <v>0</v>
      </c>
    </row>
    <row r="45" spans="2:29" x14ac:dyDescent="0.25">
      <c r="Q45" s="1603">
        <v>1998</v>
      </c>
      <c r="R45" s="1613">
        <f t="shared" si="33"/>
        <v>4632.2780000000002</v>
      </c>
      <c r="S45" s="1613">
        <f t="shared" si="34"/>
        <v>2467.4160000000002</v>
      </c>
      <c r="T45" s="1613">
        <f t="shared" si="35"/>
        <v>2164.6119999999996</v>
      </c>
      <c r="V45" s="1613"/>
      <c r="X45" s="1603">
        <f>+Q57</f>
        <v>2010</v>
      </c>
      <c r="Y45" s="1613">
        <f>+R57</f>
        <v>7309.1659999999965</v>
      </c>
      <c r="Z45" s="1613">
        <f t="shared" ref="Z45:Z57" si="48">+S57</f>
        <v>3344.7949999999996</v>
      </c>
      <c r="AA45" s="1613">
        <f t="shared" ref="AA45:AA57" si="49">+T57</f>
        <v>3963.6709999999966</v>
      </c>
      <c r="AB45" s="1613">
        <f t="shared" ref="AB45:AB57" si="50">+U57</f>
        <v>0</v>
      </c>
      <c r="AC45" s="1613">
        <f t="shared" ref="AC45:AC57" si="51">+V57</f>
        <v>0</v>
      </c>
    </row>
    <row r="46" spans="2:29" x14ac:dyDescent="0.25">
      <c r="Q46" s="1603">
        <v>1999</v>
      </c>
      <c r="R46" s="1613">
        <f t="shared" si="33"/>
        <v>4828.2429999999995</v>
      </c>
      <c r="S46" s="1613">
        <f t="shared" si="34"/>
        <v>2587.1289999999999</v>
      </c>
      <c r="T46" s="1613">
        <f t="shared" si="35"/>
        <v>2240.4140000000002</v>
      </c>
      <c r="V46" s="1613"/>
      <c r="X46" s="1603">
        <f t="shared" ref="X46:X57" si="52">+Q58</f>
        <v>2011</v>
      </c>
      <c r="Y46" s="1613">
        <f t="shared" ref="Y46:Y57" si="53">+R58</f>
        <v>7314.2369999999992</v>
      </c>
      <c r="Z46" s="1613">
        <f t="shared" si="48"/>
        <v>3357.0599999999986</v>
      </c>
      <c r="AA46" s="1613">
        <f t="shared" si="49"/>
        <v>3956.4770000000008</v>
      </c>
      <c r="AB46" s="1613">
        <f t="shared" si="50"/>
        <v>0</v>
      </c>
      <c r="AC46" s="1613">
        <f t="shared" si="51"/>
        <v>0</v>
      </c>
    </row>
    <row r="47" spans="2:29" x14ac:dyDescent="0.25">
      <c r="Q47" s="1603">
        <v>2000</v>
      </c>
      <c r="R47" s="1613">
        <f t="shared" si="33"/>
        <v>5148.8509999999997</v>
      </c>
      <c r="S47" s="1613">
        <f t="shared" si="34"/>
        <v>2779.26</v>
      </c>
      <c r="T47" s="1613">
        <f t="shared" si="35"/>
        <v>2368.8910000000001</v>
      </c>
      <c r="V47" s="1613"/>
      <c r="X47" s="1603">
        <f t="shared" si="52"/>
        <v>2012</v>
      </c>
      <c r="Y47" s="1613">
        <f t="shared" si="53"/>
        <v>8267.1709999999985</v>
      </c>
      <c r="Z47" s="1613">
        <f t="shared" si="48"/>
        <v>3380.8299999999981</v>
      </c>
      <c r="AA47" s="1613">
        <f t="shared" si="49"/>
        <v>4805.6409999999996</v>
      </c>
      <c r="AB47" s="1613">
        <f t="shared" si="50"/>
        <v>80</v>
      </c>
      <c r="AC47" s="1613">
        <f t="shared" si="51"/>
        <v>0</v>
      </c>
    </row>
    <row r="48" spans="2:29" x14ac:dyDescent="0.25">
      <c r="Q48" s="1603">
        <v>2001</v>
      </c>
      <c r="R48" s="1613">
        <f t="shared" si="33"/>
        <v>5050.8139999999994</v>
      </c>
      <c r="S48" s="1613">
        <f t="shared" si="34"/>
        <v>2889.433</v>
      </c>
      <c r="T48" s="1613">
        <f t="shared" si="35"/>
        <v>2160.681</v>
      </c>
      <c r="V48" s="1613"/>
      <c r="X48" s="1603">
        <f t="shared" si="52"/>
        <v>2013</v>
      </c>
      <c r="Y48" s="1613">
        <f t="shared" si="53"/>
        <v>9634.631000000003</v>
      </c>
      <c r="Z48" s="1613">
        <f t="shared" si="48"/>
        <v>3450.5469999999996</v>
      </c>
      <c r="AA48" s="1613">
        <f t="shared" si="49"/>
        <v>6103.3840000000027</v>
      </c>
      <c r="AB48" s="1613">
        <f t="shared" si="50"/>
        <v>80</v>
      </c>
      <c r="AC48" s="1613">
        <f t="shared" si="51"/>
        <v>0</v>
      </c>
    </row>
    <row r="49" spans="17:29" x14ac:dyDescent="0.25">
      <c r="Q49" s="1607">
        <v>2002</v>
      </c>
      <c r="R49" s="1613">
        <f t="shared" si="33"/>
        <v>5068.0510000000004</v>
      </c>
      <c r="S49" s="1613">
        <f t="shared" si="34"/>
        <v>2917.6020000000012</v>
      </c>
      <c r="T49" s="1613">
        <f t="shared" si="35"/>
        <v>2149.7489999999998</v>
      </c>
      <c r="V49" s="1613"/>
      <c r="X49" s="1603">
        <f t="shared" si="52"/>
        <v>2014</v>
      </c>
      <c r="Y49" s="1613">
        <f t="shared" si="53"/>
        <v>9739.2480000000032</v>
      </c>
      <c r="Z49" s="1613">
        <f t="shared" si="48"/>
        <v>3558.2689999999961</v>
      </c>
      <c r="AA49" s="1613">
        <f t="shared" si="49"/>
        <v>5942.2790000000059</v>
      </c>
      <c r="AB49" s="1613">
        <f t="shared" si="50"/>
        <v>96</v>
      </c>
      <c r="AC49" s="1613">
        <f t="shared" si="51"/>
        <v>142.69999999999999</v>
      </c>
    </row>
    <row r="50" spans="17:29" x14ac:dyDescent="0.25">
      <c r="Q50" s="1603">
        <v>2003</v>
      </c>
      <c r="R50" s="1613">
        <f t="shared" si="33"/>
        <v>5095.1030000000001</v>
      </c>
      <c r="S50" s="1613">
        <f t="shared" si="34"/>
        <v>2946.8210000000004</v>
      </c>
      <c r="T50" s="1613">
        <f t="shared" si="35"/>
        <v>2147.5819999999999</v>
      </c>
      <c r="V50" s="1613"/>
      <c r="X50" s="1603">
        <f t="shared" si="52"/>
        <v>2015</v>
      </c>
      <c r="Y50" s="1613">
        <f t="shared" si="53"/>
        <v>10717.713000000002</v>
      </c>
      <c r="Z50" s="1613">
        <f t="shared" si="48"/>
        <v>4047.8669999999961</v>
      </c>
      <c r="AA50" s="1613">
        <f t="shared" si="49"/>
        <v>6334.0460000000057</v>
      </c>
      <c r="AB50" s="1613">
        <f t="shared" si="50"/>
        <v>96</v>
      </c>
      <c r="AC50" s="1613">
        <f t="shared" si="51"/>
        <v>239.79999999999998</v>
      </c>
    </row>
    <row r="51" spans="17:29" x14ac:dyDescent="0.25">
      <c r="Q51" s="1603">
        <v>2004</v>
      </c>
      <c r="R51" s="1613">
        <f t="shared" si="33"/>
        <v>5096.0216000000028</v>
      </c>
      <c r="S51" s="1613">
        <f t="shared" si="34"/>
        <v>2969.0596000000023</v>
      </c>
      <c r="T51" s="1613">
        <f t="shared" si="35"/>
        <v>2126.2620000000002</v>
      </c>
      <c r="V51" s="1613"/>
      <c r="X51" s="1603">
        <f t="shared" si="52"/>
        <v>2016</v>
      </c>
      <c r="Y51" s="1613">
        <f t="shared" si="53"/>
        <v>13044.474000000006</v>
      </c>
      <c r="Z51" s="1613">
        <f t="shared" si="48"/>
        <v>5072.4689999999973</v>
      </c>
      <c r="AA51" s="1613">
        <f t="shared" si="49"/>
        <v>7632.0550000000067</v>
      </c>
      <c r="AB51" s="1613">
        <f t="shared" si="50"/>
        <v>100</v>
      </c>
      <c r="AC51" s="1613">
        <f t="shared" si="51"/>
        <v>239.95</v>
      </c>
    </row>
    <row r="52" spans="17:29" x14ac:dyDescent="0.25">
      <c r="Q52" s="1603">
        <v>2005</v>
      </c>
      <c r="R52" s="1613">
        <f t="shared" si="33"/>
        <v>5220.6336000000001</v>
      </c>
      <c r="S52" s="1613">
        <f t="shared" si="34"/>
        <v>3119.1996000000004</v>
      </c>
      <c r="T52" s="1613">
        <f t="shared" si="35"/>
        <v>2100.7339999999995</v>
      </c>
      <c r="V52" s="1613"/>
      <c r="X52" s="1603">
        <f t="shared" si="52"/>
        <v>2017</v>
      </c>
      <c r="Y52" s="1613">
        <f t="shared" si="53"/>
        <v>13238.762000000199</v>
      </c>
      <c r="Z52" s="1613">
        <f t="shared" si="48"/>
        <v>5115.7070000000231</v>
      </c>
      <c r="AA52" s="1613">
        <f t="shared" si="49"/>
        <v>7638.6210000001747</v>
      </c>
      <c r="AB52" s="1613">
        <f t="shared" si="50"/>
        <v>244.48399999999998</v>
      </c>
      <c r="AC52" s="1613">
        <f t="shared" si="51"/>
        <v>239.94999999999985</v>
      </c>
    </row>
    <row r="53" spans="17:29" x14ac:dyDescent="0.25">
      <c r="Q53" s="1603">
        <v>2006</v>
      </c>
      <c r="R53" s="1613">
        <f t="shared" si="33"/>
        <v>5625.1415999999999</v>
      </c>
      <c r="S53" s="1613">
        <f t="shared" si="34"/>
        <v>3127.8006</v>
      </c>
      <c r="T53" s="1613">
        <f t="shared" si="35"/>
        <v>2496.6410000000001</v>
      </c>
      <c r="V53" s="1613"/>
      <c r="X53" s="1603">
        <f t="shared" si="52"/>
        <v>2018</v>
      </c>
      <c r="Y53" s="1613">
        <f t="shared" si="53"/>
        <v>13649.930000000008</v>
      </c>
      <c r="Z53" s="1613">
        <f t="shared" si="48"/>
        <v>5232.4620000000004</v>
      </c>
      <c r="AA53" s="1613">
        <f t="shared" si="49"/>
        <v>7760.7340000000077</v>
      </c>
      <c r="AB53" s="1613">
        <f t="shared" si="50"/>
        <v>284.48400000000004</v>
      </c>
      <c r="AC53" s="1613">
        <f t="shared" si="51"/>
        <v>372.24999999999994</v>
      </c>
    </row>
    <row r="54" spans="17:29" x14ac:dyDescent="0.25">
      <c r="Q54" s="1607">
        <v>2007</v>
      </c>
      <c r="R54" s="1613">
        <f t="shared" si="33"/>
        <v>5989.7251999999999</v>
      </c>
      <c r="S54" s="1613">
        <f t="shared" si="34"/>
        <v>3145.1412000000005</v>
      </c>
      <c r="T54" s="1613">
        <f t="shared" si="35"/>
        <v>2843.884</v>
      </c>
      <c r="V54" s="1613"/>
      <c r="X54" s="1603">
        <f t="shared" si="52"/>
        <v>2019</v>
      </c>
      <c r="Y54" s="1613">
        <f t="shared" si="53"/>
        <v>13650.195000000011</v>
      </c>
      <c r="Z54" s="1613">
        <f t="shared" si="48"/>
        <v>5266.3020000000024</v>
      </c>
      <c r="AA54" s="1613">
        <f t="shared" si="49"/>
        <v>7722.6090000000086</v>
      </c>
      <c r="AB54" s="1613">
        <f t="shared" si="50"/>
        <v>289.03399999999999</v>
      </c>
      <c r="AC54" s="1613">
        <f t="shared" si="51"/>
        <v>372.24999999999994</v>
      </c>
    </row>
    <row r="55" spans="17:29" x14ac:dyDescent="0.25">
      <c r="Q55" s="1603">
        <v>2008</v>
      </c>
      <c r="R55" s="1613">
        <f t="shared" si="33"/>
        <v>5996.9830000000029</v>
      </c>
      <c r="S55" s="1613">
        <f t="shared" si="34"/>
        <v>3152.0380000000018</v>
      </c>
      <c r="T55" s="1613">
        <f t="shared" si="35"/>
        <v>2844.2450000000008</v>
      </c>
      <c r="V55" s="1613"/>
      <c r="X55" s="1603">
        <f t="shared" si="52"/>
        <v>2020</v>
      </c>
      <c r="Y55" s="1613">
        <f t="shared" si="53"/>
        <v>13724.04800000001</v>
      </c>
      <c r="Z55" s="1613">
        <f t="shared" si="48"/>
        <v>5285.680000000003</v>
      </c>
      <c r="AA55" s="1613">
        <f t="shared" si="49"/>
        <v>7740.3440000000073</v>
      </c>
      <c r="AB55" s="1613">
        <f t="shared" si="50"/>
        <v>289.03399999999999</v>
      </c>
      <c r="AC55" s="1613">
        <f t="shared" si="51"/>
        <v>408.98999999999995</v>
      </c>
    </row>
    <row r="56" spans="17:29" x14ac:dyDescent="0.25">
      <c r="Q56" s="1603">
        <v>2009</v>
      </c>
      <c r="R56" s="1613">
        <f t="shared" si="33"/>
        <v>6723.5160000000024</v>
      </c>
      <c r="S56" s="1613">
        <f t="shared" si="34"/>
        <v>3183.1260000000016</v>
      </c>
      <c r="T56" s="1613">
        <f t="shared" si="35"/>
        <v>3539.6900000000005</v>
      </c>
      <c r="V56" s="1613"/>
      <c r="X56" s="1603">
        <f t="shared" si="52"/>
        <v>2021</v>
      </c>
      <c r="Y56" s="1613">
        <f t="shared" si="53"/>
        <v>13860.954999999973</v>
      </c>
      <c r="Z56" s="1613">
        <f t="shared" si="48"/>
        <v>5383.871000000011</v>
      </c>
      <c r="AA56" s="1613">
        <f t="shared" si="49"/>
        <v>7781.5839999999625</v>
      </c>
      <c r="AB56" s="1613">
        <f t="shared" si="50"/>
        <v>286.51000000000022</v>
      </c>
      <c r="AC56" s="1613">
        <f t="shared" si="51"/>
        <v>408.98999999999995</v>
      </c>
    </row>
    <row r="57" spans="17:29" x14ac:dyDescent="0.25">
      <c r="Q57" s="1603">
        <v>2010</v>
      </c>
      <c r="R57" s="1613">
        <f t="shared" si="33"/>
        <v>7309.1659999999965</v>
      </c>
      <c r="S57" s="1613">
        <f t="shared" si="34"/>
        <v>3344.7949999999996</v>
      </c>
      <c r="T57" s="1613">
        <f t="shared" si="35"/>
        <v>3963.6709999999966</v>
      </c>
      <c r="V57" s="1613"/>
      <c r="X57" s="1603">
        <f t="shared" si="52"/>
        <v>2022</v>
      </c>
      <c r="Y57" s="1613">
        <f t="shared" si="53"/>
        <v>14248.47800000001</v>
      </c>
      <c r="Z57" s="1613">
        <f t="shared" si="48"/>
        <v>5384.4110000000037</v>
      </c>
      <c r="AA57" s="1613">
        <f t="shared" si="49"/>
        <v>8038.5670000000073</v>
      </c>
      <c r="AB57" s="1613">
        <f t="shared" si="50"/>
        <v>286.51</v>
      </c>
      <c r="AC57" s="1613">
        <f t="shared" si="51"/>
        <v>538.99</v>
      </c>
    </row>
    <row r="58" spans="17:29" x14ac:dyDescent="0.25">
      <c r="Q58" s="1603">
        <v>2011</v>
      </c>
      <c r="R58" s="1613">
        <f t="shared" si="33"/>
        <v>7314.2369999999992</v>
      </c>
      <c r="S58" s="1613">
        <f t="shared" si="34"/>
        <v>3357.0599999999986</v>
      </c>
      <c r="T58" s="1613">
        <f t="shared" si="35"/>
        <v>3956.4770000000008</v>
      </c>
      <c r="V58" s="1613"/>
    </row>
    <row r="59" spans="17:29" x14ac:dyDescent="0.25">
      <c r="Q59" s="1603">
        <v>2012</v>
      </c>
      <c r="R59" s="1613">
        <f t="shared" si="33"/>
        <v>8267.1709999999985</v>
      </c>
      <c r="S59" s="1613">
        <f t="shared" si="34"/>
        <v>3380.8299999999981</v>
      </c>
      <c r="T59" s="1613">
        <f t="shared" si="35"/>
        <v>4805.6409999999996</v>
      </c>
      <c r="U59" s="1613">
        <f t="shared" ref="U59:U69" si="54">K24</f>
        <v>80</v>
      </c>
      <c r="V59" s="1613"/>
    </row>
    <row r="60" spans="17:29" x14ac:dyDescent="0.25">
      <c r="Q60" s="1603">
        <v>2013</v>
      </c>
      <c r="R60" s="1613">
        <f t="shared" si="33"/>
        <v>9634.631000000003</v>
      </c>
      <c r="S60" s="1613">
        <f t="shared" si="34"/>
        <v>3450.5469999999996</v>
      </c>
      <c r="T60" s="1613">
        <f t="shared" si="35"/>
        <v>6103.3840000000027</v>
      </c>
      <c r="U60" s="1613">
        <f t="shared" si="54"/>
        <v>80</v>
      </c>
      <c r="V60" s="1613"/>
    </row>
    <row r="61" spans="17:29" x14ac:dyDescent="0.25">
      <c r="Q61" s="1603">
        <v>2014</v>
      </c>
      <c r="R61" s="1613">
        <f t="shared" si="33"/>
        <v>9739.2480000000032</v>
      </c>
      <c r="S61" s="1613">
        <f t="shared" si="34"/>
        <v>3558.2689999999961</v>
      </c>
      <c r="T61" s="1613">
        <f t="shared" si="35"/>
        <v>5942.2790000000059</v>
      </c>
      <c r="U61" s="1613">
        <f t="shared" si="54"/>
        <v>96</v>
      </c>
      <c r="V61" s="1613">
        <f t="shared" ref="V61:V69" si="55">L26</f>
        <v>142.69999999999999</v>
      </c>
    </row>
    <row r="62" spans="17:29" x14ac:dyDescent="0.25">
      <c r="Q62" s="1607">
        <v>2015</v>
      </c>
      <c r="R62" s="1613">
        <f t="shared" si="33"/>
        <v>10717.713000000002</v>
      </c>
      <c r="S62" s="1613">
        <f t="shared" si="34"/>
        <v>4047.8669999999961</v>
      </c>
      <c r="T62" s="1613">
        <f t="shared" si="35"/>
        <v>6334.0460000000057</v>
      </c>
      <c r="U62" s="1613">
        <f t="shared" si="54"/>
        <v>96</v>
      </c>
      <c r="V62" s="1613">
        <f t="shared" si="55"/>
        <v>239.79999999999998</v>
      </c>
    </row>
    <row r="63" spans="17:29" x14ac:dyDescent="0.25">
      <c r="Q63" s="1603">
        <v>2016</v>
      </c>
      <c r="R63" s="1613">
        <f t="shared" si="33"/>
        <v>13044.474000000006</v>
      </c>
      <c r="S63" s="1613">
        <f t="shared" si="34"/>
        <v>5072.4689999999973</v>
      </c>
      <c r="T63" s="1613">
        <f t="shared" si="35"/>
        <v>7632.0550000000067</v>
      </c>
      <c r="U63" s="1613">
        <f t="shared" si="54"/>
        <v>100</v>
      </c>
      <c r="V63" s="1613">
        <f t="shared" si="55"/>
        <v>239.95</v>
      </c>
    </row>
    <row r="64" spans="17:29" x14ac:dyDescent="0.25">
      <c r="Q64" s="1607">
        <v>2017</v>
      </c>
      <c r="R64" s="1613">
        <f t="shared" si="33"/>
        <v>13238.762000000199</v>
      </c>
      <c r="S64" s="1613">
        <f t="shared" si="34"/>
        <v>5115.7070000000231</v>
      </c>
      <c r="T64" s="1613">
        <f t="shared" si="35"/>
        <v>7638.6210000001747</v>
      </c>
      <c r="U64" s="1613">
        <f t="shared" si="54"/>
        <v>244.48399999999998</v>
      </c>
      <c r="V64" s="1613">
        <f t="shared" si="55"/>
        <v>239.94999999999985</v>
      </c>
    </row>
    <row r="65" spans="17:27" x14ac:dyDescent="0.25">
      <c r="Q65" s="1603">
        <v>2018</v>
      </c>
      <c r="R65" s="1613">
        <f t="shared" si="33"/>
        <v>13649.930000000008</v>
      </c>
      <c r="S65" s="1613">
        <f t="shared" si="34"/>
        <v>5232.4620000000004</v>
      </c>
      <c r="T65" s="1613">
        <f t="shared" si="35"/>
        <v>7760.7340000000077</v>
      </c>
      <c r="U65" s="1613">
        <f t="shared" si="54"/>
        <v>284.48400000000004</v>
      </c>
      <c r="V65" s="1613">
        <f t="shared" si="55"/>
        <v>372.24999999999994</v>
      </c>
    </row>
    <row r="66" spans="17:27" x14ac:dyDescent="0.25">
      <c r="Q66" s="1607">
        <v>2019</v>
      </c>
      <c r="R66" s="1613">
        <f t="shared" si="33"/>
        <v>13650.195000000011</v>
      </c>
      <c r="S66" s="1613">
        <f t="shared" si="34"/>
        <v>5266.3020000000024</v>
      </c>
      <c r="T66" s="1613">
        <f t="shared" si="35"/>
        <v>7722.6090000000086</v>
      </c>
      <c r="U66" s="1613">
        <f t="shared" si="54"/>
        <v>289.03399999999999</v>
      </c>
      <c r="V66" s="1613">
        <f t="shared" si="55"/>
        <v>372.24999999999994</v>
      </c>
    </row>
    <row r="67" spans="17:27" x14ac:dyDescent="0.25">
      <c r="Q67" s="1603">
        <v>2020</v>
      </c>
      <c r="R67" s="1613">
        <f t="shared" si="33"/>
        <v>13724.04800000001</v>
      </c>
      <c r="S67" s="1613">
        <f t="shared" si="34"/>
        <v>5285.680000000003</v>
      </c>
      <c r="T67" s="1613">
        <f t="shared" si="35"/>
        <v>7740.3440000000073</v>
      </c>
      <c r="U67" s="1613">
        <f t="shared" si="54"/>
        <v>289.03399999999999</v>
      </c>
      <c r="V67" s="1613">
        <f t="shared" si="55"/>
        <v>408.98999999999995</v>
      </c>
    </row>
    <row r="68" spans="17:27" x14ac:dyDescent="0.25">
      <c r="Q68" s="1603">
        <v>2021</v>
      </c>
      <c r="R68" s="1613">
        <f t="shared" si="33"/>
        <v>13860.954999999973</v>
      </c>
      <c r="S68" s="1613">
        <f t="shared" si="34"/>
        <v>5383.871000000011</v>
      </c>
      <c r="T68" s="1613">
        <f t="shared" si="35"/>
        <v>7781.5839999999625</v>
      </c>
      <c r="U68" s="1613">
        <f t="shared" si="54"/>
        <v>286.51000000000022</v>
      </c>
      <c r="V68" s="1613">
        <f t="shared" si="55"/>
        <v>408.98999999999995</v>
      </c>
    </row>
    <row r="69" spans="17:27" x14ac:dyDescent="0.25">
      <c r="Q69" s="1603">
        <v>2022</v>
      </c>
      <c r="R69" s="1613">
        <f t="shared" si="33"/>
        <v>14248.47800000001</v>
      </c>
      <c r="S69" s="1613">
        <f t="shared" si="34"/>
        <v>5384.4110000000037</v>
      </c>
      <c r="T69" s="1613">
        <f t="shared" si="35"/>
        <v>8038.5670000000073</v>
      </c>
      <c r="U69" s="1613">
        <f t="shared" si="54"/>
        <v>286.51</v>
      </c>
      <c r="V69" s="1613">
        <f t="shared" si="55"/>
        <v>538.99</v>
      </c>
    </row>
    <row r="79" spans="17:27" x14ac:dyDescent="0.25">
      <c r="R79" s="1603" t="s">
        <v>79</v>
      </c>
    </row>
    <row r="80" spans="17:27" x14ac:dyDescent="0.25">
      <c r="R80" s="1603" t="s">
        <v>53</v>
      </c>
      <c r="S80" s="1603" t="s">
        <v>76</v>
      </c>
      <c r="T80" s="1603" t="s">
        <v>77</v>
      </c>
      <c r="Y80" s="1603" t="s">
        <v>53</v>
      </c>
      <c r="Z80" s="1603" t="s">
        <v>76</v>
      </c>
      <c r="AA80" s="1603" t="s">
        <v>77</v>
      </c>
    </row>
    <row r="81" spans="17:29" x14ac:dyDescent="0.25">
      <c r="Q81" s="1603">
        <v>1995</v>
      </c>
      <c r="R81" s="1613">
        <f t="shared" ref="R81:R108" si="56">M7</f>
        <v>1276</v>
      </c>
      <c r="S81" s="1613">
        <f t="shared" ref="S81:S108" si="57">N7</f>
        <v>289.39999999999998</v>
      </c>
      <c r="T81" s="1613">
        <f t="shared" ref="T81:T108" si="58">O7</f>
        <v>986.59999999999991</v>
      </c>
      <c r="X81" s="1608">
        <f>+Q81</f>
        <v>1995</v>
      </c>
      <c r="Y81" s="1622">
        <f>+R81</f>
        <v>1276</v>
      </c>
      <c r="Z81" s="1622">
        <f t="shared" ref="Z81" si="59">+S81</f>
        <v>289.39999999999998</v>
      </c>
      <c r="AA81" s="1622">
        <f t="shared" ref="AA81" si="60">+T81</f>
        <v>986.59999999999991</v>
      </c>
      <c r="AB81" s="1622"/>
      <c r="AC81" s="1622"/>
    </row>
    <row r="82" spans="17:29" x14ac:dyDescent="0.25">
      <c r="Q82" s="1603">
        <v>1996</v>
      </c>
      <c r="R82" s="1613">
        <f t="shared" si="56"/>
        <v>1309.7239999999999</v>
      </c>
      <c r="S82" s="1613">
        <f t="shared" si="57"/>
        <v>292.54000000000002</v>
      </c>
      <c r="T82" s="1613">
        <f t="shared" si="58"/>
        <v>1017.184</v>
      </c>
      <c r="X82" s="1603">
        <f>+Q86</f>
        <v>2000</v>
      </c>
      <c r="Y82" s="1613">
        <f>+R86</f>
        <v>917.33800000000019</v>
      </c>
      <c r="Z82" s="1613">
        <f t="shared" ref="Z82" si="61">+S86</f>
        <v>77.564999999999998</v>
      </c>
      <c r="AA82" s="1613">
        <f t="shared" ref="AA82" si="62">+T86</f>
        <v>839.77300000000014</v>
      </c>
      <c r="AB82" s="1613"/>
      <c r="AC82" s="1613"/>
    </row>
    <row r="83" spans="17:29" x14ac:dyDescent="0.25">
      <c r="Q83" s="1603">
        <v>1997</v>
      </c>
      <c r="R83" s="1613">
        <f t="shared" si="56"/>
        <v>867.47699999999998</v>
      </c>
      <c r="S83" s="1613">
        <f t="shared" si="57"/>
        <v>101.47499999999999</v>
      </c>
      <c r="T83" s="1613">
        <f t="shared" si="58"/>
        <v>766.00199999999995</v>
      </c>
      <c r="X83" s="1603">
        <f>+Q91</f>
        <v>2005</v>
      </c>
      <c r="Y83" s="1613">
        <f>+R91</f>
        <v>979.89199999999994</v>
      </c>
      <c r="Z83" s="1613">
        <f t="shared" ref="Z83" si="63">+S91</f>
        <v>87.861999999999981</v>
      </c>
      <c r="AA83" s="1613">
        <f t="shared" ref="AA83" si="64">+T91</f>
        <v>892.03</v>
      </c>
      <c r="AB83" s="1613"/>
      <c r="AC83" s="1613"/>
    </row>
    <row r="84" spans="17:29" x14ac:dyDescent="0.25">
      <c r="Q84" s="1603">
        <v>1998</v>
      </c>
      <c r="R84" s="1613">
        <f t="shared" si="56"/>
        <v>883.01200000000006</v>
      </c>
      <c r="S84" s="1613">
        <f t="shared" si="57"/>
        <v>104.645</v>
      </c>
      <c r="T84" s="1613">
        <f t="shared" si="58"/>
        <v>778.36700000000008</v>
      </c>
      <c r="X84" s="1603">
        <f>+Q96</f>
        <v>2010</v>
      </c>
      <c r="Y84" s="1613">
        <f>+R96</f>
        <v>1303.3910000000008</v>
      </c>
      <c r="Z84" s="1613">
        <f t="shared" ref="Z84:Z96" si="65">+S96</f>
        <v>92.806999999999974</v>
      </c>
      <c r="AA84" s="1613">
        <f t="shared" ref="AA84:AA96" si="66">+T96</f>
        <v>1210.5840000000007</v>
      </c>
      <c r="AB84" s="1613"/>
      <c r="AC84" s="1613"/>
    </row>
    <row r="85" spans="17:29" x14ac:dyDescent="0.25">
      <c r="Q85" s="1603">
        <v>1999</v>
      </c>
      <c r="R85" s="1613">
        <f t="shared" si="56"/>
        <v>914.18499999999995</v>
      </c>
      <c r="S85" s="1613">
        <f t="shared" si="57"/>
        <v>86.150999999999982</v>
      </c>
      <c r="T85" s="1613">
        <f t="shared" si="58"/>
        <v>828.03399999999999</v>
      </c>
      <c r="X85" s="1603">
        <f t="shared" ref="X85:X96" si="67">+Q97</f>
        <v>2011</v>
      </c>
      <c r="Y85" s="1613">
        <f t="shared" ref="Y85:Y96" si="68">+R97</f>
        <v>1377.087</v>
      </c>
      <c r="Z85" s="1613">
        <f t="shared" si="65"/>
        <v>93.893000000000001</v>
      </c>
      <c r="AA85" s="1613">
        <f t="shared" si="66"/>
        <v>1283.194</v>
      </c>
      <c r="AB85" s="1613"/>
      <c r="AC85" s="1613"/>
    </row>
    <row r="86" spans="17:29" x14ac:dyDescent="0.25">
      <c r="Q86" s="1603">
        <v>2000</v>
      </c>
      <c r="R86" s="1613">
        <f t="shared" si="56"/>
        <v>917.33800000000019</v>
      </c>
      <c r="S86" s="1613">
        <f t="shared" si="57"/>
        <v>77.564999999999998</v>
      </c>
      <c r="T86" s="1613">
        <f t="shared" si="58"/>
        <v>839.77300000000014</v>
      </c>
      <c r="X86" s="1603">
        <f t="shared" si="67"/>
        <v>2012</v>
      </c>
      <c r="Y86" s="1613">
        <f t="shared" si="68"/>
        <v>1432.2640000000001</v>
      </c>
      <c r="Z86" s="1613">
        <f t="shared" si="65"/>
        <v>103.494</v>
      </c>
      <c r="AA86" s="1613">
        <f t="shared" si="66"/>
        <v>1328.7700000000002</v>
      </c>
      <c r="AB86" s="1613"/>
      <c r="AC86" s="1613"/>
    </row>
    <row r="87" spans="17:29" x14ac:dyDescent="0.25">
      <c r="Q87" s="1603">
        <v>2001</v>
      </c>
      <c r="R87" s="1613">
        <f t="shared" si="56"/>
        <v>855.87900000000002</v>
      </c>
      <c r="S87" s="1613">
        <f t="shared" si="57"/>
        <v>76.894999999999996</v>
      </c>
      <c r="T87" s="1613">
        <f t="shared" si="58"/>
        <v>778.98400000000004</v>
      </c>
      <c r="X87" s="1603">
        <f t="shared" si="67"/>
        <v>2013</v>
      </c>
      <c r="Y87" s="1613">
        <f t="shared" si="68"/>
        <v>1416.0879999999997</v>
      </c>
      <c r="Z87" s="1613">
        <f t="shared" si="65"/>
        <v>105.63500000000001</v>
      </c>
      <c r="AA87" s="1613">
        <f t="shared" si="66"/>
        <v>1310.4529999999997</v>
      </c>
      <c r="AB87" s="1613"/>
      <c r="AC87" s="1613"/>
    </row>
    <row r="88" spans="17:29" x14ac:dyDescent="0.25">
      <c r="Q88" s="1603">
        <v>2002</v>
      </c>
      <c r="R88" s="1613">
        <f t="shared" si="56"/>
        <v>867.48199999999974</v>
      </c>
      <c r="S88" s="1613">
        <f t="shared" si="57"/>
        <v>78.868999999999971</v>
      </c>
      <c r="T88" s="1613">
        <f t="shared" si="58"/>
        <v>788.61299999999983</v>
      </c>
      <c r="X88" s="1603">
        <f t="shared" si="67"/>
        <v>2014</v>
      </c>
      <c r="Y88" s="1613">
        <f t="shared" si="68"/>
        <v>1463.3709999999996</v>
      </c>
      <c r="Z88" s="1613">
        <f t="shared" si="65"/>
        <v>103.59599999999998</v>
      </c>
      <c r="AA88" s="1613">
        <f t="shared" si="66"/>
        <v>1359.7749999999996</v>
      </c>
      <c r="AB88" s="1613"/>
      <c r="AC88" s="1613"/>
    </row>
    <row r="89" spans="17:29" x14ac:dyDescent="0.25">
      <c r="Q89" s="1603">
        <v>2003</v>
      </c>
      <c r="R89" s="1613">
        <f t="shared" si="56"/>
        <v>874.96</v>
      </c>
      <c r="S89" s="1613">
        <f t="shared" si="57"/>
        <v>85.48599999999999</v>
      </c>
      <c r="T89" s="1613">
        <f t="shared" si="58"/>
        <v>789.47400000000005</v>
      </c>
      <c r="X89" s="1603">
        <f t="shared" si="67"/>
        <v>2015</v>
      </c>
      <c r="Y89" s="1613">
        <f t="shared" si="68"/>
        <v>1470.9139999999993</v>
      </c>
      <c r="Z89" s="1613">
        <f t="shared" si="65"/>
        <v>103.97599999999998</v>
      </c>
      <c r="AA89" s="1613">
        <f t="shared" si="66"/>
        <v>1366.9379999999994</v>
      </c>
      <c r="AB89" s="1613"/>
      <c r="AC89" s="1613"/>
    </row>
    <row r="90" spans="17:29" x14ac:dyDescent="0.25">
      <c r="Q90" s="1603">
        <v>2004</v>
      </c>
      <c r="R90" s="1613">
        <f t="shared" si="56"/>
        <v>920.29700000000003</v>
      </c>
      <c r="S90" s="1613">
        <f t="shared" si="57"/>
        <v>86.807999999999964</v>
      </c>
      <c r="T90" s="1613">
        <f t="shared" si="58"/>
        <v>833.48900000000003</v>
      </c>
      <c r="X90" s="1603">
        <f t="shared" si="67"/>
        <v>2016</v>
      </c>
      <c r="Y90" s="1613">
        <f t="shared" si="68"/>
        <v>1473.241</v>
      </c>
      <c r="Z90" s="1613">
        <f t="shared" si="65"/>
        <v>116.776</v>
      </c>
      <c r="AA90" s="1613">
        <f t="shared" si="66"/>
        <v>1356.4649999999999</v>
      </c>
      <c r="AB90" s="1613"/>
      <c r="AC90" s="1613"/>
    </row>
    <row r="91" spans="17:29" x14ac:dyDescent="0.25">
      <c r="Q91" s="1603">
        <v>2005</v>
      </c>
      <c r="R91" s="1613">
        <f t="shared" si="56"/>
        <v>979.89199999999994</v>
      </c>
      <c r="S91" s="1613">
        <f t="shared" si="57"/>
        <v>87.861999999999981</v>
      </c>
      <c r="T91" s="1613">
        <f t="shared" si="58"/>
        <v>892.03</v>
      </c>
      <c r="X91" s="1603">
        <f t="shared" si="67"/>
        <v>2017</v>
      </c>
      <c r="Y91" s="1613">
        <f t="shared" si="68"/>
        <v>1496.0089999999977</v>
      </c>
      <c r="Z91" s="1613">
        <f t="shared" si="65"/>
        <v>130.2229999999997</v>
      </c>
      <c r="AA91" s="1613">
        <f t="shared" si="66"/>
        <v>1365.785999999998</v>
      </c>
      <c r="AB91" s="1613"/>
      <c r="AC91" s="1613"/>
    </row>
    <row r="92" spans="17:29" x14ac:dyDescent="0.25">
      <c r="Q92" s="1603">
        <v>2006</v>
      </c>
      <c r="R92" s="1613">
        <f t="shared" si="56"/>
        <v>1033.0019999999997</v>
      </c>
      <c r="S92" s="1613">
        <f t="shared" si="57"/>
        <v>88.201999999999998</v>
      </c>
      <c r="T92" s="1613">
        <f t="shared" si="58"/>
        <v>944.79999999999973</v>
      </c>
      <c r="X92" s="1603">
        <f t="shared" si="67"/>
        <v>2018</v>
      </c>
      <c r="Y92" s="1613">
        <f t="shared" si="68"/>
        <v>1494.6559999999999</v>
      </c>
      <c r="Z92" s="1613">
        <f t="shared" si="65"/>
        <v>130.90299999999999</v>
      </c>
      <c r="AA92" s="1613">
        <f t="shared" si="66"/>
        <v>1363.7529999999999</v>
      </c>
      <c r="AB92" s="1613"/>
      <c r="AC92" s="1613"/>
    </row>
    <row r="93" spans="17:29" x14ac:dyDescent="0.25">
      <c r="Q93" s="1607">
        <v>2007</v>
      </c>
      <c r="R93" s="1613">
        <f t="shared" si="56"/>
        <v>1037.7919999999999</v>
      </c>
      <c r="S93" s="1613">
        <f t="shared" si="57"/>
        <v>88.456999999999994</v>
      </c>
      <c r="T93" s="1613">
        <f t="shared" si="58"/>
        <v>949.33499999999992</v>
      </c>
      <c r="X93" s="1603">
        <f t="shared" si="67"/>
        <v>2019</v>
      </c>
      <c r="Y93" s="1613">
        <f t="shared" si="68"/>
        <v>1472.6450000000007</v>
      </c>
      <c r="Z93" s="1613">
        <f t="shared" si="65"/>
        <v>130.90299999999999</v>
      </c>
      <c r="AA93" s="1613">
        <f t="shared" si="66"/>
        <v>1341.7420000000006</v>
      </c>
      <c r="AB93" s="1613"/>
      <c r="AC93" s="1613"/>
    </row>
    <row r="94" spans="17:29" x14ac:dyDescent="0.25">
      <c r="Q94" s="1603">
        <v>2008</v>
      </c>
      <c r="R94" s="1613">
        <f t="shared" si="56"/>
        <v>1160.9520000000007</v>
      </c>
      <c r="S94" s="1613">
        <f t="shared" si="57"/>
        <v>89.987999999999971</v>
      </c>
      <c r="T94" s="1613">
        <f t="shared" si="58"/>
        <v>1070.9640000000006</v>
      </c>
      <c r="X94" s="1603">
        <f t="shared" si="67"/>
        <v>2020</v>
      </c>
      <c r="Y94" s="1613">
        <f t="shared" si="68"/>
        <v>1462.9220000000009</v>
      </c>
      <c r="Z94" s="1613">
        <f t="shared" si="65"/>
        <v>130.90299999999999</v>
      </c>
      <c r="AA94" s="1613">
        <f t="shared" si="66"/>
        <v>1332.0190000000009</v>
      </c>
      <c r="AB94" s="1613"/>
      <c r="AC94" s="1613"/>
    </row>
    <row r="95" spans="17:29" x14ac:dyDescent="0.25">
      <c r="Q95" s="1603">
        <v>2009</v>
      </c>
      <c r="R95" s="1613">
        <f t="shared" si="56"/>
        <v>1262.9800000000002</v>
      </c>
      <c r="S95" s="1613">
        <f t="shared" si="57"/>
        <v>94.337999999999994</v>
      </c>
      <c r="T95" s="1613">
        <f t="shared" si="58"/>
        <v>1168.6420000000003</v>
      </c>
      <c r="X95" s="1603">
        <f t="shared" si="67"/>
        <v>2021</v>
      </c>
      <c r="Y95" s="1613">
        <f t="shared" si="68"/>
        <v>1479.3539999999996</v>
      </c>
      <c r="Z95" s="1613">
        <f t="shared" si="65"/>
        <v>129.90300000000002</v>
      </c>
      <c r="AA95" s="1613">
        <f t="shared" si="66"/>
        <v>1349.4509999999996</v>
      </c>
      <c r="AB95" s="1613"/>
      <c r="AC95" s="1613"/>
    </row>
    <row r="96" spans="17:29" x14ac:dyDescent="0.25">
      <c r="Q96" s="1603">
        <v>2010</v>
      </c>
      <c r="R96" s="1613">
        <f t="shared" si="56"/>
        <v>1303.3910000000008</v>
      </c>
      <c r="S96" s="1613">
        <f t="shared" si="57"/>
        <v>92.806999999999974</v>
      </c>
      <c r="T96" s="1613">
        <f t="shared" si="58"/>
        <v>1210.5840000000007</v>
      </c>
      <c r="X96" s="1603">
        <f t="shared" si="67"/>
        <v>2022</v>
      </c>
      <c r="Y96" s="1613">
        <f t="shared" si="68"/>
        <v>1511.0239999999999</v>
      </c>
      <c r="Z96" s="1613">
        <f t="shared" si="65"/>
        <v>129.90299999999999</v>
      </c>
      <c r="AA96" s="1613">
        <f t="shared" si="66"/>
        <v>1381.1209999999999</v>
      </c>
      <c r="AB96" s="1613"/>
      <c r="AC96" s="1613"/>
    </row>
    <row r="97" spans="17:20" x14ac:dyDescent="0.25">
      <c r="Q97" s="1603">
        <v>2011</v>
      </c>
      <c r="R97" s="1613">
        <f t="shared" si="56"/>
        <v>1377.087</v>
      </c>
      <c r="S97" s="1613">
        <f t="shared" si="57"/>
        <v>93.893000000000001</v>
      </c>
      <c r="T97" s="1613">
        <f t="shared" si="58"/>
        <v>1283.194</v>
      </c>
    </row>
    <row r="98" spans="17:20" x14ac:dyDescent="0.25">
      <c r="Q98" s="1603">
        <v>2012</v>
      </c>
      <c r="R98" s="1613">
        <f t="shared" si="56"/>
        <v>1432.2640000000001</v>
      </c>
      <c r="S98" s="1613">
        <f t="shared" si="57"/>
        <v>103.494</v>
      </c>
      <c r="T98" s="1613">
        <f t="shared" si="58"/>
        <v>1328.7700000000002</v>
      </c>
    </row>
    <row r="99" spans="17:20" x14ac:dyDescent="0.25">
      <c r="Q99" s="1603">
        <v>2013</v>
      </c>
      <c r="R99" s="1613">
        <f t="shared" si="56"/>
        <v>1416.0879999999997</v>
      </c>
      <c r="S99" s="1613">
        <f t="shared" si="57"/>
        <v>105.63500000000001</v>
      </c>
      <c r="T99" s="1613">
        <f t="shared" si="58"/>
        <v>1310.4529999999997</v>
      </c>
    </row>
    <row r="100" spans="17:20" x14ac:dyDescent="0.25">
      <c r="Q100" s="1603">
        <v>2014</v>
      </c>
      <c r="R100" s="1613">
        <f t="shared" si="56"/>
        <v>1463.3709999999996</v>
      </c>
      <c r="S100" s="1613">
        <f t="shared" si="57"/>
        <v>103.59599999999998</v>
      </c>
      <c r="T100" s="1613">
        <f t="shared" si="58"/>
        <v>1359.7749999999996</v>
      </c>
    </row>
    <row r="101" spans="17:20" x14ac:dyDescent="0.25">
      <c r="Q101" s="1607">
        <v>2015</v>
      </c>
      <c r="R101" s="1613">
        <f t="shared" si="56"/>
        <v>1470.9139999999993</v>
      </c>
      <c r="S101" s="1613">
        <f t="shared" si="57"/>
        <v>103.97599999999998</v>
      </c>
      <c r="T101" s="1613">
        <f t="shared" si="58"/>
        <v>1366.9379999999994</v>
      </c>
    </row>
    <row r="102" spans="17:20" x14ac:dyDescent="0.25">
      <c r="Q102" s="1603">
        <v>2016</v>
      </c>
      <c r="R102" s="1613">
        <f t="shared" si="56"/>
        <v>1473.241</v>
      </c>
      <c r="S102" s="1613">
        <f t="shared" si="57"/>
        <v>116.776</v>
      </c>
      <c r="T102" s="1613">
        <f t="shared" si="58"/>
        <v>1356.4649999999999</v>
      </c>
    </row>
    <row r="103" spans="17:20" x14ac:dyDescent="0.25">
      <c r="Q103" s="1607">
        <v>2017</v>
      </c>
      <c r="R103" s="1613">
        <f t="shared" si="56"/>
        <v>1496.0089999999977</v>
      </c>
      <c r="S103" s="1613">
        <f t="shared" si="57"/>
        <v>130.2229999999997</v>
      </c>
      <c r="T103" s="1613">
        <f t="shared" si="58"/>
        <v>1365.785999999998</v>
      </c>
    </row>
    <row r="104" spans="17:20" x14ac:dyDescent="0.25">
      <c r="Q104" s="1603">
        <v>2018</v>
      </c>
      <c r="R104" s="1613">
        <f t="shared" si="56"/>
        <v>1494.6559999999999</v>
      </c>
      <c r="S104" s="1613">
        <f t="shared" si="57"/>
        <v>130.90299999999999</v>
      </c>
      <c r="T104" s="1613">
        <f t="shared" si="58"/>
        <v>1363.7529999999999</v>
      </c>
    </row>
    <row r="105" spans="17:20" x14ac:dyDescent="0.25">
      <c r="Q105" s="1607">
        <v>2019</v>
      </c>
      <c r="R105" s="1613">
        <f t="shared" si="56"/>
        <v>1472.6450000000007</v>
      </c>
      <c r="S105" s="1613">
        <f t="shared" si="57"/>
        <v>130.90299999999999</v>
      </c>
      <c r="T105" s="1613">
        <f t="shared" si="58"/>
        <v>1341.7420000000006</v>
      </c>
    </row>
    <row r="106" spans="17:20" x14ac:dyDescent="0.25">
      <c r="Q106" s="1603">
        <v>2020</v>
      </c>
      <c r="R106" s="1613">
        <f t="shared" si="56"/>
        <v>1462.9220000000009</v>
      </c>
      <c r="S106" s="1613">
        <f t="shared" si="57"/>
        <v>130.90299999999999</v>
      </c>
      <c r="T106" s="1613">
        <f t="shared" si="58"/>
        <v>1332.0190000000009</v>
      </c>
    </row>
    <row r="107" spans="17:20" x14ac:dyDescent="0.25">
      <c r="Q107" s="1603">
        <v>2021</v>
      </c>
      <c r="R107" s="1613">
        <f t="shared" si="56"/>
        <v>1479.3539999999996</v>
      </c>
      <c r="S107" s="1613">
        <f t="shared" si="57"/>
        <v>129.90300000000002</v>
      </c>
      <c r="T107" s="1613">
        <f t="shared" si="58"/>
        <v>1349.4509999999996</v>
      </c>
    </row>
    <row r="108" spans="17:20" x14ac:dyDescent="0.25">
      <c r="Q108" s="1603">
        <v>2022</v>
      </c>
      <c r="R108" s="1613">
        <f t="shared" si="56"/>
        <v>1511.0239999999999</v>
      </c>
      <c r="S108" s="1613">
        <f t="shared" si="57"/>
        <v>129.90299999999999</v>
      </c>
      <c r="T108" s="1613">
        <f t="shared" si="58"/>
        <v>1381.1209999999999</v>
      </c>
    </row>
  </sheetData>
  <mergeCells count="2">
    <mergeCell ref="B5:B6"/>
    <mergeCell ref="C5:G5"/>
  </mergeCells>
  <printOptions horizontalCentered="1" verticalCentered="1"/>
  <pageMargins left="0.78740157480314965" right="0.78740157480314965" top="0.78740157480314965" bottom="0.31496062992125984" header="0" footer="0"/>
  <pageSetup paperSize="9" scale="46" orientation="portrait" r:id="rId1"/>
  <headerFooter alignWithMargins="0"/>
  <rowBreaks count="1" manualBreakCount="1">
    <brk id="66" max="15" man="1"/>
  </rowBreaks>
  <ignoredErrors>
    <ignoredError sqref="C3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Y101"/>
  <sheetViews>
    <sheetView showGridLines="0" view="pageBreakPreview" zoomScaleNormal="90" zoomScaleSheetLayoutView="100" workbookViewId="0">
      <selection activeCell="P48" sqref="P48"/>
    </sheetView>
  </sheetViews>
  <sheetFormatPr baseColWidth="10" defaultRowHeight="12.5" x14ac:dyDescent="0.25"/>
  <cols>
    <col min="1" max="1" width="4.26953125" customWidth="1"/>
    <col min="2" max="2" width="20.1796875" customWidth="1"/>
    <col min="4" max="14" width="8.7265625" customWidth="1"/>
    <col min="16" max="19" width="10.90625" style="1603"/>
    <col min="22" max="24" width="11.453125" customWidth="1"/>
  </cols>
  <sheetData>
    <row r="1" spans="2:24" ht="14" x14ac:dyDescent="0.3">
      <c r="B1" s="112"/>
      <c r="C1" s="112"/>
      <c r="D1" s="112"/>
      <c r="E1" s="112"/>
      <c r="F1" s="112"/>
      <c r="G1" s="112"/>
      <c r="H1" s="112"/>
      <c r="I1" s="112"/>
      <c r="J1" s="113"/>
      <c r="K1" s="113"/>
      <c r="L1" s="113"/>
      <c r="M1" s="113"/>
      <c r="N1" s="113"/>
    </row>
    <row r="2" spans="2:24" ht="15.5" x14ac:dyDescent="0.35">
      <c r="B2" s="70" t="s">
        <v>193</v>
      </c>
      <c r="C2" s="173"/>
      <c r="D2" s="173"/>
      <c r="E2" s="173"/>
      <c r="F2" s="173"/>
      <c r="G2" s="173"/>
      <c r="Q2" s="1615" t="s">
        <v>80</v>
      </c>
    </row>
    <row r="3" spans="2:24" ht="13" thickBot="1" x14ac:dyDescent="0.3"/>
    <row r="4" spans="2:24" s="94" customFormat="1" ht="15.75" customHeight="1" x14ac:dyDescent="0.25">
      <c r="B4" s="1454" t="s">
        <v>39</v>
      </c>
      <c r="C4" s="1456" t="s">
        <v>167</v>
      </c>
      <c r="D4" s="1457"/>
      <c r="E4" s="1457"/>
      <c r="F4" s="1458"/>
      <c r="G4" s="1037" t="s">
        <v>70</v>
      </c>
      <c r="H4" s="1038"/>
      <c r="I4" s="1038"/>
      <c r="J4" s="1039"/>
      <c r="K4" s="1037" t="s">
        <v>71</v>
      </c>
      <c r="L4" s="1040"/>
      <c r="M4" s="1040"/>
      <c r="N4" s="1041"/>
      <c r="P4" s="1608"/>
      <c r="Q4" s="1608"/>
      <c r="R4" s="1608"/>
      <c r="S4" s="1608"/>
      <c r="V4" s="806"/>
      <c r="W4" s="806"/>
      <c r="X4" s="806"/>
    </row>
    <row r="5" spans="2:24" s="94" customFormat="1" ht="13" thickBot="1" x14ac:dyDescent="0.3">
      <c r="B5" s="1455"/>
      <c r="C5" s="1042" t="s">
        <v>53</v>
      </c>
      <c r="D5" s="1042" t="s">
        <v>82</v>
      </c>
      <c r="E5" s="1042" t="s">
        <v>83</v>
      </c>
      <c r="F5" s="1043" t="s">
        <v>84</v>
      </c>
      <c r="G5" s="1042" t="s">
        <v>53</v>
      </c>
      <c r="H5" s="1043" t="s">
        <v>82</v>
      </c>
      <c r="I5" s="1043" t="s">
        <v>83</v>
      </c>
      <c r="J5" s="1043" t="s">
        <v>84</v>
      </c>
      <c r="K5" s="1042" t="s">
        <v>53</v>
      </c>
      <c r="L5" s="1045" t="s">
        <v>82</v>
      </c>
      <c r="M5" s="1045" t="s">
        <v>83</v>
      </c>
      <c r="N5" s="1046" t="s">
        <v>84</v>
      </c>
      <c r="P5" s="1603"/>
      <c r="Q5" s="1603" t="s">
        <v>53</v>
      </c>
      <c r="R5" s="1603" t="s">
        <v>81</v>
      </c>
      <c r="S5" s="1603" t="s">
        <v>84</v>
      </c>
      <c r="T5"/>
      <c r="U5"/>
      <c r="V5" s="115" t="s">
        <v>53</v>
      </c>
      <c r="W5" s="115" t="s">
        <v>81</v>
      </c>
      <c r="X5" s="115" t="s">
        <v>84</v>
      </c>
    </row>
    <row r="6" spans="2:24" ht="13" x14ac:dyDescent="0.3">
      <c r="B6" s="1390">
        <v>1995</v>
      </c>
      <c r="C6" s="180">
        <f t="shared" ref="C6:C11" si="0">SUM(D6:F6)</f>
        <v>4461.7000000000007</v>
      </c>
      <c r="D6" s="204">
        <f t="shared" ref="D6:F11" si="1">SUM(H6,L6)</f>
        <v>2802.3650000000002</v>
      </c>
      <c r="E6" s="204">
        <f t="shared" si="1"/>
        <v>646.36</v>
      </c>
      <c r="F6" s="205">
        <f t="shared" si="1"/>
        <v>1012.975</v>
      </c>
      <c r="G6" s="204">
        <f t="shared" ref="G6:G11" si="2">SUM(H6:J6)</f>
        <v>3185.7000000000003</v>
      </c>
      <c r="H6" s="204">
        <f>+'2.3 y 2.4'!C6</f>
        <v>2422.2950000000001</v>
      </c>
      <c r="I6" s="204">
        <f>+'2.3 y 2.4'!H6</f>
        <v>416.34</v>
      </c>
      <c r="J6" s="205">
        <f>+'2.3 y 2.4'!K6</f>
        <v>347.06500000000005</v>
      </c>
      <c r="K6" s="204">
        <f t="shared" ref="K6:K11" si="3">SUM(L6:N6)</f>
        <v>1276</v>
      </c>
      <c r="L6" s="206">
        <f>+'2.3 y 2.4'!C69</f>
        <v>380.07</v>
      </c>
      <c r="M6" s="206">
        <f>+'2.3 y 2.4'!F69</f>
        <v>230.02</v>
      </c>
      <c r="N6" s="184">
        <f>+'2.3 y 2.4'!I69</f>
        <v>665.91</v>
      </c>
      <c r="P6" s="1603">
        <v>1995</v>
      </c>
      <c r="Q6" s="1613">
        <f t="shared" ref="Q6:Q11" si="4">C6</f>
        <v>4461.7000000000007</v>
      </c>
      <c r="R6" s="1613">
        <f t="shared" ref="R6:R11" si="5">D6+E6</f>
        <v>3448.7250000000004</v>
      </c>
      <c r="S6" s="1613">
        <f t="shared" ref="S6:S11" si="6">F6</f>
        <v>1012.975</v>
      </c>
      <c r="T6" s="763"/>
      <c r="U6" s="94">
        <f>+P6</f>
        <v>1995</v>
      </c>
      <c r="V6" s="804">
        <f t="shared" ref="V6:X6" si="7">+Q6</f>
        <v>4461.7000000000007</v>
      </c>
      <c r="W6" s="804">
        <f t="shared" si="7"/>
        <v>3448.7250000000004</v>
      </c>
      <c r="X6" s="804">
        <f t="shared" si="7"/>
        <v>1012.975</v>
      </c>
    </row>
    <row r="7" spans="2:24" ht="13" x14ac:dyDescent="0.3">
      <c r="B7" s="1391">
        <v>1996</v>
      </c>
      <c r="C7" s="174">
        <f t="shared" si="0"/>
        <v>4662.6049999999996</v>
      </c>
      <c r="D7" s="207">
        <f t="shared" si="1"/>
        <v>2935.9249999999997</v>
      </c>
      <c r="E7" s="207">
        <f t="shared" si="1"/>
        <v>650.68000000000006</v>
      </c>
      <c r="F7" s="208">
        <f t="shared" si="1"/>
        <v>1076</v>
      </c>
      <c r="G7" s="207">
        <f t="shared" si="2"/>
        <v>3352.8809999999999</v>
      </c>
      <c r="H7" s="207">
        <f>+'2.3 y 2.4'!C7</f>
        <v>2552.0549999999998</v>
      </c>
      <c r="I7" s="207">
        <f>+'2.3 y 2.4'!H7</f>
        <v>420.66</v>
      </c>
      <c r="J7" s="207">
        <f>+'2.3 y 2.4'!K7</f>
        <v>380.166</v>
      </c>
      <c r="K7" s="207">
        <f t="shared" si="3"/>
        <v>1309.7239999999999</v>
      </c>
      <c r="L7" s="209">
        <f>+'2.3 y 2.4'!C70</f>
        <v>383.87</v>
      </c>
      <c r="M7" s="209">
        <f>+'2.3 y 2.4'!F70</f>
        <v>230.02</v>
      </c>
      <c r="N7" s="179">
        <f>+'2.3 y 2.4'!I70</f>
        <v>695.83399999999995</v>
      </c>
      <c r="P7" s="1603">
        <v>1996</v>
      </c>
      <c r="Q7" s="1613">
        <f t="shared" si="4"/>
        <v>4662.6049999999996</v>
      </c>
      <c r="R7" s="1613">
        <f t="shared" si="5"/>
        <v>3586.6049999999996</v>
      </c>
      <c r="S7" s="1613">
        <f t="shared" si="6"/>
        <v>1076</v>
      </c>
      <c r="T7" s="763"/>
      <c r="U7">
        <f>+P11</f>
        <v>2000</v>
      </c>
      <c r="V7" s="133">
        <f t="shared" ref="V7:X7" si="8">+Q11</f>
        <v>6066.1890000000003</v>
      </c>
      <c r="W7" s="133">
        <f t="shared" si="8"/>
        <v>4933.616</v>
      </c>
      <c r="X7" s="133">
        <f t="shared" si="8"/>
        <v>1132.5730000000001</v>
      </c>
    </row>
    <row r="8" spans="2:24" ht="13" x14ac:dyDescent="0.3">
      <c r="B8" s="1390">
        <v>1997</v>
      </c>
      <c r="C8" s="180">
        <f t="shared" si="0"/>
        <v>5192.4980000000005</v>
      </c>
      <c r="D8" s="204">
        <f t="shared" si="1"/>
        <v>3417.2060000000001</v>
      </c>
      <c r="E8" s="204">
        <f t="shared" si="1"/>
        <v>779.92500000000007</v>
      </c>
      <c r="F8" s="205">
        <f t="shared" si="1"/>
        <v>995.36699999999985</v>
      </c>
      <c r="G8" s="204">
        <f t="shared" si="2"/>
        <v>4325.0209999999997</v>
      </c>
      <c r="H8" s="204">
        <f>+'2.3 y 2.4'!C8</f>
        <v>3243.17</v>
      </c>
      <c r="I8" s="204">
        <f>+'2.3 y 2.4'!H8</f>
        <v>710.54500000000007</v>
      </c>
      <c r="J8" s="204">
        <f>+'2.3 y 2.4'!K8</f>
        <v>371.30599999999993</v>
      </c>
      <c r="K8" s="204">
        <f t="shared" si="3"/>
        <v>867.47699999999986</v>
      </c>
      <c r="L8" s="206">
        <f>+'2.3 y 2.4'!C71</f>
        <v>174.036</v>
      </c>
      <c r="M8" s="206">
        <f>+'2.3 y 2.4'!F71</f>
        <v>69.38</v>
      </c>
      <c r="N8" s="184">
        <f>+'2.3 y 2.4'!I71</f>
        <v>624.06099999999992</v>
      </c>
      <c r="P8" s="1603">
        <v>1997</v>
      </c>
      <c r="Q8" s="1613">
        <f t="shared" si="4"/>
        <v>5192.4980000000005</v>
      </c>
      <c r="R8" s="1613">
        <f t="shared" si="5"/>
        <v>4197.1310000000003</v>
      </c>
      <c r="S8" s="1613">
        <f t="shared" si="6"/>
        <v>995.36699999999985</v>
      </c>
      <c r="T8" s="763"/>
      <c r="U8">
        <f>+P17</f>
        <v>2005</v>
      </c>
      <c r="V8" s="133">
        <f t="shared" ref="V8:X8" si="9">+Q17</f>
        <v>6200.5255999999999</v>
      </c>
      <c r="W8" s="133">
        <f t="shared" si="9"/>
        <v>5193.2016000000003</v>
      </c>
      <c r="X8" s="133">
        <f t="shared" si="9"/>
        <v>1007.3239999999998</v>
      </c>
    </row>
    <row r="9" spans="2:24" ht="13" x14ac:dyDescent="0.3">
      <c r="B9" s="1391">
        <v>1998</v>
      </c>
      <c r="C9" s="174">
        <f t="shared" si="0"/>
        <v>5515.2899999999991</v>
      </c>
      <c r="D9" s="207">
        <f t="shared" si="1"/>
        <v>3628.8919999999994</v>
      </c>
      <c r="E9" s="207">
        <f t="shared" si="1"/>
        <v>777.80799999999999</v>
      </c>
      <c r="F9" s="208">
        <f t="shared" si="1"/>
        <v>1108.5900000000001</v>
      </c>
      <c r="G9" s="207">
        <f t="shared" si="2"/>
        <v>4632.2779999999993</v>
      </c>
      <c r="H9" s="207">
        <f>+'2.3 y 2.4'!C9</f>
        <v>3498.7559999999994</v>
      </c>
      <c r="I9" s="207">
        <f>+'2.3 y 2.4'!H9</f>
        <v>727.44799999999998</v>
      </c>
      <c r="J9" s="207">
        <f>+'2.3 y 2.4'!K9</f>
        <v>406.07400000000001</v>
      </c>
      <c r="K9" s="207">
        <f t="shared" si="3"/>
        <v>883.01200000000006</v>
      </c>
      <c r="L9" s="209">
        <f>+'2.3 y 2.4'!C72</f>
        <v>130.136</v>
      </c>
      <c r="M9" s="209">
        <f>+'2.3 y 2.4'!F72</f>
        <v>50.36</v>
      </c>
      <c r="N9" s="179">
        <f>+'2.3 y 2.4'!I72</f>
        <v>702.51600000000008</v>
      </c>
      <c r="P9" s="1603">
        <v>1998</v>
      </c>
      <c r="Q9" s="1613">
        <f t="shared" si="4"/>
        <v>5515.2899999999991</v>
      </c>
      <c r="R9" s="1613">
        <f t="shared" si="5"/>
        <v>4406.6999999999989</v>
      </c>
      <c r="S9" s="1613">
        <f t="shared" si="6"/>
        <v>1108.5900000000001</v>
      </c>
      <c r="T9" s="763"/>
      <c r="U9">
        <f t="shared" ref="U9:U21" si="10">+P22</f>
        <v>2010</v>
      </c>
      <c r="V9" s="133">
        <f t="shared" ref="V9:X9" si="11">+Q22</f>
        <v>8612.5569999999989</v>
      </c>
      <c r="W9" s="133">
        <f t="shared" si="11"/>
        <v>7331.1129999999994</v>
      </c>
      <c r="X9" s="133">
        <f t="shared" si="11"/>
        <v>1281.4439999999997</v>
      </c>
    </row>
    <row r="10" spans="2:24" ht="13" x14ac:dyDescent="0.3">
      <c r="B10" s="1390">
        <v>1999</v>
      </c>
      <c r="C10" s="180">
        <f t="shared" si="0"/>
        <v>5742.4279999999999</v>
      </c>
      <c r="D10" s="204">
        <f t="shared" si="1"/>
        <v>3758.7669999999998</v>
      </c>
      <c r="E10" s="204">
        <f t="shared" si="1"/>
        <v>841.19800000000009</v>
      </c>
      <c r="F10" s="205">
        <f t="shared" si="1"/>
        <v>1142.463</v>
      </c>
      <c r="G10" s="204">
        <f t="shared" si="2"/>
        <v>4828.2430000000004</v>
      </c>
      <c r="H10" s="204">
        <f>+'2.3 y 2.4'!C10</f>
        <v>3672.607</v>
      </c>
      <c r="I10" s="204">
        <f>+'2.3 y 2.4'!H10</f>
        <v>793.44800000000009</v>
      </c>
      <c r="J10" s="204">
        <f>+'2.3 y 2.4'!K10</f>
        <v>362.18799999999993</v>
      </c>
      <c r="K10" s="204">
        <f t="shared" si="3"/>
        <v>914.18499999999995</v>
      </c>
      <c r="L10" s="206">
        <f>+'2.3 y 2.4'!C73</f>
        <v>86.16</v>
      </c>
      <c r="M10" s="206">
        <f>+'2.3 y 2.4'!F73</f>
        <v>47.75</v>
      </c>
      <c r="N10" s="184">
        <f>+'2.3 y 2.4'!I73</f>
        <v>780.27499999999998</v>
      </c>
      <c r="P10" s="1603">
        <v>1999</v>
      </c>
      <c r="Q10" s="1613">
        <f t="shared" si="4"/>
        <v>5742.4279999999999</v>
      </c>
      <c r="R10" s="1613">
        <f t="shared" si="5"/>
        <v>4599.9650000000001</v>
      </c>
      <c r="S10" s="1613">
        <f t="shared" si="6"/>
        <v>1142.463</v>
      </c>
      <c r="T10" s="763"/>
      <c r="U10">
        <f t="shared" si="10"/>
        <v>2011</v>
      </c>
      <c r="V10" s="133">
        <f t="shared" ref="V10:V21" si="12">+Q23</f>
        <v>8691.3240000000005</v>
      </c>
      <c r="W10" s="133">
        <f t="shared" ref="W10:W21" si="13">+R23</f>
        <v>7341.4400000000005</v>
      </c>
      <c r="X10" s="133">
        <f t="shared" ref="X10:X21" si="14">+S23</f>
        <v>1349.884</v>
      </c>
    </row>
    <row r="11" spans="2:24" ht="13" x14ac:dyDescent="0.3">
      <c r="B11" s="1391">
        <v>2000</v>
      </c>
      <c r="C11" s="174">
        <f t="shared" si="0"/>
        <v>6066.1890000000003</v>
      </c>
      <c r="D11" s="207">
        <f t="shared" si="1"/>
        <v>3940.7869999999998</v>
      </c>
      <c r="E11" s="207">
        <f t="shared" si="1"/>
        <v>992.82900000000006</v>
      </c>
      <c r="F11" s="208">
        <f t="shared" si="1"/>
        <v>1132.5730000000001</v>
      </c>
      <c r="G11" s="207">
        <f t="shared" si="2"/>
        <v>5148.8510000000006</v>
      </c>
      <c r="H11" s="207">
        <f>+'2.3 y 2.4'!C11</f>
        <v>3858.317</v>
      </c>
      <c r="I11" s="207">
        <f>+'2.3 y 2.4'!H11</f>
        <v>931.67900000000009</v>
      </c>
      <c r="J11" s="207">
        <f>+'2.3 y 2.4'!K11</f>
        <v>358.85500000000002</v>
      </c>
      <c r="K11" s="207">
        <f t="shared" si="3"/>
        <v>917.33800000000008</v>
      </c>
      <c r="L11" s="209">
        <f>+'2.3 y 2.4'!C74</f>
        <v>82.47</v>
      </c>
      <c r="M11" s="209">
        <f>+'2.3 y 2.4'!F74</f>
        <v>61.15</v>
      </c>
      <c r="N11" s="179">
        <f>+'2.3 y 2.4'!I74</f>
        <v>773.71800000000007</v>
      </c>
      <c r="P11" s="1603">
        <v>2000</v>
      </c>
      <c r="Q11" s="1613">
        <f t="shared" si="4"/>
        <v>6066.1890000000003</v>
      </c>
      <c r="R11" s="1613">
        <f t="shared" si="5"/>
        <v>4933.616</v>
      </c>
      <c r="S11" s="1613">
        <f t="shared" si="6"/>
        <v>1132.5730000000001</v>
      </c>
      <c r="T11" s="763"/>
      <c r="U11">
        <f t="shared" si="10"/>
        <v>2012</v>
      </c>
      <c r="V11" s="133">
        <f t="shared" si="12"/>
        <v>9699.4350000000013</v>
      </c>
      <c r="W11" s="133">
        <f t="shared" si="13"/>
        <v>8292.0740000000005</v>
      </c>
      <c r="X11" s="133">
        <f t="shared" si="14"/>
        <v>1407.3609999999999</v>
      </c>
    </row>
    <row r="12" spans="2:24" ht="13" x14ac:dyDescent="0.3">
      <c r="B12" s="1391"/>
      <c r="C12" s="174"/>
      <c r="D12" s="1459" t="s">
        <v>93</v>
      </c>
      <c r="E12" s="1460"/>
      <c r="F12" s="208"/>
      <c r="G12" s="207"/>
      <c r="H12" s="1459" t="s">
        <v>93</v>
      </c>
      <c r="I12" s="1471"/>
      <c r="J12" s="207"/>
      <c r="K12" s="207"/>
      <c r="L12" s="1459" t="s">
        <v>93</v>
      </c>
      <c r="M12" s="1471"/>
      <c r="N12" s="179"/>
      <c r="Q12" s="1613"/>
      <c r="R12" s="1613"/>
      <c r="S12" s="1613"/>
      <c r="T12" s="763"/>
      <c r="U12">
        <f t="shared" si="10"/>
        <v>2013</v>
      </c>
      <c r="V12" s="133">
        <f t="shared" si="12"/>
        <v>11050.718999999999</v>
      </c>
      <c r="W12" s="133">
        <f t="shared" si="13"/>
        <v>9633.9229999999989</v>
      </c>
      <c r="X12" s="133">
        <f t="shared" si="14"/>
        <v>1416.7959999999998</v>
      </c>
    </row>
    <row r="13" spans="2:24" ht="13" x14ac:dyDescent="0.3">
      <c r="B13" s="1390" t="s">
        <v>59</v>
      </c>
      <c r="C13" s="180">
        <f t="shared" ref="C13:C34" si="15">SUM(D13:F13)</f>
        <v>5906.6930000000011</v>
      </c>
      <c r="D13" s="1465">
        <f>+H13+L13</f>
        <v>4879.6460000000006</v>
      </c>
      <c r="E13" s="1466"/>
      <c r="F13" s="205">
        <f t="shared" ref="F13:F34" si="16">SUM(J13,N13)</f>
        <v>1027.047</v>
      </c>
      <c r="G13" s="204">
        <f t="shared" ref="G13:G34" si="17">SUM(H13:J13)</f>
        <v>5050.8140000000003</v>
      </c>
      <c r="H13" s="1465">
        <f>+'2.3 y 2.4'!C14</f>
        <v>4744.8370000000004</v>
      </c>
      <c r="I13" s="1466"/>
      <c r="J13" s="205">
        <f>+'2.3 y 2.4'!K14</f>
        <v>305.97699999999992</v>
      </c>
      <c r="K13" s="204">
        <f t="shared" ref="K13:K34" si="18">SUM(L13:N13)</f>
        <v>855.87900000000002</v>
      </c>
      <c r="L13" s="1465">
        <f>+'2.3 y 2.4'!C76</f>
        <v>134.809</v>
      </c>
      <c r="M13" s="1466"/>
      <c r="N13" s="184">
        <f>+'2.3 y 2.4'!I76</f>
        <v>721.07</v>
      </c>
      <c r="P13" s="1603">
        <v>2001</v>
      </c>
      <c r="Q13" s="1613">
        <f t="shared" ref="Q13:Q34" si="19">C13</f>
        <v>5906.6930000000011</v>
      </c>
      <c r="R13" s="1613">
        <f>+D13</f>
        <v>4879.6460000000006</v>
      </c>
      <c r="S13" s="1613">
        <f t="shared" ref="S13:S34" si="20">F13</f>
        <v>1027.047</v>
      </c>
      <c r="T13" s="763"/>
      <c r="U13">
        <f t="shared" si="10"/>
        <v>2014</v>
      </c>
      <c r="V13" s="133">
        <f t="shared" si="12"/>
        <v>11202.618999999999</v>
      </c>
      <c r="W13" s="133">
        <f t="shared" si="13"/>
        <v>9707.58</v>
      </c>
      <c r="X13" s="133">
        <f t="shared" si="14"/>
        <v>1495.0389999999998</v>
      </c>
    </row>
    <row r="14" spans="2:24" ht="13" x14ac:dyDescent="0.3">
      <c r="B14" s="1391">
        <v>2002</v>
      </c>
      <c r="C14" s="174">
        <f t="shared" si="15"/>
        <v>5935.5330000000004</v>
      </c>
      <c r="D14" s="1461">
        <f t="shared" ref="D14:D34" si="21">+H14+L14</f>
        <v>4973.5560000000005</v>
      </c>
      <c r="E14" s="1462"/>
      <c r="F14" s="208">
        <f t="shared" si="16"/>
        <v>961.97699999999975</v>
      </c>
      <c r="G14" s="207">
        <f t="shared" si="17"/>
        <v>5068.0510000000004</v>
      </c>
      <c r="H14" s="1461">
        <f>+'2.3 y 2.4'!C15</f>
        <v>4841.7170000000006</v>
      </c>
      <c r="I14" s="1462"/>
      <c r="J14" s="208">
        <f>+'2.3 y 2.4'!K15</f>
        <v>226.33399999999995</v>
      </c>
      <c r="K14" s="207">
        <f t="shared" si="18"/>
        <v>867.48199999999974</v>
      </c>
      <c r="L14" s="1461">
        <f>+'2.3 y 2.4'!C77</f>
        <v>131.839</v>
      </c>
      <c r="M14" s="1462"/>
      <c r="N14" s="179">
        <f>+'2.3 y 2.4'!I77</f>
        <v>735.6429999999998</v>
      </c>
      <c r="P14" s="1607">
        <v>2002</v>
      </c>
      <c r="Q14" s="1613">
        <f t="shared" si="19"/>
        <v>5935.5330000000004</v>
      </c>
      <c r="R14" s="1613">
        <f t="shared" ref="R14:R34" si="22">+D14</f>
        <v>4973.5560000000005</v>
      </c>
      <c r="S14" s="1613">
        <f t="shared" si="20"/>
        <v>961.97699999999975</v>
      </c>
      <c r="T14" s="763"/>
      <c r="U14">
        <f t="shared" si="10"/>
        <v>2015</v>
      </c>
      <c r="V14" s="133">
        <f t="shared" si="12"/>
        <v>12188.627</v>
      </c>
      <c r="W14" s="133">
        <f t="shared" si="13"/>
        <v>10804.275000000001</v>
      </c>
      <c r="X14" s="133">
        <f t="shared" si="14"/>
        <v>1384.3519999999985</v>
      </c>
    </row>
    <row r="15" spans="2:24" ht="13" x14ac:dyDescent="0.3">
      <c r="B15" s="1390">
        <v>2003</v>
      </c>
      <c r="C15" s="180">
        <f t="shared" si="15"/>
        <v>5970.0630000000001</v>
      </c>
      <c r="D15" s="1463">
        <f t="shared" si="21"/>
        <v>5012.7560000000003</v>
      </c>
      <c r="E15" s="1464"/>
      <c r="F15" s="205">
        <f t="shared" si="16"/>
        <v>957.3069999999999</v>
      </c>
      <c r="G15" s="204">
        <f t="shared" si="17"/>
        <v>5095.1030000000001</v>
      </c>
      <c r="H15" s="1463">
        <f>+'2.3 y 2.4'!C16</f>
        <v>4881.0070000000005</v>
      </c>
      <c r="I15" s="1464"/>
      <c r="J15" s="205">
        <f>+'2.3 y 2.4'!K16</f>
        <v>214.09599999999992</v>
      </c>
      <c r="K15" s="204">
        <f t="shared" si="18"/>
        <v>874.96</v>
      </c>
      <c r="L15" s="1463">
        <f>+'2.3 y 2.4'!C78</f>
        <v>131.74900000000002</v>
      </c>
      <c r="M15" s="1464"/>
      <c r="N15" s="184">
        <f>+'2.3 y 2.4'!I78</f>
        <v>743.21100000000001</v>
      </c>
      <c r="P15" s="1603">
        <v>2003</v>
      </c>
      <c r="Q15" s="1613">
        <f t="shared" si="19"/>
        <v>5970.0630000000001</v>
      </c>
      <c r="R15" s="1613">
        <f t="shared" si="22"/>
        <v>5012.7560000000003</v>
      </c>
      <c r="S15" s="1613">
        <f t="shared" si="20"/>
        <v>957.3069999999999</v>
      </c>
      <c r="T15" s="763"/>
      <c r="U15">
        <f t="shared" si="10"/>
        <v>2016</v>
      </c>
      <c r="V15" s="133">
        <f t="shared" si="12"/>
        <v>14517.715000000002</v>
      </c>
      <c r="W15" s="133">
        <f t="shared" si="13"/>
        <v>13110.061000000002</v>
      </c>
      <c r="X15" s="133">
        <f t="shared" si="14"/>
        <v>1407.654</v>
      </c>
    </row>
    <row r="16" spans="2:24" ht="13" x14ac:dyDescent="0.3">
      <c r="B16" s="1391">
        <v>2004</v>
      </c>
      <c r="C16" s="174">
        <f t="shared" si="15"/>
        <v>6016.3186000000023</v>
      </c>
      <c r="D16" s="1461">
        <f t="shared" si="21"/>
        <v>5060.245600000002</v>
      </c>
      <c r="E16" s="1462"/>
      <c r="F16" s="208">
        <f t="shared" si="16"/>
        <v>956.07299999999987</v>
      </c>
      <c r="G16" s="207">
        <f t="shared" si="17"/>
        <v>5096.0216000000019</v>
      </c>
      <c r="H16" s="1461">
        <f>+'2.3 y 2.4'!C17</f>
        <v>4898.7466000000022</v>
      </c>
      <c r="I16" s="1462"/>
      <c r="J16" s="208">
        <f>+'2.3 y 2.4'!K17</f>
        <v>197.27499999999989</v>
      </c>
      <c r="K16" s="207">
        <f t="shared" si="18"/>
        <v>920.29700000000003</v>
      </c>
      <c r="L16" s="1461">
        <f>+'2.3 y 2.4'!C79</f>
        <v>161.499</v>
      </c>
      <c r="M16" s="1462"/>
      <c r="N16" s="179">
        <f>+'2.3 y 2.4'!I79</f>
        <v>758.798</v>
      </c>
      <c r="P16" s="1603">
        <v>2004</v>
      </c>
      <c r="Q16" s="1613">
        <f t="shared" si="19"/>
        <v>6016.3186000000023</v>
      </c>
      <c r="R16" s="1613">
        <f t="shared" si="22"/>
        <v>5060.245600000002</v>
      </c>
      <c r="S16" s="1613">
        <f t="shared" si="20"/>
        <v>956.07299999999987</v>
      </c>
      <c r="T16" s="763"/>
      <c r="U16">
        <f t="shared" si="10"/>
        <v>2017</v>
      </c>
      <c r="V16" s="133">
        <f t="shared" si="12"/>
        <v>14734.771000000001</v>
      </c>
      <c r="W16" s="133">
        <f t="shared" si="13"/>
        <v>13255.045</v>
      </c>
      <c r="X16" s="133">
        <f t="shared" si="14"/>
        <v>1479.7260000000012</v>
      </c>
    </row>
    <row r="17" spans="2:24" ht="13" x14ac:dyDescent="0.3">
      <c r="B17" s="1390">
        <v>2005</v>
      </c>
      <c r="C17" s="180">
        <f t="shared" si="15"/>
        <v>6200.5255999999999</v>
      </c>
      <c r="D17" s="1463">
        <f t="shared" si="21"/>
        <v>5193.2016000000003</v>
      </c>
      <c r="E17" s="1464"/>
      <c r="F17" s="205">
        <f t="shared" si="16"/>
        <v>1007.3239999999998</v>
      </c>
      <c r="G17" s="204">
        <f t="shared" si="17"/>
        <v>5220.6336000000001</v>
      </c>
      <c r="H17" s="1463">
        <f>+'2.3 y 2.4'!C18</f>
        <v>5014.1686</v>
      </c>
      <c r="I17" s="1464"/>
      <c r="J17" s="205">
        <f>+'2.3 y 2.4'!K18</f>
        <v>206.46499999999986</v>
      </c>
      <c r="K17" s="204">
        <f t="shared" si="18"/>
        <v>979.89199999999994</v>
      </c>
      <c r="L17" s="1463">
        <f>+'2.3 y 2.4'!C80</f>
        <v>179.03300000000002</v>
      </c>
      <c r="M17" s="1464"/>
      <c r="N17" s="184">
        <f>+'2.3 y 2.4'!I80</f>
        <v>800.85899999999992</v>
      </c>
      <c r="P17" s="1603">
        <v>2005</v>
      </c>
      <c r="Q17" s="1613">
        <f t="shared" si="19"/>
        <v>6200.5255999999999</v>
      </c>
      <c r="R17" s="1613">
        <f t="shared" si="22"/>
        <v>5193.2016000000003</v>
      </c>
      <c r="S17" s="1613">
        <f t="shared" si="20"/>
        <v>1007.3239999999998</v>
      </c>
      <c r="T17" s="763"/>
      <c r="U17">
        <f t="shared" si="10"/>
        <v>2018</v>
      </c>
      <c r="V17" s="133">
        <f t="shared" si="12"/>
        <v>15144.585999999999</v>
      </c>
      <c r="W17" s="133">
        <f t="shared" si="13"/>
        <v>13678.227999999999</v>
      </c>
      <c r="X17" s="133">
        <f t="shared" si="14"/>
        <v>1466.3580000000004</v>
      </c>
    </row>
    <row r="18" spans="2:24" ht="13" x14ac:dyDescent="0.3">
      <c r="B18" s="1391">
        <v>2006</v>
      </c>
      <c r="C18" s="174">
        <f t="shared" si="15"/>
        <v>6658.1436000000012</v>
      </c>
      <c r="D18" s="1461">
        <f t="shared" si="21"/>
        <v>5595.481600000001</v>
      </c>
      <c r="E18" s="1462"/>
      <c r="F18" s="208">
        <f t="shared" si="16"/>
        <v>1062.6619999999998</v>
      </c>
      <c r="G18" s="207">
        <f t="shared" si="17"/>
        <v>5625.1416000000008</v>
      </c>
      <c r="H18" s="1461">
        <f>+'2.3 y 2.4'!C19</f>
        <v>5410.4616000000005</v>
      </c>
      <c r="I18" s="1462"/>
      <c r="J18" s="208">
        <f>+'2.3 y 2.4'!K19</f>
        <v>214.67999999999998</v>
      </c>
      <c r="K18" s="207">
        <f t="shared" si="18"/>
        <v>1033.0019999999997</v>
      </c>
      <c r="L18" s="1461">
        <f>+'2.3 y 2.4'!C81</f>
        <v>185.02</v>
      </c>
      <c r="M18" s="1462"/>
      <c r="N18" s="179">
        <f>+'2.3 y 2.4'!I81</f>
        <v>847.98199999999974</v>
      </c>
      <c r="P18" s="1603">
        <v>2006</v>
      </c>
      <c r="Q18" s="1613">
        <f t="shared" si="19"/>
        <v>6658.1436000000012</v>
      </c>
      <c r="R18" s="1613">
        <f t="shared" si="22"/>
        <v>5595.481600000001</v>
      </c>
      <c r="S18" s="1613">
        <f t="shared" si="20"/>
        <v>1062.6619999999998</v>
      </c>
      <c r="T18" s="763"/>
      <c r="U18">
        <f t="shared" si="10"/>
        <v>2019</v>
      </c>
      <c r="V18" s="133">
        <f t="shared" si="12"/>
        <v>15122.839999999998</v>
      </c>
      <c r="W18" s="133">
        <f t="shared" si="13"/>
        <v>13684.232999999998</v>
      </c>
      <c r="X18" s="133">
        <f t="shared" si="14"/>
        <v>1438.6069999999995</v>
      </c>
    </row>
    <row r="19" spans="2:24" ht="13" x14ac:dyDescent="0.3">
      <c r="B19" s="1390">
        <v>2007</v>
      </c>
      <c r="C19" s="180">
        <f t="shared" si="15"/>
        <v>7027.5172000000002</v>
      </c>
      <c r="D19" s="1463">
        <f t="shared" si="21"/>
        <v>5952.0042000000003</v>
      </c>
      <c r="E19" s="1464"/>
      <c r="F19" s="205">
        <f t="shared" si="16"/>
        <v>1075.5129999999997</v>
      </c>
      <c r="G19" s="204">
        <f t="shared" si="17"/>
        <v>5989.7251999999999</v>
      </c>
      <c r="H19" s="1463">
        <f>+'2.3 y 2.4'!C20</f>
        <v>5769.2542000000003</v>
      </c>
      <c r="I19" s="1464"/>
      <c r="J19" s="205">
        <f>+'2.3 y 2.4'!K20</f>
        <v>220.47099999999983</v>
      </c>
      <c r="K19" s="204">
        <f t="shared" si="18"/>
        <v>1037.7919999999999</v>
      </c>
      <c r="L19" s="1463">
        <f>+'2.3 y 2.4'!C82</f>
        <v>182.75000000000003</v>
      </c>
      <c r="M19" s="1464"/>
      <c r="N19" s="184">
        <f>+'2.3 y 2.4'!I82</f>
        <v>855.04199999999992</v>
      </c>
      <c r="P19" s="1607">
        <v>2007</v>
      </c>
      <c r="Q19" s="1613">
        <f t="shared" si="19"/>
        <v>7027.5172000000002</v>
      </c>
      <c r="R19" s="1613">
        <f t="shared" si="22"/>
        <v>5952.0042000000003</v>
      </c>
      <c r="S19" s="1613">
        <f t="shared" si="20"/>
        <v>1075.5129999999997</v>
      </c>
      <c r="T19" s="763"/>
      <c r="U19">
        <f t="shared" si="10"/>
        <v>2020</v>
      </c>
      <c r="V19" s="133">
        <f t="shared" si="12"/>
        <v>15186.970000000003</v>
      </c>
      <c r="W19" s="133">
        <f t="shared" si="13"/>
        <v>13756.596000000001</v>
      </c>
      <c r="X19" s="133">
        <f t="shared" si="14"/>
        <v>1430.3740000000014</v>
      </c>
    </row>
    <row r="20" spans="2:24" ht="13" x14ac:dyDescent="0.3">
      <c r="B20" s="1391">
        <v>2008</v>
      </c>
      <c r="C20" s="174">
        <f t="shared" si="15"/>
        <v>7157.9350000000031</v>
      </c>
      <c r="D20" s="1461">
        <f t="shared" si="21"/>
        <v>5937.4070000000029</v>
      </c>
      <c r="E20" s="1462"/>
      <c r="F20" s="208">
        <f t="shared" si="16"/>
        <v>1220.5280000000007</v>
      </c>
      <c r="G20" s="207">
        <f t="shared" si="17"/>
        <v>5996.9830000000029</v>
      </c>
      <c r="H20" s="1461">
        <f>+'2.3 y 2.4'!C21</f>
        <v>5755.247000000003</v>
      </c>
      <c r="I20" s="1462"/>
      <c r="J20" s="208">
        <f>+'2.3 y 2.4'!K21</f>
        <v>241.73599999999988</v>
      </c>
      <c r="K20" s="207">
        <f t="shared" si="18"/>
        <v>1160.9520000000007</v>
      </c>
      <c r="L20" s="1461">
        <f>+'2.3 y 2.4'!C83</f>
        <v>182.16</v>
      </c>
      <c r="M20" s="1462"/>
      <c r="N20" s="179">
        <f>+'2.3 y 2.4'!I83</f>
        <v>978.79200000000071</v>
      </c>
      <c r="P20" s="1603">
        <v>2008</v>
      </c>
      <c r="Q20" s="1613">
        <f t="shared" si="19"/>
        <v>7157.9350000000031</v>
      </c>
      <c r="R20" s="1613">
        <f t="shared" si="22"/>
        <v>5937.4070000000029</v>
      </c>
      <c r="S20" s="1613">
        <f t="shared" si="20"/>
        <v>1220.5280000000007</v>
      </c>
      <c r="T20" s="763"/>
      <c r="U20">
        <f t="shared" si="10"/>
        <v>2021</v>
      </c>
      <c r="V20" s="133">
        <f t="shared" si="12"/>
        <v>15340.308999999997</v>
      </c>
      <c r="W20" s="133">
        <f t="shared" si="13"/>
        <v>13864.60399999999</v>
      </c>
      <c r="X20" s="133">
        <f t="shared" si="14"/>
        <v>1475.7050000000063</v>
      </c>
    </row>
    <row r="21" spans="2:24" ht="13" x14ac:dyDescent="0.3">
      <c r="B21" s="1390">
        <v>2009</v>
      </c>
      <c r="C21" s="180">
        <f t="shared" si="15"/>
        <v>7986.4960000000019</v>
      </c>
      <c r="D21" s="1463">
        <f t="shared" si="21"/>
        <v>6679.233000000002</v>
      </c>
      <c r="E21" s="1464"/>
      <c r="F21" s="205">
        <f t="shared" si="16"/>
        <v>1307.2630000000001</v>
      </c>
      <c r="G21" s="204">
        <f t="shared" si="17"/>
        <v>6723.5160000000014</v>
      </c>
      <c r="H21" s="1463">
        <f>+'2.3 y 2.4'!C22</f>
        <v>6491.4780000000019</v>
      </c>
      <c r="I21" s="1464"/>
      <c r="J21" s="205">
        <f>+'2.3 y 2.4'!K22</f>
        <v>232.03799999999993</v>
      </c>
      <c r="K21" s="204">
        <f t="shared" si="18"/>
        <v>1262.9800000000002</v>
      </c>
      <c r="L21" s="1463">
        <f>+'2.3 y 2.4'!C84</f>
        <v>187.75500000000005</v>
      </c>
      <c r="M21" s="1464"/>
      <c r="N21" s="184">
        <f>+'2.3 y 2.4'!I84</f>
        <v>1075.2250000000001</v>
      </c>
      <c r="P21" s="1603">
        <v>2009</v>
      </c>
      <c r="Q21" s="1613">
        <f t="shared" si="19"/>
        <v>7986.4960000000019</v>
      </c>
      <c r="R21" s="1613">
        <f t="shared" si="22"/>
        <v>6679.233000000002</v>
      </c>
      <c r="S21" s="1613">
        <f t="shared" si="20"/>
        <v>1307.2630000000001</v>
      </c>
      <c r="T21" s="763"/>
      <c r="U21">
        <f t="shared" si="10"/>
        <v>2022</v>
      </c>
      <c r="V21" s="133">
        <f t="shared" si="12"/>
        <v>15759.501999999997</v>
      </c>
      <c r="W21" s="133">
        <f t="shared" si="13"/>
        <v>14258.180999999997</v>
      </c>
      <c r="X21" s="133">
        <f t="shared" si="14"/>
        <v>1501.3209999999995</v>
      </c>
    </row>
    <row r="22" spans="2:24" ht="13" x14ac:dyDescent="0.3">
      <c r="B22" s="1391">
        <v>2010</v>
      </c>
      <c r="C22" s="174">
        <f t="shared" si="15"/>
        <v>8612.5569999999989</v>
      </c>
      <c r="D22" s="1461">
        <f t="shared" si="21"/>
        <v>7331.1129999999994</v>
      </c>
      <c r="E22" s="1462"/>
      <c r="F22" s="208">
        <f t="shared" si="16"/>
        <v>1281.4439999999997</v>
      </c>
      <c r="G22" s="207">
        <f t="shared" si="17"/>
        <v>7309.1659999999993</v>
      </c>
      <c r="H22" s="1461">
        <f>+'2.3 y 2.4'!C23</f>
        <v>7131.0879999999997</v>
      </c>
      <c r="I22" s="1462"/>
      <c r="J22" s="208">
        <f>+'2.3 y 2.4'!K23</f>
        <v>178.07799999999995</v>
      </c>
      <c r="K22" s="207">
        <f t="shared" si="18"/>
        <v>1303.3909999999998</v>
      </c>
      <c r="L22" s="1461">
        <f>+'2.3 y 2.4'!C85</f>
        <v>200.02500000000001</v>
      </c>
      <c r="M22" s="1462"/>
      <c r="N22" s="179">
        <f>+'2.3 y 2.4'!I85</f>
        <v>1103.3659999999998</v>
      </c>
      <c r="P22" s="1603">
        <v>2010</v>
      </c>
      <c r="Q22" s="1613">
        <f t="shared" si="19"/>
        <v>8612.5569999999989</v>
      </c>
      <c r="R22" s="1613">
        <f t="shared" si="22"/>
        <v>7331.1129999999994</v>
      </c>
      <c r="S22" s="1613">
        <f t="shared" si="20"/>
        <v>1281.4439999999997</v>
      </c>
      <c r="T22" s="763"/>
    </row>
    <row r="23" spans="2:24" ht="13" x14ac:dyDescent="0.3">
      <c r="B23" s="1390">
        <v>2011</v>
      </c>
      <c r="C23" s="180">
        <f t="shared" si="15"/>
        <v>8691.3240000000005</v>
      </c>
      <c r="D23" s="1463">
        <f t="shared" si="21"/>
        <v>7341.4400000000005</v>
      </c>
      <c r="E23" s="1464"/>
      <c r="F23" s="205">
        <f t="shared" si="16"/>
        <v>1349.884</v>
      </c>
      <c r="G23" s="204">
        <f t="shared" si="17"/>
        <v>7314.2370000000001</v>
      </c>
      <c r="H23" s="1463">
        <f>+'2.3 y 2.4'!C24</f>
        <v>7142.3890000000001</v>
      </c>
      <c r="I23" s="1464"/>
      <c r="J23" s="204">
        <f>+'2.3 y 2.4'!K24</f>
        <v>171.84800000000001</v>
      </c>
      <c r="K23" s="204">
        <f t="shared" si="18"/>
        <v>1377.087</v>
      </c>
      <c r="L23" s="1463">
        <f>+'2.3 y 2.4'!C86</f>
        <v>199.05100000000002</v>
      </c>
      <c r="M23" s="1464"/>
      <c r="N23" s="204">
        <f>+'2.3 y 2.4'!I86</f>
        <v>1178.0360000000001</v>
      </c>
      <c r="P23" s="1603">
        <v>2011</v>
      </c>
      <c r="Q23" s="1613">
        <f t="shared" si="19"/>
        <v>8691.3240000000005</v>
      </c>
      <c r="R23" s="1613">
        <f t="shared" si="22"/>
        <v>7341.4400000000005</v>
      </c>
      <c r="S23" s="1613">
        <f t="shared" si="20"/>
        <v>1349.884</v>
      </c>
      <c r="T23" s="763"/>
      <c r="U23" s="132"/>
    </row>
    <row r="24" spans="2:24" ht="13" x14ac:dyDescent="0.3">
      <c r="B24" s="1393">
        <v>2012</v>
      </c>
      <c r="C24" s="189">
        <f t="shared" si="15"/>
        <v>9699.4350000000013</v>
      </c>
      <c r="D24" s="1461">
        <f t="shared" si="21"/>
        <v>8292.0740000000005</v>
      </c>
      <c r="E24" s="1462"/>
      <c r="F24" s="211">
        <f t="shared" si="16"/>
        <v>1407.3609999999999</v>
      </c>
      <c r="G24" s="210">
        <f t="shared" si="17"/>
        <v>8267.1710000000003</v>
      </c>
      <c r="H24" s="1461">
        <f>+'2.3 y 2.4'!C25</f>
        <v>8096.2529999999997</v>
      </c>
      <c r="I24" s="1462"/>
      <c r="J24" s="208">
        <f>+'2.3 y 2.4'!K25</f>
        <v>170.91800000000001</v>
      </c>
      <c r="K24" s="210">
        <f t="shared" si="18"/>
        <v>1432.2640000000001</v>
      </c>
      <c r="L24" s="1461">
        <f>+'2.3 y 2.4'!C87</f>
        <v>195.82100000000003</v>
      </c>
      <c r="M24" s="1462"/>
      <c r="N24" s="179">
        <f>+'2.3 y 2.4'!I87</f>
        <v>1236.443</v>
      </c>
      <c r="P24" s="1603">
        <v>2012</v>
      </c>
      <c r="Q24" s="1613">
        <f t="shared" si="19"/>
        <v>9699.4350000000013</v>
      </c>
      <c r="R24" s="1613">
        <f t="shared" si="22"/>
        <v>8292.0740000000005</v>
      </c>
      <c r="S24" s="1613">
        <f t="shared" si="20"/>
        <v>1407.3609999999999</v>
      </c>
      <c r="T24" s="763"/>
      <c r="U24" s="132"/>
    </row>
    <row r="25" spans="2:24" ht="13" x14ac:dyDescent="0.3">
      <c r="B25" s="1390">
        <v>2013</v>
      </c>
      <c r="C25" s="194">
        <f t="shared" si="15"/>
        <v>11050.718999999999</v>
      </c>
      <c r="D25" s="1463">
        <f t="shared" si="21"/>
        <v>9633.9229999999989</v>
      </c>
      <c r="E25" s="1464"/>
      <c r="F25" s="213">
        <f t="shared" si="16"/>
        <v>1416.7959999999998</v>
      </c>
      <c r="G25" s="212">
        <f t="shared" si="17"/>
        <v>9634.6309999999994</v>
      </c>
      <c r="H25" s="1463">
        <f>+'2.3 y 2.4'!C26</f>
        <v>9441.601999999999</v>
      </c>
      <c r="I25" s="1464"/>
      <c r="J25" s="213">
        <f>+'2.3 y 2.4'!K26</f>
        <v>193.02899999999994</v>
      </c>
      <c r="K25" s="212">
        <f t="shared" si="18"/>
        <v>1416.0879999999997</v>
      </c>
      <c r="L25" s="1463">
        <f>+'2.3 y 2.4'!C88</f>
        <v>192.32100000000003</v>
      </c>
      <c r="M25" s="1464"/>
      <c r="N25" s="199">
        <f>+'2.3 y 2.4'!I88</f>
        <v>1223.7669999999998</v>
      </c>
      <c r="P25" s="1603">
        <v>2013</v>
      </c>
      <c r="Q25" s="1613">
        <f t="shared" si="19"/>
        <v>11050.718999999999</v>
      </c>
      <c r="R25" s="1613">
        <f t="shared" si="22"/>
        <v>9633.9229999999989</v>
      </c>
      <c r="S25" s="1613">
        <f t="shared" si="20"/>
        <v>1416.7959999999998</v>
      </c>
      <c r="T25" s="763"/>
      <c r="U25" s="132"/>
    </row>
    <row r="26" spans="2:24" ht="13" x14ac:dyDescent="0.3">
      <c r="B26" s="1393">
        <v>2014</v>
      </c>
      <c r="C26" s="189">
        <f t="shared" si="15"/>
        <v>11202.618999999999</v>
      </c>
      <c r="D26" s="1461">
        <f t="shared" si="21"/>
        <v>9707.58</v>
      </c>
      <c r="E26" s="1462"/>
      <c r="F26" s="211">
        <f t="shared" si="16"/>
        <v>1495.0389999999998</v>
      </c>
      <c r="G26" s="210">
        <f t="shared" si="17"/>
        <v>9739.2479999999996</v>
      </c>
      <c r="H26" s="1461">
        <f>+'2.3 y 2.4'!C27</f>
        <v>9517.3529999999992</v>
      </c>
      <c r="I26" s="1462"/>
      <c r="J26" s="211">
        <v>221.89499999999995</v>
      </c>
      <c r="K26" s="210">
        <f t="shared" si="18"/>
        <v>1463.3709999999999</v>
      </c>
      <c r="L26" s="1461">
        <f>+'2.3 y 2.4'!C89</f>
        <v>190.227</v>
      </c>
      <c r="M26" s="1462"/>
      <c r="N26" s="200">
        <v>1273.1439999999998</v>
      </c>
      <c r="P26" s="1603">
        <v>2014</v>
      </c>
      <c r="Q26" s="1613">
        <f t="shared" si="19"/>
        <v>11202.618999999999</v>
      </c>
      <c r="R26" s="1613">
        <f t="shared" si="22"/>
        <v>9707.58</v>
      </c>
      <c r="S26" s="1613">
        <f t="shared" si="20"/>
        <v>1495.0389999999998</v>
      </c>
      <c r="T26" s="764"/>
      <c r="U26" s="132"/>
    </row>
    <row r="27" spans="2:24" ht="13" x14ac:dyDescent="0.3">
      <c r="B27" s="1390">
        <v>2015</v>
      </c>
      <c r="C27" s="194">
        <f t="shared" si="15"/>
        <v>12188.627</v>
      </c>
      <c r="D27" s="1463">
        <f t="shared" si="21"/>
        <v>10804.275000000001</v>
      </c>
      <c r="E27" s="1464"/>
      <c r="F27" s="213">
        <f t="shared" si="16"/>
        <v>1384.3519999999985</v>
      </c>
      <c r="G27" s="212">
        <f t="shared" si="17"/>
        <v>10717.713000000002</v>
      </c>
      <c r="H27" s="1463">
        <f>+'2.3 y 2.4'!C28</f>
        <v>10474.068000000001</v>
      </c>
      <c r="I27" s="1464"/>
      <c r="J27" s="213">
        <v>243.64499999999992</v>
      </c>
      <c r="K27" s="212">
        <f t="shared" si="18"/>
        <v>1470.9139999999984</v>
      </c>
      <c r="L27" s="1463">
        <f>+'2.3 y 2.4'!C90</f>
        <v>330.20699999999999</v>
      </c>
      <c r="M27" s="1464"/>
      <c r="N27" s="199">
        <v>1140.7069999999985</v>
      </c>
      <c r="P27" s="1607">
        <v>2015</v>
      </c>
      <c r="Q27" s="1613">
        <f t="shared" si="19"/>
        <v>12188.627</v>
      </c>
      <c r="R27" s="1613">
        <f t="shared" si="22"/>
        <v>10804.275000000001</v>
      </c>
      <c r="S27" s="1613">
        <f t="shared" si="20"/>
        <v>1384.3519999999985</v>
      </c>
      <c r="T27" s="763"/>
      <c r="U27" s="132"/>
    </row>
    <row r="28" spans="2:24" ht="13" x14ac:dyDescent="0.3">
      <c r="B28" s="1391">
        <v>2016</v>
      </c>
      <c r="C28" s="174">
        <f t="shared" si="15"/>
        <v>14517.715000000002</v>
      </c>
      <c r="D28" s="1461">
        <f t="shared" si="21"/>
        <v>13110.061000000002</v>
      </c>
      <c r="E28" s="1462"/>
      <c r="F28" s="208">
        <f t="shared" si="16"/>
        <v>1407.654</v>
      </c>
      <c r="G28" s="207">
        <f t="shared" si="17"/>
        <v>13044.474</v>
      </c>
      <c r="H28" s="1461">
        <f>+'2.3 y 2.4'!C29</f>
        <v>12780.754000000001</v>
      </c>
      <c r="I28" s="1462"/>
      <c r="J28" s="208">
        <v>263.72000000000003</v>
      </c>
      <c r="K28" s="207">
        <f t="shared" si="18"/>
        <v>1473.241</v>
      </c>
      <c r="L28" s="1461">
        <f>+'2.3 y 2.4'!C91</f>
        <v>329.30699999999996</v>
      </c>
      <c r="M28" s="1462"/>
      <c r="N28" s="179">
        <v>1143.934</v>
      </c>
      <c r="P28" s="1607">
        <v>2016</v>
      </c>
      <c r="Q28" s="1613">
        <f t="shared" si="19"/>
        <v>14517.715000000002</v>
      </c>
      <c r="R28" s="1613">
        <f t="shared" si="22"/>
        <v>13110.061000000002</v>
      </c>
      <c r="S28" s="1613">
        <f t="shared" si="20"/>
        <v>1407.654</v>
      </c>
      <c r="T28" s="763"/>
      <c r="U28" s="132"/>
    </row>
    <row r="29" spans="2:24" ht="13" x14ac:dyDescent="0.3">
      <c r="B29" s="1390">
        <v>2017</v>
      </c>
      <c r="C29" s="194">
        <f t="shared" si="15"/>
        <v>14734.771000000001</v>
      </c>
      <c r="D29" s="1463">
        <f t="shared" si="21"/>
        <v>13255.045</v>
      </c>
      <c r="E29" s="1464"/>
      <c r="F29" s="213">
        <f t="shared" si="16"/>
        <v>1479.7260000000012</v>
      </c>
      <c r="G29" s="212">
        <f t="shared" si="17"/>
        <v>13238.762000000001</v>
      </c>
      <c r="H29" s="1463">
        <f>+'2.3 y 2.4'!C30</f>
        <v>12992.269</v>
      </c>
      <c r="I29" s="1464"/>
      <c r="J29" s="213">
        <v>246.49299999999965</v>
      </c>
      <c r="K29" s="212">
        <f t="shared" si="18"/>
        <v>1496.0090000000016</v>
      </c>
      <c r="L29" s="1463">
        <f>+'2.3 y 2.4'!C92</f>
        <v>262.77600000000001</v>
      </c>
      <c r="M29" s="1464"/>
      <c r="N29" s="199">
        <v>1233.2330000000015</v>
      </c>
      <c r="P29" s="1607">
        <v>2017</v>
      </c>
      <c r="Q29" s="1613">
        <f t="shared" si="19"/>
        <v>14734.771000000001</v>
      </c>
      <c r="R29" s="1613">
        <f t="shared" si="22"/>
        <v>13255.045</v>
      </c>
      <c r="S29" s="1613">
        <f t="shared" si="20"/>
        <v>1479.7260000000012</v>
      </c>
      <c r="T29" s="763"/>
      <c r="U29" s="132"/>
    </row>
    <row r="30" spans="2:24" ht="13" x14ac:dyDescent="0.3">
      <c r="B30" s="1391">
        <v>2018</v>
      </c>
      <c r="C30" s="174">
        <f t="shared" si="15"/>
        <v>15144.585999999999</v>
      </c>
      <c r="D30" s="1461">
        <f t="shared" si="21"/>
        <v>13678.227999999999</v>
      </c>
      <c r="E30" s="1462"/>
      <c r="F30" s="208">
        <f t="shared" si="16"/>
        <v>1466.3580000000004</v>
      </c>
      <c r="G30" s="207">
        <f t="shared" si="17"/>
        <v>13649.929999999998</v>
      </c>
      <c r="H30" s="1461">
        <f>+'2.3 y 2.4'!C31</f>
        <v>13415.451999999999</v>
      </c>
      <c r="I30" s="1462"/>
      <c r="J30" s="208">
        <v>234.47799999999992</v>
      </c>
      <c r="K30" s="207">
        <f t="shared" si="18"/>
        <v>1494.6560000000006</v>
      </c>
      <c r="L30" s="1461">
        <f>+'2.3 y 2.4'!C93</f>
        <v>262.77600000000001</v>
      </c>
      <c r="M30" s="1462"/>
      <c r="N30" s="179">
        <v>1231.8800000000006</v>
      </c>
      <c r="P30" s="1607">
        <v>2018</v>
      </c>
      <c r="Q30" s="1613">
        <f t="shared" si="19"/>
        <v>15144.585999999999</v>
      </c>
      <c r="R30" s="1613">
        <f t="shared" si="22"/>
        <v>13678.227999999999</v>
      </c>
      <c r="S30" s="1613">
        <f t="shared" si="20"/>
        <v>1466.3580000000004</v>
      </c>
      <c r="T30" s="763"/>
      <c r="U30" s="132"/>
    </row>
    <row r="31" spans="2:24" ht="13" x14ac:dyDescent="0.3">
      <c r="B31" s="1390">
        <v>2019</v>
      </c>
      <c r="C31" s="194">
        <f t="shared" si="15"/>
        <v>15122.839999999998</v>
      </c>
      <c r="D31" s="1463">
        <f t="shared" si="21"/>
        <v>13684.232999999998</v>
      </c>
      <c r="E31" s="1464"/>
      <c r="F31" s="213">
        <f t="shared" si="16"/>
        <v>1438.6069999999995</v>
      </c>
      <c r="G31" s="212">
        <f t="shared" si="17"/>
        <v>13650.194999999998</v>
      </c>
      <c r="H31" s="1463">
        <f>+'2.3 y 2.4'!C32</f>
        <v>13419.045999999998</v>
      </c>
      <c r="I31" s="1464"/>
      <c r="J31" s="213">
        <v>231.14899999999977</v>
      </c>
      <c r="K31" s="212">
        <f t="shared" si="18"/>
        <v>1472.645</v>
      </c>
      <c r="L31" s="1463">
        <f>+'2.3 y 2.4'!C94</f>
        <v>265.18700000000001</v>
      </c>
      <c r="M31" s="1464"/>
      <c r="N31" s="199">
        <v>1207.4579999999999</v>
      </c>
      <c r="P31" s="1607">
        <v>2019</v>
      </c>
      <c r="Q31" s="1613">
        <f t="shared" si="19"/>
        <v>15122.839999999998</v>
      </c>
      <c r="R31" s="1613">
        <f t="shared" si="22"/>
        <v>13684.232999999998</v>
      </c>
      <c r="S31" s="1613">
        <f t="shared" si="20"/>
        <v>1438.6069999999995</v>
      </c>
      <c r="T31" s="763"/>
      <c r="U31" s="132"/>
    </row>
    <row r="32" spans="2:24" ht="13" x14ac:dyDescent="0.3">
      <c r="B32" s="1391">
        <v>2020</v>
      </c>
      <c r="C32" s="174">
        <f t="shared" si="15"/>
        <v>15186.970000000003</v>
      </c>
      <c r="D32" s="1461">
        <f t="shared" si="21"/>
        <v>13756.596000000001</v>
      </c>
      <c r="E32" s="1462"/>
      <c r="F32" s="208">
        <f t="shared" si="16"/>
        <v>1430.3740000000014</v>
      </c>
      <c r="G32" s="207">
        <f t="shared" si="17"/>
        <v>13724.048000000001</v>
      </c>
      <c r="H32" s="1461">
        <f>+'2.3 y 2.4'!C33</f>
        <v>13491.409000000001</v>
      </c>
      <c r="I32" s="1462"/>
      <c r="J32" s="208">
        <v>232.6389999999999</v>
      </c>
      <c r="K32" s="207">
        <f t="shared" si="18"/>
        <v>1462.9220000000014</v>
      </c>
      <c r="L32" s="1461">
        <f>+'2.3 y 2.4'!C95</f>
        <v>265.18700000000001</v>
      </c>
      <c r="M32" s="1462"/>
      <c r="N32" s="179">
        <v>1197.7350000000015</v>
      </c>
      <c r="P32" s="1607">
        <v>2020</v>
      </c>
      <c r="Q32" s="1613">
        <f t="shared" si="19"/>
        <v>15186.970000000003</v>
      </c>
      <c r="R32" s="1613">
        <f t="shared" si="22"/>
        <v>13756.596000000001</v>
      </c>
      <c r="S32" s="1613">
        <f t="shared" si="20"/>
        <v>1430.3740000000014</v>
      </c>
      <c r="T32" s="763"/>
      <c r="U32" s="132"/>
    </row>
    <row r="33" spans="2:25" ht="13" x14ac:dyDescent="0.3">
      <c r="B33" s="1390">
        <v>2021</v>
      </c>
      <c r="C33" s="194">
        <f t="shared" si="15"/>
        <v>15340.308999999997</v>
      </c>
      <c r="D33" s="1463">
        <f t="shared" si="21"/>
        <v>13864.60399999999</v>
      </c>
      <c r="E33" s="1464"/>
      <c r="F33" s="213">
        <f t="shared" si="16"/>
        <v>1475.7050000000063</v>
      </c>
      <c r="G33" s="212">
        <f t="shared" si="17"/>
        <v>13860.954999999989</v>
      </c>
      <c r="H33" s="1463">
        <f>+'2.3 y 2.4'!C34</f>
        <v>13620.116999999989</v>
      </c>
      <c r="I33" s="1464"/>
      <c r="J33" s="213">
        <v>240.83799999999931</v>
      </c>
      <c r="K33" s="212">
        <f t="shared" si="18"/>
        <v>1479.3540000000071</v>
      </c>
      <c r="L33" s="1463">
        <f>+'2.3 y 2.4'!C96</f>
        <v>244.48700000000014</v>
      </c>
      <c r="M33" s="1464"/>
      <c r="N33" s="199">
        <v>1234.867000000007</v>
      </c>
      <c r="P33" s="1607">
        <v>2021</v>
      </c>
      <c r="Q33" s="1613">
        <f t="shared" si="19"/>
        <v>15340.308999999997</v>
      </c>
      <c r="R33" s="1613">
        <f t="shared" si="22"/>
        <v>13864.60399999999</v>
      </c>
      <c r="S33" s="1613">
        <f t="shared" si="20"/>
        <v>1475.7050000000063</v>
      </c>
      <c r="T33" s="763"/>
      <c r="U33" s="132"/>
    </row>
    <row r="34" spans="2:25" ht="13.5" thickBot="1" x14ac:dyDescent="0.35">
      <c r="B34" s="1398">
        <v>2022</v>
      </c>
      <c r="C34" s="174">
        <f t="shared" si="15"/>
        <v>15759.501999999997</v>
      </c>
      <c r="D34" s="1461">
        <f t="shared" si="21"/>
        <v>14258.180999999997</v>
      </c>
      <c r="E34" s="1462"/>
      <c r="F34" s="208">
        <f t="shared" si="16"/>
        <v>1501.3209999999995</v>
      </c>
      <c r="G34" s="207">
        <f t="shared" si="17"/>
        <v>14248.477999999997</v>
      </c>
      <c r="H34" s="1461">
        <f>+'2.3 y 2.4'!C35</f>
        <v>14005.613999999998</v>
      </c>
      <c r="I34" s="1462"/>
      <c r="J34" s="208">
        <v>242.86399999999992</v>
      </c>
      <c r="K34" s="207">
        <f t="shared" si="18"/>
        <v>1511.0239999999997</v>
      </c>
      <c r="L34" s="1461">
        <f>+'2.3 y 2.4'!C97</f>
        <v>252.56700000000001</v>
      </c>
      <c r="M34" s="1462"/>
      <c r="N34" s="179">
        <v>1258.4569999999997</v>
      </c>
      <c r="P34" s="1607">
        <v>2022</v>
      </c>
      <c r="Q34" s="1613">
        <f t="shared" si="19"/>
        <v>15759.501999999997</v>
      </c>
      <c r="R34" s="1613">
        <f t="shared" si="22"/>
        <v>14258.180999999997</v>
      </c>
      <c r="S34" s="1613">
        <f t="shared" si="20"/>
        <v>1501.3209999999995</v>
      </c>
      <c r="T34" s="763"/>
      <c r="U34" s="132"/>
    </row>
    <row r="35" spans="2:25" s="94" customFormat="1" ht="18.75" customHeight="1" x14ac:dyDescent="0.25">
      <c r="B35" s="803" t="s">
        <v>161</v>
      </c>
      <c r="C35" s="1287">
        <f>(C34/C33)-1</f>
        <v>2.7326242254963606E-2</v>
      </c>
      <c r="D35" s="1467">
        <f>(D34/D33)-1</f>
        <v>2.8387179323694056E-2</v>
      </c>
      <c r="E35" s="1467"/>
      <c r="F35" s="1288">
        <f>(F34/F33)-1</f>
        <v>1.7358482894611837E-2</v>
      </c>
      <c r="G35" s="1288">
        <f>(G34/G33)-1</f>
        <v>2.7957886018676881E-2</v>
      </c>
      <c r="H35" s="1467">
        <f>(H34/H33)-1</f>
        <v>2.8303501357588079E-2</v>
      </c>
      <c r="I35" s="1467"/>
      <c r="J35" s="1288">
        <f>(J34/J33)-1</f>
        <v>8.412293741023591E-3</v>
      </c>
      <c r="K35" s="1288">
        <f>(K34/K33)-1</f>
        <v>2.1407992948268229E-2</v>
      </c>
      <c r="L35" s="1467">
        <f>(L34/L33)-1</f>
        <v>3.3048791960308188E-2</v>
      </c>
      <c r="M35" s="1467"/>
      <c r="N35" s="1289">
        <f>(N34/N33)-1</f>
        <v>1.9103271850322789E-2</v>
      </c>
      <c r="P35" s="1608"/>
      <c r="Q35" s="1622"/>
      <c r="R35" s="1622"/>
      <c r="S35" s="1622"/>
      <c r="V35" s="805"/>
      <c r="W35" s="806"/>
      <c r="X35" s="806"/>
      <c r="Y35" s="806"/>
    </row>
    <row r="36" spans="2:25" s="94" customFormat="1" ht="18.75" customHeight="1" x14ac:dyDescent="0.25">
      <c r="B36" s="807" t="s">
        <v>162</v>
      </c>
      <c r="C36" s="1290">
        <f>((C34/C29)^(1/5))-1</f>
        <v>1.3537495238684194E-2</v>
      </c>
      <c r="D36" s="1468">
        <f>((D34/D29)^(1/5))-1</f>
        <v>1.4697483759680718E-2</v>
      </c>
      <c r="E36" s="1468"/>
      <c r="F36" s="1291">
        <f>((F34/F29)^(1/5))-1</f>
        <v>2.9018927055699528E-3</v>
      </c>
      <c r="G36" s="1292">
        <f>((G34/G29)^(1/5))-1</f>
        <v>1.4808789966253455E-2</v>
      </c>
      <c r="H36" s="1468">
        <f>((H34/H29)^(1/5))-1</f>
        <v>1.5134130659988587E-2</v>
      </c>
      <c r="I36" s="1468"/>
      <c r="J36" s="1291">
        <f>((J34/J29)^(1/5))-1</f>
        <v>-2.9620005206701938E-3</v>
      </c>
      <c r="K36" s="1291">
        <f>((K34/K29)^(1/5))-1</f>
        <v>1.9993302223362264E-3</v>
      </c>
      <c r="L36" s="1468">
        <f>((L34/L29)^(1/5))-1</f>
        <v>-7.8937589879973791E-3</v>
      </c>
      <c r="M36" s="1468"/>
      <c r="N36" s="1293">
        <f>((N34/N29)^(1/5))-1</f>
        <v>4.0576482587990625E-3</v>
      </c>
      <c r="P36" s="1608"/>
      <c r="Q36" s="1622"/>
      <c r="R36" s="1622"/>
      <c r="S36" s="1622"/>
      <c r="V36" s="806"/>
      <c r="W36" s="806"/>
      <c r="X36" s="806"/>
      <c r="Y36" s="806"/>
    </row>
    <row r="37" spans="2:25" s="94" customFormat="1" ht="18.75" customHeight="1" x14ac:dyDescent="0.25">
      <c r="B37" s="808" t="s">
        <v>163</v>
      </c>
      <c r="C37" s="1294">
        <f>(C34/C24)-1</f>
        <v>0.62478556740676083</v>
      </c>
      <c r="D37" s="1469">
        <f>(D34/D24)-1</f>
        <v>0.7194951468112798</v>
      </c>
      <c r="E37" s="1469"/>
      <c r="F37" s="1295">
        <f>(F34/F24)-1</f>
        <v>6.6763254062034871E-2</v>
      </c>
      <c r="G37" s="1295">
        <f>(G34/G24)-1</f>
        <v>0.72350106221342192</v>
      </c>
      <c r="H37" s="1469">
        <f>(H34/H24)-1</f>
        <v>0.72988838169953407</v>
      </c>
      <c r="I37" s="1469"/>
      <c r="J37" s="1295">
        <f>(J34/J24)-1</f>
        <v>0.42093869574883813</v>
      </c>
      <c r="K37" s="1295">
        <f>(K34/K24)-1</f>
        <v>5.4989862204174234E-2</v>
      </c>
      <c r="L37" s="1469">
        <f>(L34/L24)-1</f>
        <v>0.2897850588037032</v>
      </c>
      <c r="M37" s="1469"/>
      <c r="N37" s="1296">
        <f>(N34/N24)-1</f>
        <v>1.7804298297616317E-2</v>
      </c>
      <c r="P37" s="1608"/>
      <c r="Q37" s="1622"/>
      <c r="R37" s="1622"/>
      <c r="S37" s="1622"/>
      <c r="V37" s="806"/>
      <c r="W37" s="806"/>
      <c r="X37" s="806"/>
      <c r="Y37" s="806"/>
    </row>
    <row r="38" spans="2:25" s="94" customFormat="1" ht="18.75" customHeight="1" thickBot="1" x14ac:dyDescent="0.3">
      <c r="B38" s="809" t="s">
        <v>164</v>
      </c>
      <c r="C38" s="1297">
        <f>((C34/C24)^(1/10))-1</f>
        <v>4.9734825210666189E-2</v>
      </c>
      <c r="D38" s="1470">
        <f>((D34/D24)^(1/10))-1</f>
        <v>5.5698964180316057E-2</v>
      </c>
      <c r="E38" s="1470"/>
      <c r="F38" s="1298">
        <f>((F34/F24)^(1/10))-1</f>
        <v>6.4838364185892949E-3</v>
      </c>
      <c r="G38" s="1298">
        <f>((G34/G24)^(1/10))-1</f>
        <v>5.5944653369520481E-2</v>
      </c>
      <c r="H38" s="1470">
        <f>((H34/H24)^(1/10))-1</f>
        <v>5.6335336858652774E-2</v>
      </c>
      <c r="I38" s="1470"/>
      <c r="J38" s="1298">
        <f>((J34/J24)^(1/10))-1</f>
        <v>3.5756182079190513E-2</v>
      </c>
      <c r="K38" s="1298">
        <f>((K34/K24)^(1/10))-1</f>
        <v>5.3674692844369876E-3</v>
      </c>
      <c r="L38" s="1470">
        <f>((L34/L24)^(1/10))-1</f>
        <v>2.5774111563575675E-2</v>
      </c>
      <c r="M38" s="1470"/>
      <c r="N38" s="1299">
        <f>((N34/N24)^(1/10))-1</f>
        <v>1.7663239446157331E-3</v>
      </c>
      <c r="P38" s="1608"/>
      <c r="Q38" s="1608"/>
      <c r="R38" s="1608"/>
      <c r="S38" s="1608"/>
    </row>
    <row r="39" spans="2:25" x14ac:dyDescent="0.25">
      <c r="B39" s="5" t="s">
        <v>85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</row>
    <row r="40" spans="2:25" ht="13" x14ac:dyDescent="0.3">
      <c r="B40" s="203"/>
      <c r="Q40" s="1603" t="s">
        <v>78</v>
      </c>
      <c r="V40" s="214"/>
      <c r="W40" s="132"/>
      <c r="X40" s="132"/>
      <c r="Y40" s="216"/>
    </row>
    <row r="41" spans="2:25" ht="13" x14ac:dyDescent="0.3">
      <c r="V41" s="214"/>
      <c r="W41" s="132"/>
      <c r="X41" s="132"/>
      <c r="Y41" s="216"/>
    </row>
    <row r="42" spans="2:25" x14ac:dyDescent="0.25">
      <c r="B42" s="102"/>
      <c r="Q42" s="1603" t="s">
        <v>53</v>
      </c>
      <c r="R42" s="1603" t="s">
        <v>81</v>
      </c>
      <c r="S42" s="1603" t="s">
        <v>84</v>
      </c>
      <c r="V42" s="115" t="s">
        <v>53</v>
      </c>
      <c r="W42" s="115" t="s">
        <v>81</v>
      </c>
      <c r="X42" s="115" t="s">
        <v>84</v>
      </c>
      <c r="Y42" s="216"/>
    </row>
    <row r="43" spans="2:25" x14ac:dyDescent="0.25">
      <c r="P43" s="1603">
        <v>1995</v>
      </c>
      <c r="Q43" s="1613">
        <f t="shared" ref="Q43:Q48" si="23">G6</f>
        <v>3185.7000000000003</v>
      </c>
      <c r="R43" s="1613">
        <f t="shared" ref="R43:R48" si="24">H6+I6</f>
        <v>2838.6350000000002</v>
      </c>
      <c r="S43" s="1613">
        <f t="shared" ref="S43:S48" si="25">J6</f>
        <v>347.06500000000005</v>
      </c>
      <c r="U43" s="94">
        <f>+P43</f>
        <v>1995</v>
      </c>
      <c r="V43" s="804">
        <f t="shared" ref="V43" si="26">+Q43</f>
        <v>3185.7000000000003</v>
      </c>
      <c r="W43" s="804">
        <f t="shared" ref="W43" si="27">+R43</f>
        <v>2838.6350000000002</v>
      </c>
      <c r="X43" s="804">
        <f t="shared" ref="X43" si="28">+S43</f>
        <v>347.06500000000005</v>
      </c>
      <c r="Y43" s="216"/>
    </row>
    <row r="44" spans="2:25" x14ac:dyDescent="0.25">
      <c r="P44" s="1603">
        <v>1996</v>
      </c>
      <c r="Q44" s="1613">
        <f t="shared" si="23"/>
        <v>3352.8809999999999</v>
      </c>
      <c r="R44" s="1613">
        <f t="shared" si="24"/>
        <v>2972.7149999999997</v>
      </c>
      <c r="S44" s="1613">
        <f t="shared" si="25"/>
        <v>380.166</v>
      </c>
      <c r="U44">
        <f>+P48</f>
        <v>2000</v>
      </c>
      <c r="V44" s="133">
        <f t="shared" ref="V44" si="29">+Q48</f>
        <v>5148.8510000000006</v>
      </c>
      <c r="W44" s="133">
        <f t="shared" ref="W44" si="30">+R48</f>
        <v>4789.9960000000001</v>
      </c>
      <c r="X44" s="133">
        <f t="shared" ref="X44" si="31">+S48</f>
        <v>358.85500000000002</v>
      </c>
    </row>
    <row r="45" spans="2:25" x14ac:dyDescent="0.25">
      <c r="P45" s="1603">
        <v>1997</v>
      </c>
      <c r="Q45" s="1613">
        <f t="shared" si="23"/>
        <v>4325.0209999999997</v>
      </c>
      <c r="R45" s="1613">
        <f t="shared" si="24"/>
        <v>3953.7150000000001</v>
      </c>
      <c r="S45" s="1613">
        <f t="shared" si="25"/>
        <v>371.30599999999993</v>
      </c>
      <c r="U45">
        <f>+P53</f>
        <v>2005</v>
      </c>
      <c r="V45" s="133">
        <f t="shared" ref="V45" si="32">+Q53</f>
        <v>5220.6336000000001</v>
      </c>
      <c r="W45" s="133">
        <f t="shared" ref="W45" si="33">+R53</f>
        <v>5014.1686</v>
      </c>
      <c r="X45" s="133">
        <f t="shared" ref="X45" si="34">+S53</f>
        <v>206.46499999999986</v>
      </c>
    </row>
    <row r="46" spans="2:25" x14ac:dyDescent="0.25">
      <c r="P46" s="1603">
        <v>1998</v>
      </c>
      <c r="Q46" s="1613">
        <f t="shared" si="23"/>
        <v>4632.2779999999993</v>
      </c>
      <c r="R46" s="1613">
        <f t="shared" si="24"/>
        <v>4226.2039999999997</v>
      </c>
      <c r="S46" s="1613">
        <f t="shared" si="25"/>
        <v>406.07400000000001</v>
      </c>
      <c r="U46">
        <f>+P58</f>
        <v>2010</v>
      </c>
      <c r="V46" s="133">
        <f t="shared" ref="V46:V58" si="35">+Q58</f>
        <v>7309.1659999999993</v>
      </c>
      <c r="W46" s="133">
        <f t="shared" ref="W46:W58" si="36">+R58</f>
        <v>7131.0879999999997</v>
      </c>
      <c r="X46" s="133">
        <f t="shared" ref="X46:X58" si="37">+S58</f>
        <v>178.07799999999995</v>
      </c>
    </row>
    <row r="47" spans="2:25" x14ac:dyDescent="0.25">
      <c r="P47" s="1603">
        <v>1999</v>
      </c>
      <c r="Q47" s="1613">
        <f t="shared" si="23"/>
        <v>4828.2430000000004</v>
      </c>
      <c r="R47" s="1613">
        <f t="shared" si="24"/>
        <v>4466.0550000000003</v>
      </c>
      <c r="S47" s="1613">
        <f t="shared" si="25"/>
        <v>362.18799999999993</v>
      </c>
      <c r="U47">
        <f>+P59</f>
        <v>2011</v>
      </c>
      <c r="V47" s="133">
        <f t="shared" si="35"/>
        <v>7314.2370000000001</v>
      </c>
      <c r="W47" s="133">
        <f t="shared" si="36"/>
        <v>7142.3890000000001</v>
      </c>
      <c r="X47" s="133">
        <f t="shared" si="37"/>
        <v>171.84800000000001</v>
      </c>
    </row>
    <row r="48" spans="2:25" x14ac:dyDescent="0.25">
      <c r="P48" s="1603">
        <v>2000</v>
      </c>
      <c r="Q48" s="1613">
        <f t="shared" si="23"/>
        <v>5148.8510000000006</v>
      </c>
      <c r="R48" s="1613">
        <f t="shared" si="24"/>
        <v>4789.9960000000001</v>
      </c>
      <c r="S48" s="1613">
        <f t="shared" si="25"/>
        <v>358.85500000000002</v>
      </c>
      <c r="U48">
        <f t="shared" ref="U48:U58" si="38">+P60</f>
        <v>2012</v>
      </c>
      <c r="V48" s="133">
        <f t="shared" si="35"/>
        <v>8267.1710000000003</v>
      </c>
      <c r="W48" s="133">
        <f t="shared" si="36"/>
        <v>8096.2529999999997</v>
      </c>
      <c r="X48" s="133">
        <f t="shared" si="37"/>
        <v>170.91800000000001</v>
      </c>
    </row>
    <row r="49" spans="16:24" x14ac:dyDescent="0.25">
      <c r="P49" s="1603">
        <v>2001</v>
      </c>
      <c r="Q49" s="1613">
        <f t="shared" ref="Q49:Q70" si="39">G13</f>
        <v>5050.8140000000003</v>
      </c>
      <c r="R49" s="1613">
        <f>+H13</f>
        <v>4744.8370000000004</v>
      </c>
      <c r="S49" s="1613">
        <f t="shared" ref="S49:S70" si="40">J13</f>
        <v>305.97699999999992</v>
      </c>
      <c r="U49">
        <f t="shared" si="38"/>
        <v>2013</v>
      </c>
      <c r="V49" s="133">
        <f t="shared" si="35"/>
        <v>9634.6309999999994</v>
      </c>
      <c r="W49" s="133">
        <f t="shared" si="36"/>
        <v>9441.601999999999</v>
      </c>
      <c r="X49" s="133">
        <f t="shared" si="37"/>
        <v>193.02899999999994</v>
      </c>
    </row>
    <row r="50" spans="16:24" x14ac:dyDescent="0.25">
      <c r="P50" s="1607">
        <v>2002</v>
      </c>
      <c r="Q50" s="1613">
        <f t="shared" si="39"/>
        <v>5068.0510000000004</v>
      </c>
      <c r="R50" s="1613">
        <f t="shared" ref="R50:R70" si="41">+H14</f>
        <v>4841.7170000000006</v>
      </c>
      <c r="S50" s="1613">
        <f t="shared" si="40"/>
        <v>226.33399999999995</v>
      </c>
      <c r="U50">
        <f t="shared" si="38"/>
        <v>2014</v>
      </c>
      <c r="V50" s="133">
        <f t="shared" si="35"/>
        <v>9739.2479999999996</v>
      </c>
      <c r="W50" s="133">
        <f t="shared" si="36"/>
        <v>9517.3529999999992</v>
      </c>
      <c r="X50" s="133">
        <f t="shared" si="37"/>
        <v>221.89499999999995</v>
      </c>
    </row>
    <row r="51" spans="16:24" x14ac:dyDescent="0.25">
      <c r="P51" s="1603">
        <v>2003</v>
      </c>
      <c r="Q51" s="1613">
        <f t="shared" si="39"/>
        <v>5095.1030000000001</v>
      </c>
      <c r="R51" s="1613">
        <f t="shared" si="41"/>
        <v>4881.0070000000005</v>
      </c>
      <c r="S51" s="1613">
        <f t="shared" si="40"/>
        <v>214.09599999999992</v>
      </c>
      <c r="U51">
        <f t="shared" si="38"/>
        <v>2015</v>
      </c>
      <c r="V51" s="133">
        <f t="shared" si="35"/>
        <v>10717.713000000002</v>
      </c>
      <c r="W51" s="133">
        <f t="shared" si="36"/>
        <v>10474.068000000001</v>
      </c>
      <c r="X51" s="133">
        <f t="shared" si="37"/>
        <v>243.64499999999992</v>
      </c>
    </row>
    <row r="52" spans="16:24" x14ac:dyDescent="0.25">
      <c r="P52" s="1603">
        <v>2004</v>
      </c>
      <c r="Q52" s="1613">
        <f t="shared" si="39"/>
        <v>5096.0216000000019</v>
      </c>
      <c r="R52" s="1613">
        <f t="shared" si="41"/>
        <v>4898.7466000000022</v>
      </c>
      <c r="S52" s="1613">
        <f t="shared" si="40"/>
        <v>197.27499999999989</v>
      </c>
      <c r="U52">
        <f t="shared" si="38"/>
        <v>2016</v>
      </c>
      <c r="V52" s="133">
        <f t="shared" si="35"/>
        <v>13044.474</v>
      </c>
      <c r="W52" s="133">
        <f t="shared" si="36"/>
        <v>12780.754000000001</v>
      </c>
      <c r="X52" s="133">
        <f t="shared" si="37"/>
        <v>263.72000000000003</v>
      </c>
    </row>
    <row r="53" spans="16:24" x14ac:dyDescent="0.25">
      <c r="P53" s="1603">
        <v>2005</v>
      </c>
      <c r="Q53" s="1613">
        <f t="shared" si="39"/>
        <v>5220.6336000000001</v>
      </c>
      <c r="R53" s="1613">
        <f t="shared" si="41"/>
        <v>5014.1686</v>
      </c>
      <c r="S53" s="1613">
        <f t="shared" si="40"/>
        <v>206.46499999999986</v>
      </c>
      <c r="U53">
        <f t="shared" si="38"/>
        <v>2017</v>
      </c>
      <c r="V53" s="133">
        <f t="shared" si="35"/>
        <v>13238.762000000001</v>
      </c>
      <c r="W53" s="133">
        <f t="shared" si="36"/>
        <v>12992.269</v>
      </c>
      <c r="X53" s="133">
        <f t="shared" si="37"/>
        <v>246.49299999999965</v>
      </c>
    </row>
    <row r="54" spans="16:24" x14ac:dyDescent="0.25">
      <c r="P54" s="1603">
        <v>2006</v>
      </c>
      <c r="Q54" s="1613">
        <f t="shared" si="39"/>
        <v>5625.1416000000008</v>
      </c>
      <c r="R54" s="1613">
        <f t="shared" si="41"/>
        <v>5410.4616000000005</v>
      </c>
      <c r="S54" s="1613">
        <f t="shared" si="40"/>
        <v>214.67999999999998</v>
      </c>
      <c r="U54">
        <f t="shared" si="38"/>
        <v>2018</v>
      </c>
      <c r="V54" s="133">
        <f t="shared" si="35"/>
        <v>13649.929999999998</v>
      </c>
      <c r="W54" s="133">
        <f t="shared" si="36"/>
        <v>13415.451999999999</v>
      </c>
      <c r="X54" s="133">
        <f t="shared" si="37"/>
        <v>234.47799999999992</v>
      </c>
    </row>
    <row r="55" spans="16:24" x14ac:dyDescent="0.25">
      <c r="P55" s="1607">
        <v>2007</v>
      </c>
      <c r="Q55" s="1613">
        <f t="shared" si="39"/>
        <v>5989.7251999999999</v>
      </c>
      <c r="R55" s="1613">
        <f t="shared" si="41"/>
        <v>5769.2542000000003</v>
      </c>
      <c r="S55" s="1613">
        <f t="shared" si="40"/>
        <v>220.47099999999983</v>
      </c>
      <c r="U55">
        <f t="shared" si="38"/>
        <v>2019</v>
      </c>
      <c r="V55" s="133">
        <f t="shared" si="35"/>
        <v>13650.194999999998</v>
      </c>
      <c r="W55" s="133">
        <f t="shared" si="36"/>
        <v>13419.045999999998</v>
      </c>
      <c r="X55" s="133">
        <f t="shared" si="37"/>
        <v>231.14899999999977</v>
      </c>
    </row>
    <row r="56" spans="16:24" x14ac:dyDescent="0.25">
      <c r="P56" s="1603">
        <v>2008</v>
      </c>
      <c r="Q56" s="1613">
        <f t="shared" si="39"/>
        <v>5996.9830000000029</v>
      </c>
      <c r="R56" s="1613">
        <f t="shared" si="41"/>
        <v>5755.247000000003</v>
      </c>
      <c r="S56" s="1613">
        <f t="shared" si="40"/>
        <v>241.73599999999988</v>
      </c>
      <c r="U56">
        <f t="shared" si="38"/>
        <v>2020</v>
      </c>
      <c r="V56" s="133">
        <f t="shared" si="35"/>
        <v>13724.048000000001</v>
      </c>
      <c r="W56" s="133">
        <f t="shared" si="36"/>
        <v>13491.409000000001</v>
      </c>
      <c r="X56" s="133">
        <f t="shared" si="37"/>
        <v>232.6389999999999</v>
      </c>
    </row>
    <row r="57" spans="16:24" x14ac:dyDescent="0.25">
      <c r="P57" s="1603">
        <v>2009</v>
      </c>
      <c r="Q57" s="1613">
        <f t="shared" si="39"/>
        <v>6723.5160000000014</v>
      </c>
      <c r="R57" s="1613">
        <f t="shared" si="41"/>
        <v>6491.4780000000019</v>
      </c>
      <c r="S57" s="1613">
        <f t="shared" si="40"/>
        <v>232.03799999999993</v>
      </c>
      <c r="U57">
        <f t="shared" si="38"/>
        <v>2021</v>
      </c>
      <c r="V57" s="133">
        <f t="shared" si="35"/>
        <v>13860.954999999989</v>
      </c>
      <c r="W57" s="133">
        <f t="shared" si="36"/>
        <v>13620.116999999989</v>
      </c>
      <c r="X57" s="133">
        <f t="shared" si="37"/>
        <v>240.83799999999931</v>
      </c>
    </row>
    <row r="58" spans="16:24" x14ac:dyDescent="0.25">
      <c r="P58" s="1603">
        <v>2010</v>
      </c>
      <c r="Q58" s="1613">
        <f t="shared" si="39"/>
        <v>7309.1659999999993</v>
      </c>
      <c r="R58" s="1613">
        <f t="shared" si="41"/>
        <v>7131.0879999999997</v>
      </c>
      <c r="S58" s="1613">
        <f t="shared" si="40"/>
        <v>178.07799999999995</v>
      </c>
      <c r="U58">
        <f t="shared" si="38"/>
        <v>2022</v>
      </c>
      <c r="V58" s="133">
        <f t="shared" si="35"/>
        <v>14248.477999999997</v>
      </c>
      <c r="W58" s="133">
        <f t="shared" si="36"/>
        <v>14005.613999999998</v>
      </c>
      <c r="X58" s="133">
        <f t="shared" si="37"/>
        <v>242.86399999999992</v>
      </c>
    </row>
    <row r="59" spans="16:24" x14ac:dyDescent="0.25">
      <c r="P59" s="1603">
        <v>2011</v>
      </c>
      <c r="Q59" s="1613">
        <f t="shared" si="39"/>
        <v>7314.2370000000001</v>
      </c>
      <c r="R59" s="1613">
        <f t="shared" si="41"/>
        <v>7142.3890000000001</v>
      </c>
      <c r="S59" s="1613">
        <f t="shared" si="40"/>
        <v>171.84800000000001</v>
      </c>
    </row>
    <row r="60" spans="16:24" x14ac:dyDescent="0.25">
      <c r="P60" s="1603">
        <v>2012</v>
      </c>
      <c r="Q60" s="1613">
        <f t="shared" si="39"/>
        <v>8267.1710000000003</v>
      </c>
      <c r="R60" s="1613">
        <f t="shared" si="41"/>
        <v>8096.2529999999997</v>
      </c>
      <c r="S60" s="1613">
        <f t="shared" si="40"/>
        <v>170.91800000000001</v>
      </c>
    </row>
    <row r="61" spans="16:24" x14ac:dyDescent="0.25">
      <c r="P61" s="1603">
        <v>2013</v>
      </c>
      <c r="Q61" s="1613">
        <f t="shared" si="39"/>
        <v>9634.6309999999994</v>
      </c>
      <c r="R61" s="1613">
        <f t="shared" si="41"/>
        <v>9441.601999999999</v>
      </c>
      <c r="S61" s="1613">
        <f t="shared" si="40"/>
        <v>193.02899999999994</v>
      </c>
    </row>
    <row r="62" spans="16:24" x14ac:dyDescent="0.25">
      <c r="P62" s="1603">
        <v>2014</v>
      </c>
      <c r="Q62" s="1613">
        <f t="shared" si="39"/>
        <v>9739.2479999999996</v>
      </c>
      <c r="R62" s="1613">
        <f t="shared" si="41"/>
        <v>9517.3529999999992</v>
      </c>
      <c r="S62" s="1613">
        <f t="shared" si="40"/>
        <v>221.89499999999995</v>
      </c>
    </row>
    <row r="63" spans="16:24" x14ac:dyDescent="0.25">
      <c r="P63" s="1603">
        <v>2015</v>
      </c>
      <c r="Q63" s="1613">
        <f t="shared" si="39"/>
        <v>10717.713000000002</v>
      </c>
      <c r="R63" s="1613">
        <f t="shared" si="41"/>
        <v>10474.068000000001</v>
      </c>
      <c r="S63" s="1613">
        <f t="shared" si="40"/>
        <v>243.64499999999992</v>
      </c>
    </row>
    <row r="64" spans="16:24" x14ac:dyDescent="0.25">
      <c r="P64" s="1603">
        <v>2016</v>
      </c>
      <c r="Q64" s="1613">
        <f t="shared" si="39"/>
        <v>13044.474</v>
      </c>
      <c r="R64" s="1613">
        <f t="shared" si="41"/>
        <v>12780.754000000001</v>
      </c>
      <c r="S64" s="1613">
        <f t="shared" si="40"/>
        <v>263.72000000000003</v>
      </c>
    </row>
    <row r="65" spans="16:24" x14ac:dyDescent="0.25">
      <c r="P65" s="1603">
        <v>2017</v>
      </c>
      <c r="Q65" s="1613">
        <f t="shared" si="39"/>
        <v>13238.762000000001</v>
      </c>
      <c r="R65" s="1613">
        <f t="shared" si="41"/>
        <v>12992.269</v>
      </c>
      <c r="S65" s="1613">
        <f t="shared" si="40"/>
        <v>246.49299999999965</v>
      </c>
    </row>
    <row r="66" spans="16:24" x14ac:dyDescent="0.25">
      <c r="P66" s="1603">
        <v>2018</v>
      </c>
      <c r="Q66" s="1613">
        <f t="shared" si="39"/>
        <v>13649.929999999998</v>
      </c>
      <c r="R66" s="1613">
        <f t="shared" si="41"/>
        <v>13415.451999999999</v>
      </c>
      <c r="S66" s="1613">
        <f t="shared" si="40"/>
        <v>234.47799999999992</v>
      </c>
    </row>
    <row r="67" spans="16:24" x14ac:dyDescent="0.25">
      <c r="P67" s="1603">
        <v>2019</v>
      </c>
      <c r="Q67" s="1613">
        <f t="shared" si="39"/>
        <v>13650.194999999998</v>
      </c>
      <c r="R67" s="1613">
        <f t="shared" si="41"/>
        <v>13419.045999999998</v>
      </c>
      <c r="S67" s="1613">
        <f t="shared" si="40"/>
        <v>231.14899999999977</v>
      </c>
    </row>
    <row r="68" spans="16:24" x14ac:dyDescent="0.25">
      <c r="P68" s="1603">
        <v>2020</v>
      </c>
      <c r="Q68" s="1613">
        <f t="shared" si="39"/>
        <v>13724.048000000001</v>
      </c>
      <c r="R68" s="1613">
        <f t="shared" si="41"/>
        <v>13491.409000000001</v>
      </c>
      <c r="S68" s="1613">
        <f t="shared" si="40"/>
        <v>232.6389999999999</v>
      </c>
    </row>
    <row r="69" spans="16:24" x14ac:dyDescent="0.25">
      <c r="P69" s="1603">
        <v>2021</v>
      </c>
      <c r="Q69" s="1613">
        <f t="shared" si="39"/>
        <v>13860.954999999989</v>
      </c>
      <c r="R69" s="1613">
        <f t="shared" si="41"/>
        <v>13620.116999999989</v>
      </c>
      <c r="S69" s="1613">
        <f t="shared" si="40"/>
        <v>240.83799999999931</v>
      </c>
    </row>
    <row r="70" spans="16:24" x14ac:dyDescent="0.25">
      <c r="P70" s="1603">
        <v>2022</v>
      </c>
      <c r="Q70" s="1613">
        <f t="shared" si="39"/>
        <v>14248.477999999997</v>
      </c>
      <c r="R70" s="1613">
        <f t="shared" si="41"/>
        <v>14005.613999999998</v>
      </c>
      <c r="S70" s="1613">
        <f t="shared" si="40"/>
        <v>242.86399999999992</v>
      </c>
    </row>
    <row r="72" spans="16:24" x14ac:dyDescent="0.25">
      <c r="Q72" s="1603" t="s">
        <v>79</v>
      </c>
    </row>
    <row r="73" spans="16:24" x14ac:dyDescent="0.25">
      <c r="Q73" s="1603" t="s">
        <v>53</v>
      </c>
      <c r="R73" s="1603" t="s">
        <v>81</v>
      </c>
      <c r="S73" s="1603" t="s">
        <v>84</v>
      </c>
      <c r="V73" s="115" t="s">
        <v>53</v>
      </c>
      <c r="W73" s="115" t="s">
        <v>81</v>
      </c>
      <c r="X73" s="115" t="s">
        <v>84</v>
      </c>
    </row>
    <row r="74" spans="16:24" x14ac:dyDescent="0.25">
      <c r="P74" s="1603">
        <v>1995</v>
      </c>
      <c r="Q74" s="1613">
        <f t="shared" ref="Q74:Q79" si="42">K6</f>
        <v>1276</v>
      </c>
      <c r="R74" s="1613">
        <f t="shared" ref="R74:R79" si="43">L6+M6</f>
        <v>610.09</v>
      </c>
      <c r="S74" s="1613">
        <f t="shared" ref="S74:S79" si="44">N6</f>
        <v>665.91</v>
      </c>
      <c r="U74" s="94">
        <f>+P74</f>
        <v>1995</v>
      </c>
      <c r="V74" s="804">
        <f>+Q74</f>
        <v>1276</v>
      </c>
      <c r="W74" s="804">
        <f t="shared" ref="W74" si="45">+R74</f>
        <v>610.09</v>
      </c>
      <c r="X74" s="804">
        <f t="shared" ref="X74" si="46">+S74</f>
        <v>665.91</v>
      </c>
    </row>
    <row r="75" spans="16:24" x14ac:dyDescent="0.25">
      <c r="P75" s="1603">
        <v>1996</v>
      </c>
      <c r="Q75" s="1613">
        <f t="shared" si="42"/>
        <v>1309.7239999999999</v>
      </c>
      <c r="R75" s="1613">
        <f t="shared" si="43"/>
        <v>613.89</v>
      </c>
      <c r="S75" s="1613">
        <f t="shared" si="44"/>
        <v>695.83399999999995</v>
      </c>
      <c r="U75">
        <f>+P79</f>
        <v>2000</v>
      </c>
      <c r="V75" s="133">
        <f t="shared" ref="V75" si="47">+Q79</f>
        <v>917.33800000000008</v>
      </c>
      <c r="W75" s="133">
        <f t="shared" ref="W75" si="48">+R79</f>
        <v>143.62</v>
      </c>
      <c r="X75" s="133">
        <f t="shared" ref="X75" si="49">+S79</f>
        <v>773.71800000000007</v>
      </c>
    </row>
    <row r="76" spans="16:24" x14ac:dyDescent="0.25">
      <c r="P76" s="1603">
        <v>1997</v>
      </c>
      <c r="Q76" s="1613">
        <f t="shared" si="42"/>
        <v>867.47699999999986</v>
      </c>
      <c r="R76" s="1613">
        <f t="shared" si="43"/>
        <v>243.416</v>
      </c>
      <c r="S76" s="1613">
        <f t="shared" si="44"/>
        <v>624.06099999999992</v>
      </c>
      <c r="U76">
        <f>+P84</f>
        <v>2005</v>
      </c>
      <c r="V76" s="133">
        <f t="shared" ref="V76" si="50">+Q84</f>
        <v>979.89199999999994</v>
      </c>
      <c r="W76" s="133">
        <f t="shared" ref="W76" si="51">+R84</f>
        <v>179.03300000000002</v>
      </c>
      <c r="X76" s="133">
        <f t="shared" ref="X76" si="52">+S84</f>
        <v>800.85899999999992</v>
      </c>
    </row>
    <row r="77" spans="16:24" x14ac:dyDescent="0.25">
      <c r="P77" s="1603">
        <v>1998</v>
      </c>
      <c r="Q77" s="1613">
        <f t="shared" si="42"/>
        <v>883.01200000000006</v>
      </c>
      <c r="R77" s="1613">
        <f t="shared" si="43"/>
        <v>180.49599999999998</v>
      </c>
      <c r="S77" s="1613">
        <f t="shared" si="44"/>
        <v>702.51600000000008</v>
      </c>
      <c r="U77">
        <f>+P89</f>
        <v>2010</v>
      </c>
      <c r="V77" s="133">
        <f t="shared" ref="V77:V89" si="53">+Q89</f>
        <v>1303.3909999999998</v>
      </c>
      <c r="W77" s="133">
        <f t="shared" ref="W77:W89" si="54">+R89</f>
        <v>200.02500000000001</v>
      </c>
      <c r="X77" s="133">
        <f t="shared" ref="X77:X89" si="55">+S89</f>
        <v>1103.3659999999998</v>
      </c>
    </row>
    <row r="78" spans="16:24" x14ac:dyDescent="0.25">
      <c r="P78" s="1603">
        <v>1999</v>
      </c>
      <c r="Q78" s="1613">
        <f t="shared" si="42"/>
        <v>914.18499999999995</v>
      </c>
      <c r="R78" s="1613">
        <f t="shared" si="43"/>
        <v>133.91</v>
      </c>
      <c r="S78" s="1613">
        <f t="shared" si="44"/>
        <v>780.27499999999998</v>
      </c>
      <c r="U78">
        <f>+P90</f>
        <v>2011</v>
      </c>
      <c r="V78" s="133">
        <f t="shared" si="53"/>
        <v>1377.087</v>
      </c>
      <c r="W78" s="133">
        <f t="shared" si="54"/>
        <v>199.05100000000002</v>
      </c>
      <c r="X78" s="133">
        <f t="shared" si="55"/>
        <v>1178.0360000000001</v>
      </c>
    </row>
    <row r="79" spans="16:24" x14ac:dyDescent="0.25">
      <c r="P79" s="1603">
        <v>2000</v>
      </c>
      <c r="Q79" s="1613">
        <f t="shared" si="42"/>
        <v>917.33800000000008</v>
      </c>
      <c r="R79" s="1613">
        <f t="shared" si="43"/>
        <v>143.62</v>
      </c>
      <c r="S79" s="1613">
        <f t="shared" si="44"/>
        <v>773.71800000000007</v>
      </c>
      <c r="U79">
        <f t="shared" ref="U79:U89" si="56">+P91</f>
        <v>2012</v>
      </c>
      <c r="V79" s="133">
        <f t="shared" si="53"/>
        <v>1432.2640000000001</v>
      </c>
      <c r="W79" s="133">
        <f t="shared" si="54"/>
        <v>195.82100000000003</v>
      </c>
      <c r="X79" s="133">
        <f t="shared" si="55"/>
        <v>1236.443</v>
      </c>
    </row>
    <row r="80" spans="16:24" x14ac:dyDescent="0.25">
      <c r="P80" s="1603">
        <v>2001</v>
      </c>
      <c r="Q80" s="1613">
        <f t="shared" ref="Q80:Q101" si="57">K13</f>
        <v>855.87900000000002</v>
      </c>
      <c r="R80" s="1613">
        <f>+L13</f>
        <v>134.809</v>
      </c>
      <c r="S80" s="1613">
        <f t="shared" ref="S80:S101" si="58">N13</f>
        <v>721.07</v>
      </c>
      <c r="U80">
        <f t="shared" si="56"/>
        <v>2013</v>
      </c>
      <c r="V80" s="133">
        <f t="shared" si="53"/>
        <v>1416.0879999999997</v>
      </c>
      <c r="W80" s="133">
        <f t="shared" si="54"/>
        <v>192.32100000000003</v>
      </c>
      <c r="X80" s="133">
        <f t="shared" si="55"/>
        <v>1223.7669999999998</v>
      </c>
    </row>
    <row r="81" spans="16:24" x14ac:dyDescent="0.25">
      <c r="P81" s="1603">
        <v>2002</v>
      </c>
      <c r="Q81" s="1613">
        <f t="shared" si="57"/>
        <v>867.48199999999974</v>
      </c>
      <c r="R81" s="1613">
        <f t="shared" ref="R81:R101" si="59">+L14</f>
        <v>131.839</v>
      </c>
      <c r="S81" s="1613">
        <f t="shared" si="58"/>
        <v>735.6429999999998</v>
      </c>
      <c r="U81">
        <f t="shared" si="56"/>
        <v>2014</v>
      </c>
      <c r="V81" s="133">
        <f t="shared" si="53"/>
        <v>1463.3709999999999</v>
      </c>
      <c r="W81" s="133">
        <f t="shared" si="54"/>
        <v>190.227</v>
      </c>
      <c r="X81" s="133">
        <f t="shared" si="55"/>
        <v>1273.1439999999998</v>
      </c>
    </row>
    <row r="82" spans="16:24" x14ac:dyDescent="0.25">
      <c r="P82" s="1603">
        <v>2003</v>
      </c>
      <c r="Q82" s="1613">
        <f t="shared" si="57"/>
        <v>874.96</v>
      </c>
      <c r="R82" s="1613">
        <f t="shared" si="59"/>
        <v>131.74900000000002</v>
      </c>
      <c r="S82" s="1613">
        <f t="shared" si="58"/>
        <v>743.21100000000001</v>
      </c>
      <c r="U82">
        <f t="shared" si="56"/>
        <v>2015</v>
      </c>
      <c r="V82" s="133">
        <f t="shared" si="53"/>
        <v>1470.9139999999984</v>
      </c>
      <c r="W82" s="133">
        <f t="shared" si="54"/>
        <v>330.20699999999999</v>
      </c>
      <c r="X82" s="133">
        <f t="shared" si="55"/>
        <v>1140.7069999999985</v>
      </c>
    </row>
    <row r="83" spans="16:24" x14ac:dyDescent="0.25">
      <c r="P83" s="1603">
        <v>2004</v>
      </c>
      <c r="Q83" s="1613">
        <f t="shared" si="57"/>
        <v>920.29700000000003</v>
      </c>
      <c r="R83" s="1613">
        <f t="shared" si="59"/>
        <v>161.499</v>
      </c>
      <c r="S83" s="1613">
        <f t="shared" si="58"/>
        <v>758.798</v>
      </c>
      <c r="U83">
        <f t="shared" si="56"/>
        <v>2016</v>
      </c>
      <c r="V83" s="133">
        <f t="shared" si="53"/>
        <v>1473.241</v>
      </c>
      <c r="W83" s="133">
        <f t="shared" si="54"/>
        <v>329.30699999999996</v>
      </c>
      <c r="X83" s="133">
        <f t="shared" si="55"/>
        <v>1143.934</v>
      </c>
    </row>
    <row r="84" spans="16:24" x14ac:dyDescent="0.25">
      <c r="P84" s="1603">
        <v>2005</v>
      </c>
      <c r="Q84" s="1613">
        <f t="shared" si="57"/>
        <v>979.89199999999994</v>
      </c>
      <c r="R84" s="1613">
        <f t="shared" si="59"/>
        <v>179.03300000000002</v>
      </c>
      <c r="S84" s="1613">
        <f t="shared" si="58"/>
        <v>800.85899999999992</v>
      </c>
      <c r="U84">
        <f t="shared" si="56"/>
        <v>2017</v>
      </c>
      <c r="V84" s="133">
        <f t="shared" si="53"/>
        <v>1496.0090000000016</v>
      </c>
      <c r="W84" s="133">
        <f t="shared" si="54"/>
        <v>262.77600000000001</v>
      </c>
      <c r="X84" s="133">
        <f t="shared" si="55"/>
        <v>1233.2330000000015</v>
      </c>
    </row>
    <row r="85" spans="16:24" x14ac:dyDescent="0.25">
      <c r="P85" s="1603">
        <v>2006</v>
      </c>
      <c r="Q85" s="1613">
        <f t="shared" si="57"/>
        <v>1033.0019999999997</v>
      </c>
      <c r="R85" s="1613">
        <f t="shared" si="59"/>
        <v>185.02</v>
      </c>
      <c r="S85" s="1613">
        <f t="shared" si="58"/>
        <v>847.98199999999974</v>
      </c>
      <c r="U85">
        <f t="shared" si="56"/>
        <v>2018</v>
      </c>
      <c r="V85" s="133">
        <f t="shared" si="53"/>
        <v>1494.6560000000006</v>
      </c>
      <c r="W85" s="133">
        <f t="shared" si="54"/>
        <v>262.77600000000001</v>
      </c>
      <c r="X85" s="133">
        <f t="shared" si="55"/>
        <v>1231.8800000000006</v>
      </c>
    </row>
    <row r="86" spans="16:24" x14ac:dyDescent="0.25">
      <c r="P86" s="1607">
        <v>2007</v>
      </c>
      <c r="Q86" s="1613">
        <f t="shared" si="57"/>
        <v>1037.7919999999999</v>
      </c>
      <c r="R86" s="1613">
        <f t="shared" si="59"/>
        <v>182.75000000000003</v>
      </c>
      <c r="S86" s="1613">
        <f t="shared" si="58"/>
        <v>855.04199999999992</v>
      </c>
      <c r="U86">
        <f t="shared" si="56"/>
        <v>2019</v>
      </c>
      <c r="V86" s="133">
        <f t="shared" si="53"/>
        <v>1472.645</v>
      </c>
      <c r="W86" s="133">
        <f t="shared" si="54"/>
        <v>265.18700000000001</v>
      </c>
      <c r="X86" s="133">
        <f t="shared" si="55"/>
        <v>1207.4579999999999</v>
      </c>
    </row>
    <row r="87" spans="16:24" x14ac:dyDescent="0.25">
      <c r="P87" s="1603">
        <v>2008</v>
      </c>
      <c r="Q87" s="1613">
        <f t="shared" si="57"/>
        <v>1160.9520000000007</v>
      </c>
      <c r="R87" s="1613">
        <f t="shared" si="59"/>
        <v>182.16</v>
      </c>
      <c r="S87" s="1613">
        <f t="shared" si="58"/>
        <v>978.79200000000071</v>
      </c>
      <c r="U87">
        <f t="shared" si="56"/>
        <v>2020</v>
      </c>
      <c r="V87" s="133">
        <f t="shared" si="53"/>
        <v>1462.9220000000014</v>
      </c>
      <c r="W87" s="133">
        <f t="shared" si="54"/>
        <v>265.18700000000001</v>
      </c>
      <c r="X87" s="133">
        <f t="shared" si="55"/>
        <v>1197.7350000000015</v>
      </c>
    </row>
    <row r="88" spans="16:24" x14ac:dyDescent="0.25">
      <c r="P88" s="1603">
        <v>2009</v>
      </c>
      <c r="Q88" s="1613">
        <f t="shared" si="57"/>
        <v>1262.9800000000002</v>
      </c>
      <c r="R88" s="1613">
        <f t="shared" si="59"/>
        <v>187.75500000000005</v>
      </c>
      <c r="S88" s="1613">
        <f t="shared" si="58"/>
        <v>1075.2250000000001</v>
      </c>
      <c r="U88">
        <f t="shared" si="56"/>
        <v>2021</v>
      </c>
      <c r="V88" s="133">
        <f t="shared" si="53"/>
        <v>1479.3540000000071</v>
      </c>
      <c r="W88" s="133">
        <f t="shared" si="54"/>
        <v>244.48700000000014</v>
      </c>
      <c r="X88" s="133">
        <f t="shared" si="55"/>
        <v>1234.867000000007</v>
      </c>
    </row>
    <row r="89" spans="16:24" x14ac:dyDescent="0.25">
      <c r="P89" s="1603">
        <v>2010</v>
      </c>
      <c r="Q89" s="1613">
        <f t="shared" si="57"/>
        <v>1303.3909999999998</v>
      </c>
      <c r="R89" s="1613">
        <f t="shared" si="59"/>
        <v>200.02500000000001</v>
      </c>
      <c r="S89" s="1613">
        <f t="shared" si="58"/>
        <v>1103.3659999999998</v>
      </c>
      <c r="U89">
        <f t="shared" si="56"/>
        <v>2022</v>
      </c>
      <c r="V89" s="133">
        <f t="shared" si="53"/>
        <v>1511.0239999999997</v>
      </c>
      <c r="W89" s="133">
        <f t="shared" si="54"/>
        <v>252.56700000000001</v>
      </c>
      <c r="X89" s="133">
        <f t="shared" si="55"/>
        <v>1258.4569999999997</v>
      </c>
    </row>
    <row r="90" spans="16:24" x14ac:dyDescent="0.25">
      <c r="P90" s="1603">
        <v>2011</v>
      </c>
      <c r="Q90" s="1613">
        <f t="shared" si="57"/>
        <v>1377.087</v>
      </c>
      <c r="R90" s="1613">
        <f t="shared" si="59"/>
        <v>199.05100000000002</v>
      </c>
      <c r="S90" s="1613">
        <f t="shared" si="58"/>
        <v>1178.0360000000001</v>
      </c>
    </row>
    <row r="91" spans="16:24" x14ac:dyDescent="0.25">
      <c r="P91" s="1603">
        <v>2012</v>
      </c>
      <c r="Q91" s="1613">
        <f t="shared" si="57"/>
        <v>1432.2640000000001</v>
      </c>
      <c r="R91" s="1613">
        <f t="shared" si="59"/>
        <v>195.82100000000003</v>
      </c>
      <c r="S91" s="1613">
        <f t="shared" si="58"/>
        <v>1236.443</v>
      </c>
    </row>
    <row r="92" spans="16:24" x14ac:dyDescent="0.25">
      <c r="P92" s="1603">
        <v>2013</v>
      </c>
      <c r="Q92" s="1613">
        <f t="shared" si="57"/>
        <v>1416.0879999999997</v>
      </c>
      <c r="R92" s="1613">
        <f t="shared" si="59"/>
        <v>192.32100000000003</v>
      </c>
      <c r="S92" s="1613">
        <f t="shared" si="58"/>
        <v>1223.7669999999998</v>
      </c>
    </row>
    <row r="93" spans="16:24" x14ac:dyDescent="0.25">
      <c r="P93" s="1603">
        <v>2014</v>
      </c>
      <c r="Q93" s="1613">
        <f t="shared" si="57"/>
        <v>1463.3709999999999</v>
      </c>
      <c r="R93" s="1613">
        <f t="shared" si="59"/>
        <v>190.227</v>
      </c>
      <c r="S93" s="1613">
        <f t="shared" si="58"/>
        <v>1273.1439999999998</v>
      </c>
    </row>
    <row r="94" spans="16:24" x14ac:dyDescent="0.25">
      <c r="P94" s="1603">
        <v>2015</v>
      </c>
      <c r="Q94" s="1613">
        <f t="shared" si="57"/>
        <v>1470.9139999999984</v>
      </c>
      <c r="R94" s="1613">
        <f t="shared" si="59"/>
        <v>330.20699999999999</v>
      </c>
      <c r="S94" s="1613">
        <f t="shared" si="58"/>
        <v>1140.7069999999985</v>
      </c>
    </row>
    <row r="95" spans="16:24" x14ac:dyDescent="0.25">
      <c r="P95" s="1603">
        <v>2016</v>
      </c>
      <c r="Q95" s="1613">
        <f t="shared" si="57"/>
        <v>1473.241</v>
      </c>
      <c r="R95" s="1613">
        <f t="shared" si="59"/>
        <v>329.30699999999996</v>
      </c>
      <c r="S95" s="1613">
        <f t="shared" si="58"/>
        <v>1143.934</v>
      </c>
    </row>
    <row r="96" spans="16:24" x14ac:dyDescent="0.25">
      <c r="P96" s="1603">
        <v>2017</v>
      </c>
      <c r="Q96" s="1613">
        <f t="shared" si="57"/>
        <v>1496.0090000000016</v>
      </c>
      <c r="R96" s="1613">
        <f t="shared" si="59"/>
        <v>262.77600000000001</v>
      </c>
      <c r="S96" s="1613">
        <f t="shared" si="58"/>
        <v>1233.2330000000015</v>
      </c>
    </row>
    <row r="97" spans="2:19" x14ac:dyDescent="0.25">
      <c r="P97" s="1603">
        <v>2018</v>
      </c>
      <c r="Q97" s="1613">
        <f t="shared" si="57"/>
        <v>1494.6560000000006</v>
      </c>
      <c r="R97" s="1613">
        <f t="shared" si="59"/>
        <v>262.77600000000001</v>
      </c>
      <c r="S97" s="1613">
        <f t="shared" si="58"/>
        <v>1231.8800000000006</v>
      </c>
    </row>
    <row r="98" spans="2:19" x14ac:dyDescent="0.25">
      <c r="P98" s="1603">
        <v>2019</v>
      </c>
      <c r="Q98" s="1613">
        <f t="shared" si="57"/>
        <v>1472.645</v>
      </c>
      <c r="R98" s="1613">
        <f t="shared" si="59"/>
        <v>265.18700000000001</v>
      </c>
      <c r="S98" s="1613">
        <f t="shared" si="58"/>
        <v>1207.4579999999999</v>
      </c>
    </row>
    <row r="99" spans="2:19" x14ac:dyDescent="0.25">
      <c r="B99" s="203"/>
      <c r="P99" s="1603">
        <v>2020</v>
      </c>
      <c r="Q99" s="1613">
        <f t="shared" si="57"/>
        <v>1462.9220000000014</v>
      </c>
      <c r="R99" s="1613">
        <f t="shared" si="59"/>
        <v>265.18700000000001</v>
      </c>
      <c r="S99" s="1613">
        <f t="shared" si="58"/>
        <v>1197.7350000000015</v>
      </c>
    </row>
    <row r="100" spans="2:19" x14ac:dyDescent="0.25">
      <c r="P100" s="1603">
        <v>2021</v>
      </c>
      <c r="Q100" s="1613">
        <f t="shared" si="57"/>
        <v>1479.3540000000071</v>
      </c>
      <c r="R100" s="1613">
        <f t="shared" si="59"/>
        <v>244.48700000000014</v>
      </c>
      <c r="S100" s="1613">
        <f t="shared" si="58"/>
        <v>1234.867000000007</v>
      </c>
    </row>
    <row r="101" spans="2:19" x14ac:dyDescent="0.25">
      <c r="P101" s="1603">
        <v>2022</v>
      </c>
      <c r="Q101" s="1613">
        <f t="shared" si="57"/>
        <v>1511.0239999999997</v>
      </c>
      <c r="R101" s="1613">
        <f t="shared" si="59"/>
        <v>252.56700000000001</v>
      </c>
      <c r="S101" s="1613">
        <f t="shared" si="58"/>
        <v>1258.4569999999997</v>
      </c>
    </row>
  </sheetData>
  <mergeCells count="83">
    <mergeCell ref="L38:M38"/>
    <mergeCell ref="C4:F4"/>
    <mergeCell ref="L32:M32"/>
    <mergeCell ref="L33:M33"/>
    <mergeCell ref="L34:M34"/>
    <mergeCell ref="L35:M35"/>
    <mergeCell ref="L36:M36"/>
    <mergeCell ref="L27:M27"/>
    <mergeCell ref="L28:M28"/>
    <mergeCell ref="L29:M29"/>
    <mergeCell ref="L30:M30"/>
    <mergeCell ref="L31:M31"/>
    <mergeCell ref="L22:M22"/>
    <mergeCell ref="L23:M23"/>
    <mergeCell ref="L24:M24"/>
    <mergeCell ref="L25:M25"/>
    <mergeCell ref="L26:M26"/>
    <mergeCell ref="H35:I35"/>
    <mergeCell ref="H36:I36"/>
    <mergeCell ref="H37:I37"/>
    <mergeCell ref="H25:I25"/>
    <mergeCell ref="H26:I26"/>
    <mergeCell ref="H27:I27"/>
    <mergeCell ref="H28:I28"/>
    <mergeCell ref="H29:I29"/>
    <mergeCell ref="L37:M37"/>
    <mergeCell ref="H38:I38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H30:I30"/>
    <mergeCell ref="H31:I31"/>
    <mergeCell ref="H32:I32"/>
    <mergeCell ref="H33:I33"/>
    <mergeCell ref="H34:I34"/>
    <mergeCell ref="D36:E36"/>
    <mergeCell ref="D37:E37"/>
    <mergeCell ref="D38:E38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B4:B5"/>
    <mergeCell ref="D12:E12"/>
    <mergeCell ref="D14:E14"/>
    <mergeCell ref="D15:E15"/>
    <mergeCell ref="D13:E13"/>
  </mergeCells>
  <printOptions horizontalCentered="1" verticalCentered="1"/>
  <pageMargins left="0.51181102362204722" right="0.39370078740157483" top="0.39370078740157483" bottom="0.31496062992125984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U126"/>
  <sheetViews>
    <sheetView showGridLines="0" view="pageBreakPreview" zoomScale="80" zoomScaleNormal="115" zoomScaleSheetLayoutView="80" workbookViewId="0">
      <selection activeCell="E2" sqref="E2"/>
    </sheetView>
  </sheetViews>
  <sheetFormatPr baseColWidth="10" defaultRowHeight="12.5" x14ac:dyDescent="0.25"/>
  <cols>
    <col min="1" max="1" width="20.26953125" customWidth="1"/>
    <col min="2" max="2" width="12.81640625" customWidth="1"/>
    <col min="3" max="3" width="10.81640625" bestFit="1" customWidth="1"/>
    <col min="4" max="7" width="10.81640625" customWidth="1"/>
    <col min="8" max="10" width="12.1796875" customWidth="1"/>
    <col min="11" max="11" width="10.81640625" bestFit="1" customWidth="1"/>
    <col min="12" max="15" width="10.7265625" customWidth="1"/>
    <col min="17" max="17" width="10.90625" style="1603"/>
    <col min="18" max="18" width="13.453125" style="1603" bestFit="1" customWidth="1"/>
    <col min="19" max="19" width="15.1796875" style="1603" customWidth="1"/>
    <col min="20" max="20" width="15.1796875" customWidth="1"/>
    <col min="21" max="22" width="12.26953125" customWidth="1"/>
    <col min="23" max="23" width="21.54296875" bestFit="1" customWidth="1"/>
    <col min="24" max="24" width="12.26953125" bestFit="1" customWidth="1"/>
  </cols>
  <sheetData>
    <row r="2" spans="1:20" ht="15.5" x14ac:dyDescent="0.35">
      <c r="A2" s="70" t="s">
        <v>194</v>
      </c>
    </row>
    <row r="3" spans="1:20" ht="13" thickBot="1" x14ac:dyDescent="0.3">
      <c r="A3" s="102"/>
    </row>
    <row r="4" spans="1:20" s="94" customFormat="1" ht="13.5" thickBot="1" x14ac:dyDescent="0.3">
      <c r="A4" s="1482" t="s">
        <v>39</v>
      </c>
      <c r="B4" s="1482" t="s">
        <v>53</v>
      </c>
      <c r="C4" s="1480" t="s">
        <v>87</v>
      </c>
      <c r="D4" s="1480"/>
      <c r="E4" s="1480"/>
      <c r="F4" s="1480"/>
      <c r="G4" s="1481"/>
      <c r="H4" s="1472" t="s">
        <v>88</v>
      </c>
      <c r="I4" s="1473"/>
      <c r="J4" s="1474"/>
      <c r="K4" s="1472" t="s">
        <v>102</v>
      </c>
      <c r="L4" s="1473"/>
      <c r="M4" s="1473"/>
      <c r="N4" s="1473"/>
      <c r="O4" s="1474"/>
      <c r="Q4" s="1608"/>
      <c r="R4" s="1608"/>
      <c r="S4" s="1608"/>
    </row>
    <row r="5" spans="1:20" s="94" customFormat="1" ht="13.5" thickBot="1" x14ac:dyDescent="0.3">
      <c r="A5" s="1483"/>
      <c r="B5" s="1483"/>
      <c r="C5" s="1049" t="s">
        <v>53</v>
      </c>
      <c r="D5" s="1050" t="s">
        <v>90</v>
      </c>
      <c r="E5" s="1051" t="s">
        <v>91</v>
      </c>
      <c r="F5" s="1051" t="s">
        <v>74</v>
      </c>
      <c r="G5" s="1051" t="s">
        <v>92</v>
      </c>
      <c r="H5" s="1051" t="s">
        <v>53</v>
      </c>
      <c r="I5" s="1051" t="s">
        <v>90</v>
      </c>
      <c r="J5" s="1051" t="s">
        <v>91</v>
      </c>
      <c r="K5" s="1051" t="s">
        <v>89</v>
      </c>
      <c r="L5" s="1051" t="s">
        <v>90</v>
      </c>
      <c r="M5" s="1051" t="s">
        <v>91</v>
      </c>
      <c r="N5" s="1051" t="s">
        <v>74</v>
      </c>
      <c r="O5" s="1048" t="s">
        <v>92</v>
      </c>
      <c r="Q5" s="1608"/>
      <c r="R5" s="1608"/>
      <c r="S5" s="1608"/>
    </row>
    <row r="6" spans="1:20" ht="13" x14ac:dyDescent="0.3">
      <c r="A6" s="1399">
        <v>1995</v>
      </c>
      <c r="B6" s="1232">
        <f t="shared" ref="B6:B11" si="0">+C6+H6+K6</f>
        <v>3185.7000000000003</v>
      </c>
      <c r="C6" s="299">
        <f t="shared" ref="C6:C11" si="1">SUM(D6:G6)</f>
        <v>2422.2950000000001</v>
      </c>
      <c r="D6" s="147">
        <v>1840.4349999999999</v>
      </c>
      <c r="E6" s="148">
        <v>581.86</v>
      </c>
      <c r="F6" s="147"/>
      <c r="G6" s="147"/>
      <c r="H6" s="219">
        <f t="shared" ref="H6:H11" si="2">SUM(I6:J6)</f>
        <v>416.34</v>
      </c>
      <c r="I6" s="147">
        <v>312.27</v>
      </c>
      <c r="J6" s="181">
        <v>104.07</v>
      </c>
      <c r="K6" s="219">
        <f t="shared" ref="K6:K11" si="3">SUM(L6:O6)</f>
        <v>347.06500000000005</v>
      </c>
      <c r="L6" s="147">
        <f>28.93+6.8+1.565</f>
        <v>37.294999999999995</v>
      </c>
      <c r="M6" s="148">
        <f>303.547+6.223</f>
        <v>309.77000000000004</v>
      </c>
      <c r="N6" s="148"/>
      <c r="O6" s="220"/>
      <c r="Q6" s="1612"/>
      <c r="R6" s="1612"/>
      <c r="S6" s="1624"/>
      <c r="T6" s="132"/>
    </row>
    <row r="7" spans="1:20" ht="13" x14ac:dyDescent="0.3">
      <c r="A7" s="1400">
        <v>1996</v>
      </c>
      <c r="B7" s="1233">
        <f t="shared" si="0"/>
        <v>3352.8809999999999</v>
      </c>
      <c r="C7" s="304">
        <f t="shared" si="1"/>
        <v>2552.0549999999998</v>
      </c>
      <c r="D7" s="177">
        <v>1842.7349999999999</v>
      </c>
      <c r="E7" s="185">
        <v>709.32</v>
      </c>
      <c r="F7" s="177"/>
      <c r="G7" s="177"/>
      <c r="H7" s="223">
        <f t="shared" si="2"/>
        <v>420.66</v>
      </c>
      <c r="I7" s="177">
        <v>311.97000000000003</v>
      </c>
      <c r="J7" s="176">
        <v>108.69</v>
      </c>
      <c r="K7" s="223">
        <f t="shared" si="3"/>
        <v>380.166</v>
      </c>
      <c r="L7" s="177">
        <f>45.479</f>
        <v>45.478999999999999</v>
      </c>
      <c r="M7" s="185">
        <f>334.437</f>
        <v>334.43700000000001</v>
      </c>
      <c r="N7" s="185"/>
      <c r="O7" s="224">
        <v>0.25</v>
      </c>
      <c r="Q7" s="1612"/>
      <c r="R7" s="1612"/>
      <c r="S7" s="1624"/>
    </row>
    <row r="8" spans="1:20" ht="13" x14ac:dyDescent="0.3">
      <c r="A8" s="1399">
        <v>1997</v>
      </c>
      <c r="B8" s="1232">
        <f t="shared" si="0"/>
        <v>4325.0209999999997</v>
      </c>
      <c r="C8" s="299">
        <f t="shared" si="1"/>
        <v>3243.17</v>
      </c>
      <c r="D8" s="147">
        <v>2039.8</v>
      </c>
      <c r="E8" s="148">
        <v>1203.3699999999999</v>
      </c>
      <c r="F8" s="147"/>
      <c r="G8" s="147"/>
      <c r="H8" s="219">
        <f t="shared" si="2"/>
        <v>710.54500000000007</v>
      </c>
      <c r="I8" s="147">
        <v>312.49</v>
      </c>
      <c r="J8" s="181">
        <v>398.05500000000001</v>
      </c>
      <c r="K8" s="219">
        <f t="shared" si="3"/>
        <v>371.30599999999993</v>
      </c>
      <c r="L8" s="147">
        <v>59.228999999999999</v>
      </c>
      <c r="M8" s="148">
        <v>311.82699999999994</v>
      </c>
      <c r="N8" s="148"/>
      <c r="O8" s="220">
        <v>0.25</v>
      </c>
      <c r="Q8" s="1612"/>
      <c r="R8" s="1612"/>
      <c r="S8" s="1624"/>
    </row>
    <row r="9" spans="1:20" ht="14" x14ac:dyDescent="0.3">
      <c r="A9" s="1400">
        <v>1998</v>
      </c>
      <c r="B9" s="1233">
        <f t="shared" si="0"/>
        <v>4632.2779999999993</v>
      </c>
      <c r="C9" s="304">
        <f t="shared" si="1"/>
        <v>3498.7559999999994</v>
      </c>
      <c r="D9" s="177">
        <v>2078.4699999999998</v>
      </c>
      <c r="E9" s="185">
        <v>1420.2859999999998</v>
      </c>
      <c r="F9" s="177"/>
      <c r="G9" s="177"/>
      <c r="H9" s="223">
        <f t="shared" si="2"/>
        <v>727.44799999999998</v>
      </c>
      <c r="I9" s="177">
        <v>312.77999999999997</v>
      </c>
      <c r="J9" s="176">
        <v>414.66800000000001</v>
      </c>
      <c r="K9" s="223">
        <f t="shared" si="3"/>
        <v>406.07400000000001</v>
      </c>
      <c r="L9" s="177">
        <v>76.166000000000011</v>
      </c>
      <c r="M9" s="185">
        <v>329.65800000000002</v>
      </c>
      <c r="N9" s="185"/>
      <c r="O9" s="224">
        <v>0.25</v>
      </c>
      <c r="P9" s="173"/>
      <c r="Q9" s="1612"/>
      <c r="R9" s="1612"/>
      <c r="S9" s="1624"/>
    </row>
    <row r="10" spans="1:20" ht="13" x14ac:dyDescent="0.3">
      <c r="A10" s="1399">
        <v>1999</v>
      </c>
      <c r="B10" s="1232">
        <f t="shared" si="0"/>
        <v>4828.2430000000004</v>
      </c>
      <c r="C10" s="299">
        <f t="shared" si="1"/>
        <v>3672.607</v>
      </c>
      <c r="D10" s="147">
        <v>2190.5720000000001</v>
      </c>
      <c r="E10" s="148">
        <v>1482.0350000000001</v>
      </c>
      <c r="F10" s="147"/>
      <c r="G10" s="147"/>
      <c r="H10" s="219">
        <f t="shared" si="2"/>
        <v>793.44800000000009</v>
      </c>
      <c r="I10" s="147">
        <v>315.58</v>
      </c>
      <c r="J10" s="181">
        <v>477.86800000000005</v>
      </c>
      <c r="K10" s="219">
        <f t="shared" si="3"/>
        <v>362.18799999999993</v>
      </c>
      <c r="L10" s="147">
        <v>80.977000000000004</v>
      </c>
      <c r="M10" s="148">
        <v>280.51099999999997</v>
      </c>
      <c r="N10" s="148"/>
      <c r="O10" s="220">
        <v>0.7</v>
      </c>
      <c r="Q10" s="1612"/>
      <c r="R10" s="1612"/>
      <c r="S10" s="1624"/>
    </row>
    <row r="11" spans="1:20" ht="13" x14ac:dyDescent="0.3">
      <c r="A11" s="1400">
        <v>2000</v>
      </c>
      <c r="B11" s="1233">
        <f t="shared" si="0"/>
        <v>5148.8510000000006</v>
      </c>
      <c r="C11" s="304">
        <f t="shared" si="1"/>
        <v>3858.317</v>
      </c>
      <c r="D11" s="177">
        <v>2375.6849999999999</v>
      </c>
      <c r="E11" s="185">
        <v>1482.6319999999998</v>
      </c>
      <c r="F11" s="177"/>
      <c r="G11" s="177"/>
      <c r="H11" s="223">
        <f t="shared" si="2"/>
        <v>931.67900000000009</v>
      </c>
      <c r="I11" s="177">
        <v>321.31099999999998</v>
      </c>
      <c r="J11" s="176">
        <v>610.36800000000005</v>
      </c>
      <c r="K11" s="223">
        <f t="shared" si="3"/>
        <v>358.85500000000002</v>
      </c>
      <c r="L11" s="177">
        <v>82.263999999999996</v>
      </c>
      <c r="M11" s="185">
        <v>275.89100000000002</v>
      </c>
      <c r="N11" s="185"/>
      <c r="O11" s="224">
        <v>0.7</v>
      </c>
      <c r="Q11" s="1612"/>
      <c r="R11" s="1612"/>
      <c r="S11" s="1624"/>
    </row>
    <row r="12" spans="1:20" ht="13" x14ac:dyDescent="0.3">
      <c r="A12" s="1399"/>
      <c r="B12" s="1250"/>
      <c r="C12" s="314"/>
      <c r="D12" s="225"/>
      <c r="E12" s="226"/>
      <c r="F12" s="227"/>
      <c r="G12" s="227"/>
      <c r="H12" s="228"/>
      <c r="I12" s="225"/>
      <c r="J12" s="225"/>
      <c r="K12" s="228"/>
      <c r="L12" s="225"/>
      <c r="M12" s="229"/>
      <c r="N12" s="229"/>
      <c r="O12" s="230"/>
      <c r="Q12" s="1612"/>
      <c r="R12" s="1612"/>
      <c r="S12" s="1624"/>
    </row>
    <row r="13" spans="1:20" ht="13" x14ac:dyDescent="0.3">
      <c r="A13" s="1400"/>
      <c r="B13" s="1234"/>
      <c r="C13" s="1475" t="s">
        <v>93</v>
      </c>
      <c r="D13" s="1475"/>
      <c r="E13" s="1475"/>
      <c r="F13" s="1475"/>
      <c r="G13" s="1476"/>
      <c r="H13" s="232"/>
      <c r="I13" s="233"/>
      <c r="J13" s="233"/>
      <c r="K13" s="234"/>
      <c r="L13" s="233"/>
      <c r="M13" s="235"/>
      <c r="N13" s="235"/>
      <c r="O13" s="236"/>
      <c r="Q13" s="1612"/>
      <c r="S13" s="1624"/>
    </row>
    <row r="14" spans="1:20" ht="13" x14ac:dyDescent="0.3">
      <c r="A14" s="1400">
        <v>2001</v>
      </c>
      <c r="B14" s="1233">
        <f>+C14+K14</f>
        <v>5050.8140000000003</v>
      </c>
      <c r="C14" s="304">
        <f t="shared" ref="C14:C35" si="4">SUM(D14:G14)</f>
        <v>4744.8370000000004</v>
      </c>
      <c r="D14" s="176">
        <v>2807.623</v>
      </c>
      <c r="E14" s="237">
        <v>1937.2140000000002</v>
      </c>
      <c r="F14" s="237"/>
      <c r="G14" s="177"/>
      <c r="H14" s="223"/>
      <c r="I14" s="176"/>
      <c r="J14" s="176"/>
      <c r="K14" s="223">
        <f t="shared" ref="K14:K35" si="5">SUM(L14:O14)</f>
        <v>305.97699999999992</v>
      </c>
      <c r="L14" s="176">
        <v>81.81</v>
      </c>
      <c r="M14" s="185">
        <v>223.46699999999996</v>
      </c>
      <c r="N14" s="185"/>
      <c r="O14" s="224">
        <v>0.7</v>
      </c>
      <c r="P14" s="12"/>
      <c r="Q14" s="1612"/>
      <c r="R14" s="1612"/>
      <c r="S14" s="1625"/>
      <c r="T14" s="132"/>
    </row>
    <row r="15" spans="1:20" ht="13" x14ac:dyDescent="0.3">
      <c r="A15" s="1399">
        <v>2002</v>
      </c>
      <c r="B15" s="1232">
        <f t="shared" ref="B15:B33" si="6">+C15+K15</f>
        <v>5068.0510000000004</v>
      </c>
      <c r="C15" s="299">
        <f t="shared" si="4"/>
        <v>4841.7170000000006</v>
      </c>
      <c r="D15" s="181">
        <v>2845.2130000000011</v>
      </c>
      <c r="E15" s="148">
        <v>1996.5039999999997</v>
      </c>
      <c r="F15" s="148"/>
      <c r="G15" s="147"/>
      <c r="H15" s="219"/>
      <c r="I15" s="181"/>
      <c r="J15" s="181"/>
      <c r="K15" s="219">
        <f t="shared" si="5"/>
        <v>226.33399999999995</v>
      </c>
      <c r="L15" s="181">
        <v>72.388999999999967</v>
      </c>
      <c r="M15" s="148">
        <v>153.245</v>
      </c>
      <c r="N15" s="148"/>
      <c r="O15" s="220">
        <v>0.7</v>
      </c>
      <c r="P15" s="12"/>
      <c r="Q15" s="1612"/>
      <c r="R15" s="1612"/>
      <c r="S15" s="1625"/>
      <c r="T15" s="132"/>
    </row>
    <row r="16" spans="1:20" ht="13" x14ac:dyDescent="0.3">
      <c r="A16" s="1400">
        <v>2003</v>
      </c>
      <c r="B16" s="1233">
        <f t="shared" si="6"/>
        <v>5095.1030000000001</v>
      </c>
      <c r="C16" s="304">
        <f t="shared" si="4"/>
        <v>4881.0070000000005</v>
      </c>
      <c r="D16" s="176">
        <v>2874.9160000000006</v>
      </c>
      <c r="E16" s="185">
        <v>2006.0909999999999</v>
      </c>
      <c r="F16" s="185"/>
      <c r="G16" s="177"/>
      <c r="H16" s="223"/>
      <c r="I16" s="176"/>
      <c r="J16" s="176"/>
      <c r="K16" s="223">
        <f t="shared" si="5"/>
        <v>214.09599999999992</v>
      </c>
      <c r="L16" s="176">
        <v>71.904999999999944</v>
      </c>
      <c r="M16" s="185">
        <v>141.49099999999999</v>
      </c>
      <c r="N16" s="185"/>
      <c r="O16" s="224">
        <v>0.7</v>
      </c>
      <c r="P16" s="12"/>
      <c r="Q16" s="1612"/>
      <c r="R16" s="1612"/>
      <c r="S16" s="1625"/>
      <c r="T16" s="132"/>
    </row>
    <row r="17" spans="1:20" ht="13" x14ac:dyDescent="0.3">
      <c r="A17" s="1399">
        <v>2004</v>
      </c>
      <c r="B17" s="1232">
        <f t="shared" si="6"/>
        <v>5096.0216000000019</v>
      </c>
      <c r="C17" s="299">
        <f t="shared" si="4"/>
        <v>4898.7466000000022</v>
      </c>
      <c r="D17" s="181">
        <v>2896.2306000000021</v>
      </c>
      <c r="E17" s="148">
        <v>2002.5160000000001</v>
      </c>
      <c r="F17" s="148"/>
      <c r="G17" s="147"/>
      <c r="H17" s="219"/>
      <c r="I17" s="181"/>
      <c r="J17" s="181"/>
      <c r="K17" s="219">
        <f t="shared" si="5"/>
        <v>197.27499999999989</v>
      </c>
      <c r="L17" s="181">
        <v>72.828999999999979</v>
      </c>
      <c r="M17" s="148">
        <v>123.74599999999992</v>
      </c>
      <c r="N17" s="148"/>
      <c r="O17" s="220">
        <v>0.7</v>
      </c>
      <c r="P17" s="12"/>
      <c r="Q17" s="1612"/>
      <c r="R17" s="1612"/>
      <c r="S17" s="1625"/>
      <c r="T17" s="132"/>
    </row>
    <row r="18" spans="1:20" ht="13" x14ac:dyDescent="0.3">
      <c r="A18" s="1400">
        <v>2005</v>
      </c>
      <c r="B18" s="1233">
        <f t="shared" si="6"/>
        <v>5220.6336000000001</v>
      </c>
      <c r="C18" s="304">
        <f t="shared" si="4"/>
        <v>5014.1686</v>
      </c>
      <c r="D18" s="176">
        <v>3043.1506000000004</v>
      </c>
      <c r="E18" s="185">
        <v>1971.0179999999996</v>
      </c>
      <c r="F18" s="185"/>
      <c r="G18" s="177"/>
      <c r="H18" s="223"/>
      <c r="I18" s="176"/>
      <c r="J18" s="176"/>
      <c r="K18" s="223">
        <f t="shared" si="5"/>
        <v>206.46499999999986</v>
      </c>
      <c r="L18" s="176">
        <v>76.04899999999995</v>
      </c>
      <c r="M18" s="185">
        <v>129.71599999999992</v>
      </c>
      <c r="N18" s="185"/>
      <c r="O18" s="224">
        <v>0.7</v>
      </c>
      <c r="P18" s="12"/>
      <c r="Q18" s="1612"/>
      <c r="R18" s="1612"/>
      <c r="S18" s="1625"/>
      <c r="T18" s="132"/>
    </row>
    <row r="19" spans="1:20" ht="13" x14ac:dyDescent="0.3">
      <c r="A19" s="1399">
        <v>2006</v>
      </c>
      <c r="B19" s="1232">
        <f t="shared" si="6"/>
        <v>5625.1416000000008</v>
      </c>
      <c r="C19" s="299">
        <f t="shared" si="4"/>
        <v>5410.4616000000005</v>
      </c>
      <c r="D19" s="181">
        <v>3053.2766000000001</v>
      </c>
      <c r="E19" s="148">
        <v>2357.1849999999999</v>
      </c>
      <c r="F19" s="148"/>
      <c r="G19" s="147"/>
      <c r="H19" s="219"/>
      <c r="I19" s="181"/>
      <c r="J19" s="181"/>
      <c r="K19" s="219">
        <f>SUM(L19:O19)</f>
        <v>214.67999999999998</v>
      </c>
      <c r="L19" s="181">
        <v>74.524000000000001</v>
      </c>
      <c r="M19" s="148">
        <v>139.45599999999999</v>
      </c>
      <c r="N19" s="148"/>
      <c r="O19" s="220">
        <v>0.7</v>
      </c>
      <c r="P19" s="12"/>
      <c r="Q19" s="1612"/>
      <c r="R19" s="1612"/>
      <c r="S19" s="1625"/>
      <c r="T19" s="132"/>
    </row>
    <row r="20" spans="1:20" ht="13" x14ac:dyDescent="0.3">
      <c r="A20" s="1400">
        <v>2007</v>
      </c>
      <c r="B20" s="1233">
        <f t="shared" si="6"/>
        <v>5989.7251999999999</v>
      </c>
      <c r="C20" s="304">
        <f t="shared" si="4"/>
        <v>5769.2542000000003</v>
      </c>
      <c r="D20" s="176">
        <v>3072.0132000000003</v>
      </c>
      <c r="E20" s="185">
        <v>2697.241</v>
      </c>
      <c r="F20" s="185"/>
      <c r="G20" s="177"/>
      <c r="H20" s="223"/>
      <c r="I20" s="176"/>
      <c r="J20" s="176"/>
      <c r="K20" s="223">
        <f t="shared" si="5"/>
        <v>220.47099999999983</v>
      </c>
      <c r="L20" s="176">
        <v>73.127999999999957</v>
      </c>
      <c r="M20" s="185">
        <v>146.64299999999989</v>
      </c>
      <c r="N20" s="185"/>
      <c r="O20" s="224">
        <v>0.7</v>
      </c>
      <c r="P20" s="12"/>
      <c r="Q20" s="1612"/>
      <c r="R20" s="1612"/>
      <c r="S20" s="1625"/>
      <c r="T20" s="132"/>
    </row>
    <row r="21" spans="1:20" ht="13" x14ac:dyDescent="0.3">
      <c r="A21" s="1399">
        <v>2008</v>
      </c>
      <c r="B21" s="1232">
        <f t="shared" si="6"/>
        <v>5996.9830000000029</v>
      </c>
      <c r="C21" s="299">
        <f t="shared" si="4"/>
        <v>5755.247000000003</v>
      </c>
      <c r="D21" s="181">
        <v>3079.568000000002</v>
      </c>
      <c r="E21" s="148">
        <v>2675.679000000001</v>
      </c>
      <c r="F21" s="148"/>
      <c r="G21" s="147"/>
      <c r="H21" s="219"/>
      <c r="I21" s="181"/>
      <c r="J21" s="181"/>
      <c r="K21" s="219">
        <f t="shared" si="5"/>
        <v>241.73599999999988</v>
      </c>
      <c r="L21" s="181">
        <v>72.469999999999942</v>
      </c>
      <c r="M21" s="148">
        <v>168.56599999999995</v>
      </c>
      <c r="N21" s="148"/>
      <c r="O21" s="220">
        <v>0.7</v>
      </c>
      <c r="P21" s="12"/>
      <c r="Q21" s="1612"/>
      <c r="R21" s="1612"/>
      <c r="S21" s="1625"/>
      <c r="T21" s="132"/>
    </row>
    <row r="22" spans="1:20" ht="13" x14ac:dyDescent="0.3">
      <c r="A22" s="1400">
        <v>2009</v>
      </c>
      <c r="B22" s="1233">
        <f t="shared" si="6"/>
        <v>6723.5160000000014</v>
      </c>
      <c r="C22" s="304">
        <f t="shared" si="4"/>
        <v>6491.4780000000019</v>
      </c>
      <c r="D22" s="176">
        <v>3121.6860000000015</v>
      </c>
      <c r="E22" s="185">
        <v>3369.7920000000004</v>
      </c>
      <c r="F22" s="185"/>
      <c r="G22" s="177"/>
      <c r="H22" s="223"/>
      <c r="I22" s="176"/>
      <c r="J22" s="176"/>
      <c r="K22" s="223">
        <f t="shared" si="5"/>
        <v>232.03799999999993</v>
      </c>
      <c r="L22" s="176">
        <v>61.44</v>
      </c>
      <c r="M22" s="185">
        <v>169.89799999999994</v>
      </c>
      <c r="N22" s="185"/>
      <c r="O22" s="224">
        <v>0.7</v>
      </c>
      <c r="P22" s="12"/>
      <c r="Q22" s="1612"/>
      <c r="R22" s="1612"/>
      <c r="S22" s="1625"/>
      <c r="T22" s="132"/>
    </row>
    <row r="23" spans="1:20" ht="13" x14ac:dyDescent="0.3">
      <c r="A23" s="1399">
        <v>2010</v>
      </c>
      <c r="B23" s="1232">
        <f t="shared" si="6"/>
        <v>7309.1659999999993</v>
      </c>
      <c r="C23" s="299">
        <f t="shared" si="4"/>
        <v>7131.0879999999997</v>
      </c>
      <c r="D23" s="181">
        <v>3291.4250000000002</v>
      </c>
      <c r="E23" s="148">
        <v>3839.6629999999991</v>
      </c>
      <c r="F23" s="148"/>
      <c r="G23" s="147"/>
      <c r="H23" s="219"/>
      <c r="I23" s="181"/>
      <c r="J23" s="181"/>
      <c r="K23" s="219">
        <f t="shared" si="5"/>
        <v>178.07799999999995</v>
      </c>
      <c r="L23" s="181">
        <v>53.37</v>
      </c>
      <c r="M23" s="148">
        <v>124.00799999999995</v>
      </c>
      <c r="N23" s="148"/>
      <c r="O23" s="220">
        <v>0.7</v>
      </c>
      <c r="P23" s="12"/>
      <c r="Q23" s="1612"/>
      <c r="R23" s="1612"/>
      <c r="S23" s="1625"/>
      <c r="T23" s="132"/>
    </row>
    <row r="24" spans="1:20" ht="13" x14ac:dyDescent="0.3">
      <c r="A24" s="1392">
        <v>2011</v>
      </c>
      <c r="B24" s="1233">
        <f t="shared" si="6"/>
        <v>7314.2370000000001</v>
      </c>
      <c r="C24" s="304">
        <f t="shared" si="4"/>
        <v>7142.3890000000001</v>
      </c>
      <c r="D24" s="176">
        <v>3310.1709999999998</v>
      </c>
      <c r="E24" s="185">
        <v>3832.2180000000003</v>
      </c>
      <c r="F24" s="185"/>
      <c r="G24" s="177"/>
      <c r="H24" s="223"/>
      <c r="I24" s="176"/>
      <c r="J24" s="176"/>
      <c r="K24" s="223">
        <f t="shared" si="5"/>
        <v>171.84800000000001</v>
      </c>
      <c r="L24" s="176">
        <v>46.888999999999996</v>
      </c>
      <c r="M24" s="185">
        <v>124.25900000000001</v>
      </c>
      <c r="N24" s="185"/>
      <c r="O24" s="224">
        <v>0.7</v>
      </c>
      <c r="P24" s="12"/>
      <c r="Q24" s="1612"/>
      <c r="R24" s="1612"/>
      <c r="S24" s="1625"/>
      <c r="T24" s="132"/>
    </row>
    <row r="25" spans="1:20" ht="13" x14ac:dyDescent="0.3">
      <c r="A25" s="1399">
        <v>2012</v>
      </c>
      <c r="B25" s="1232">
        <f t="shared" si="6"/>
        <v>8267.1710000000003</v>
      </c>
      <c r="C25" s="299">
        <f t="shared" si="4"/>
        <v>8096.2529999999997</v>
      </c>
      <c r="D25" s="181">
        <v>3333.9409999999998</v>
      </c>
      <c r="E25" s="148">
        <v>4682.3119999999999</v>
      </c>
      <c r="F25" s="148">
        <v>80</v>
      </c>
      <c r="G25" s="147"/>
      <c r="H25" s="219"/>
      <c r="I25" s="181"/>
      <c r="J25" s="181"/>
      <c r="K25" s="219">
        <f t="shared" si="5"/>
        <v>170.91800000000001</v>
      </c>
      <c r="L25" s="181">
        <v>46.888999999999996</v>
      </c>
      <c r="M25" s="148">
        <v>123.32900000000001</v>
      </c>
      <c r="N25" s="148"/>
      <c r="O25" s="220">
        <v>0.7</v>
      </c>
      <c r="P25" s="12"/>
      <c r="Q25" s="1612"/>
      <c r="R25" s="1612"/>
      <c r="S25" s="1625"/>
      <c r="T25" s="132"/>
    </row>
    <row r="26" spans="1:20" ht="13" x14ac:dyDescent="0.3">
      <c r="A26" s="1401">
        <v>2013</v>
      </c>
      <c r="B26" s="1235">
        <f t="shared" si="6"/>
        <v>9634.6309999999994</v>
      </c>
      <c r="C26" s="306">
        <f t="shared" si="4"/>
        <v>9441.601999999999</v>
      </c>
      <c r="D26" s="191">
        <v>3402.8779999999997</v>
      </c>
      <c r="E26" s="193">
        <v>5958.7240000000002</v>
      </c>
      <c r="F26" s="193">
        <v>80</v>
      </c>
      <c r="G26" s="132"/>
      <c r="H26" s="240"/>
      <c r="I26" s="191"/>
      <c r="J26" s="191"/>
      <c r="K26" s="240">
        <f t="shared" si="5"/>
        <v>193.02899999999994</v>
      </c>
      <c r="L26" s="191">
        <v>47.668999999999997</v>
      </c>
      <c r="M26" s="193">
        <v>144.65999999999994</v>
      </c>
      <c r="N26" s="193"/>
      <c r="O26" s="241">
        <v>0.7</v>
      </c>
      <c r="P26" s="12"/>
      <c r="Q26" s="1612"/>
      <c r="R26" s="1612"/>
      <c r="S26" s="1625"/>
      <c r="T26" s="132"/>
    </row>
    <row r="27" spans="1:20" ht="13" x14ac:dyDescent="0.3">
      <c r="A27" s="1399">
        <v>2014</v>
      </c>
      <c r="B27" s="1232">
        <f t="shared" si="6"/>
        <v>9739.2479999999996</v>
      </c>
      <c r="C27" s="299">
        <f t="shared" si="4"/>
        <v>9517.3529999999992</v>
      </c>
      <c r="D27" s="181">
        <v>3506.0219999999999</v>
      </c>
      <c r="E27" s="148">
        <v>5773.3309999999992</v>
      </c>
      <c r="F27" s="148">
        <v>96</v>
      </c>
      <c r="G27" s="147">
        <v>142</v>
      </c>
      <c r="H27" s="219"/>
      <c r="I27" s="181"/>
      <c r="J27" s="181"/>
      <c r="K27" s="219">
        <f t="shared" si="5"/>
        <v>221.89499999999992</v>
      </c>
      <c r="L27" s="181">
        <v>52.247</v>
      </c>
      <c r="M27" s="148">
        <v>168.94799999999995</v>
      </c>
      <c r="N27" s="148"/>
      <c r="O27" s="220">
        <v>0.7</v>
      </c>
      <c r="P27" s="12"/>
      <c r="Q27" s="1612"/>
      <c r="R27" s="1612"/>
      <c r="S27" s="1625"/>
      <c r="T27" s="132"/>
    </row>
    <row r="28" spans="1:20" ht="13" x14ac:dyDescent="0.3">
      <c r="A28" s="1401">
        <v>2015</v>
      </c>
      <c r="B28" s="1235">
        <f t="shared" si="6"/>
        <v>10717.713000000002</v>
      </c>
      <c r="C28" s="306">
        <f t="shared" si="4"/>
        <v>10474.068000000001</v>
      </c>
      <c r="D28" s="191">
        <v>3992.2439999999997</v>
      </c>
      <c r="E28" s="193">
        <v>6146.7240000000002</v>
      </c>
      <c r="F28" s="193">
        <v>96</v>
      </c>
      <c r="G28" s="132">
        <v>239.1</v>
      </c>
      <c r="H28" s="240"/>
      <c r="I28" s="191"/>
      <c r="J28" s="191"/>
      <c r="K28" s="240">
        <f>SUM(L28:O28)</f>
        <v>243.64500000000007</v>
      </c>
      <c r="L28" s="191">
        <v>55.623000000000019</v>
      </c>
      <c r="M28" s="193">
        <v>187.32200000000006</v>
      </c>
      <c r="N28" s="193"/>
      <c r="O28" s="241">
        <v>0.7</v>
      </c>
      <c r="P28" s="12"/>
      <c r="Q28" s="1612"/>
      <c r="R28" s="1612"/>
      <c r="S28" s="1625"/>
      <c r="T28" s="132"/>
    </row>
    <row r="29" spans="1:20" ht="13" x14ac:dyDescent="0.3">
      <c r="A29" s="1402">
        <v>2016</v>
      </c>
      <c r="B29" s="1251">
        <f t="shared" si="6"/>
        <v>13044.474</v>
      </c>
      <c r="C29" s="1249">
        <f t="shared" si="4"/>
        <v>12780.754000000001</v>
      </c>
      <c r="D29" s="196">
        <v>5020.3810000000003</v>
      </c>
      <c r="E29" s="198">
        <v>7421.1229999999996</v>
      </c>
      <c r="F29" s="198">
        <v>100</v>
      </c>
      <c r="G29" s="242">
        <v>239.25</v>
      </c>
      <c r="H29" s="243"/>
      <c r="I29" s="196"/>
      <c r="J29" s="196"/>
      <c r="K29" s="243">
        <f t="shared" si="5"/>
        <v>263.71999999999991</v>
      </c>
      <c r="L29" s="196">
        <v>52.088000000000008</v>
      </c>
      <c r="M29" s="198">
        <v>210.9319999999999</v>
      </c>
      <c r="N29" s="198"/>
      <c r="O29" s="244">
        <v>0.7</v>
      </c>
      <c r="P29" s="12"/>
      <c r="Q29" s="1612"/>
      <c r="R29" s="1625"/>
      <c r="S29" s="1625"/>
      <c r="T29" s="132"/>
    </row>
    <row r="30" spans="1:20" ht="13" x14ac:dyDescent="0.3">
      <c r="A30" s="1401">
        <v>2017</v>
      </c>
      <c r="B30" s="1235">
        <f t="shared" si="6"/>
        <v>13238.762000000001</v>
      </c>
      <c r="C30" s="306">
        <f t="shared" si="4"/>
        <v>12992.269</v>
      </c>
      <c r="D30" s="191">
        <v>5088.16</v>
      </c>
      <c r="E30" s="193">
        <v>7420.3750000000009</v>
      </c>
      <c r="F30" s="193">
        <v>244.48400000000001</v>
      </c>
      <c r="G30" s="132">
        <v>239.25000000000003</v>
      </c>
      <c r="H30" s="240"/>
      <c r="I30" s="191"/>
      <c r="J30" s="191"/>
      <c r="K30" s="240">
        <f t="shared" si="5"/>
        <v>246.49299999999977</v>
      </c>
      <c r="L30" s="191">
        <v>27.547000000000001</v>
      </c>
      <c r="M30" s="193">
        <v>218.24599999999978</v>
      </c>
      <c r="N30" s="193"/>
      <c r="O30" s="241">
        <v>0.7</v>
      </c>
      <c r="P30" s="12"/>
      <c r="Q30" s="1612"/>
      <c r="R30" s="1612"/>
      <c r="S30" s="1625"/>
      <c r="T30" s="132"/>
    </row>
    <row r="31" spans="1:20" ht="13" x14ac:dyDescent="0.3">
      <c r="A31" s="1402">
        <v>2018</v>
      </c>
      <c r="B31" s="1251">
        <f t="shared" si="6"/>
        <v>13649.929999999998</v>
      </c>
      <c r="C31" s="1249">
        <f t="shared" si="4"/>
        <v>13415.451999999999</v>
      </c>
      <c r="D31" s="196">
        <v>5204.2999999999993</v>
      </c>
      <c r="E31" s="198">
        <v>7555.1180000000004</v>
      </c>
      <c r="F31" s="198">
        <v>284.48400000000004</v>
      </c>
      <c r="G31" s="242">
        <v>371.55000000000007</v>
      </c>
      <c r="H31" s="243"/>
      <c r="I31" s="196"/>
      <c r="J31" s="196"/>
      <c r="K31" s="243">
        <f t="shared" si="5"/>
        <v>234.47799999999995</v>
      </c>
      <c r="L31" s="196">
        <v>28.161999999999999</v>
      </c>
      <c r="M31" s="198">
        <v>205.61599999999996</v>
      </c>
      <c r="N31" s="198"/>
      <c r="O31" s="244">
        <v>0.7</v>
      </c>
      <c r="P31" s="12"/>
      <c r="Q31" s="1612"/>
      <c r="R31" s="1612"/>
      <c r="S31" s="1625"/>
      <c r="T31" s="132"/>
    </row>
    <row r="32" spans="1:20" ht="13" x14ac:dyDescent="0.3">
      <c r="A32" s="1401">
        <v>2019</v>
      </c>
      <c r="B32" s="1235">
        <f t="shared" si="6"/>
        <v>13650.194999999998</v>
      </c>
      <c r="C32" s="306">
        <f t="shared" si="4"/>
        <v>13419.045999999998</v>
      </c>
      <c r="D32" s="191">
        <v>5246.1279999999988</v>
      </c>
      <c r="E32" s="193">
        <v>7512.3430000000008</v>
      </c>
      <c r="F32" s="193">
        <v>289.02499999999998</v>
      </c>
      <c r="G32" s="132">
        <v>371.55000000000018</v>
      </c>
      <c r="H32" s="240"/>
      <c r="I32" s="191"/>
      <c r="J32" s="191"/>
      <c r="K32" s="240">
        <f t="shared" si="5"/>
        <v>231.14899999999994</v>
      </c>
      <c r="L32" s="191">
        <v>20.173999999999996</v>
      </c>
      <c r="M32" s="193">
        <v>210.26599999999996</v>
      </c>
      <c r="N32" s="245">
        <v>8.9999999999999993E-3</v>
      </c>
      <c r="O32" s="241">
        <v>0.7</v>
      </c>
      <c r="P32" s="12"/>
      <c r="Q32" s="1612"/>
      <c r="R32" s="1612"/>
      <c r="S32" s="1625"/>
      <c r="T32" s="132"/>
    </row>
    <row r="33" spans="1:21" ht="13" x14ac:dyDescent="0.3">
      <c r="A33" s="1402">
        <v>2020</v>
      </c>
      <c r="B33" s="1251">
        <f t="shared" si="6"/>
        <v>13724.048000000001</v>
      </c>
      <c r="C33" s="1249">
        <f t="shared" si="4"/>
        <v>13491.409000000001</v>
      </c>
      <c r="D33" s="196">
        <v>5265.3059999999996</v>
      </c>
      <c r="E33" s="198">
        <v>7528.7880000000005</v>
      </c>
      <c r="F33" s="198">
        <v>289.02499999999998</v>
      </c>
      <c r="G33" s="242">
        <v>408.29000000000019</v>
      </c>
      <c r="H33" s="243"/>
      <c r="I33" s="196"/>
      <c r="J33" s="196"/>
      <c r="K33" s="243">
        <f t="shared" si="5"/>
        <v>232.63899999999995</v>
      </c>
      <c r="L33" s="196">
        <v>20.373999999999995</v>
      </c>
      <c r="M33" s="198">
        <v>211.55599999999998</v>
      </c>
      <c r="N33" s="246">
        <v>8.9999999999999993E-3</v>
      </c>
      <c r="O33" s="244">
        <v>0.7</v>
      </c>
      <c r="P33" s="12"/>
      <c r="Q33" s="1625"/>
      <c r="R33" s="1612"/>
      <c r="S33" s="1625"/>
      <c r="T33" s="132"/>
    </row>
    <row r="34" spans="1:21" ht="13" x14ac:dyDescent="0.3">
      <c r="A34" s="1401">
        <v>2021</v>
      </c>
      <c r="B34" s="1235">
        <f t="shared" ref="B34" si="7">+C34+K34</f>
        <v>13860.954999999989</v>
      </c>
      <c r="C34" s="306">
        <f t="shared" ref="C34" si="8">SUM(D34:G34)</f>
        <v>13620.116999999989</v>
      </c>
      <c r="D34" s="191">
        <v>5363.6970000000056</v>
      </c>
      <c r="E34" s="193">
        <v>7561.6299999999846</v>
      </c>
      <c r="F34" s="193">
        <v>286.50000000000023</v>
      </c>
      <c r="G34" s="132">
        <v>408.28999999999991</v>
      </c>
      <c r="H34" s="240"/>
      <c r="I34" s="191"/>
      <c r="J34" s="191"/>
      <c r="K34" s="240">
        <f>SUM(L34:O34)</f>
        <v>240.83799999999968</v>
      </c>
      <c r="L34" s="191">
        <v>20.174000000000031</v>
      </c>
      <c r="M34" s="193">
        <v>219.95399999999967</v>
      </c>
      <c r="N34" s="245">
        <v>0.01</v>
      </c>
      <c r="O34" s="241">
        <v>0.7</v>
      </c>
      <c r="P34" s="12"/>
      <c r="Q34" s="1625"/>
      <c r="R34" s="1612"/>
      <c r="S34" s="1625"/>
      <c r="T34" s="132"/>
    </row>
    <row r="35" spans="1:21" ht="13.5" thickBot="1" x14ac:dyDescent="0.35">
      <c r="A35" s="1403">
        <v>2022</v>
      </c>
      <c r="B35" s="1251">
        <f>+C35+K35</f>
        <v>14248.477999999997</v>
      </c>
      <c r="C35" s="1249">
        <f t="shared" si="4"/>
        <v>14005.613999999998</v>
      </c>
      <c r="D35" s="196">
        <v>5364.237000000001</v>
      </c>
      <c r="E35" s="198">
        <v>7816.5869999999977</v>
      </c>
      <c r="F35" s="198">
        <v>286.5</v>
      </c>
      <c r="G35" s="242">
        <v>538.29</v>
      </c>
      <c r="H35" s="243"/>
      <c r="I35" s="196"/>
      <c r="J35" s="196"/>
      <c r="K35" s="243">
        <f t="shared" si="5"/>
        <v>242.86399999999998</v>
      </c>
      <c r="L35" s="196">
        <v>20.173999999999996</v>
      </c>
      <c r="M35" s="198">
        <v>221.98</v>
      </c>
      <c r="N35" s="246">
        <v>0.01</v>
      </c>
      <c r="O35" s="244">
        <v>0.7</v>
      </c>
      <c r="P35" s="12"/>
      <c r="Q35" s="1625"/>
      <c r="R35" s="1612"/>
      <c r="S35" s="1625"/>
      <c r="T35" s="132"/>
    </row>
    <row r="36" spans="1:21" s="94" customFormat="1" ht="18.75" customHeight="1" x14ac:dyDescent="0.25">
      <c r="A36" s="813" t="s">
        <v>161</v>
      </c>
      <c r="B36" s="1236">
        <f t="shared" ref="B36:G36" si="9">(B35/B34)-1</f>
        <v>2.7957886018676881E-2</v>
      </c>
      <c r="C36" s="1167">
        <f t="shared" si="9"/>
        <v>2.8303501357588079E-2</v>
      </c>
      <c r="D36" s="815">
        <f t="shared" si="9"/>
        <v>1.0067682794079325E-4</v>
      </c>
      <c r="E36" s="815">
        <f t="shared" si="9"/>
        <v>3.371720118546051E-2</v>
      </c>
      <c r="F36" s="815">
        <f t="shared" si="9"/>
        <v>0</v>
      </c>
      <c r="G36" s="1186">
        <f t="shared" si="9"/>
        <v>0.3184011364471333</v>
      </c>
      <c r="H36" s="1178"/>
      <c r="I36" s="1178"/>
      <c r="J36" s="816"/>
      <c r="K36" s="814">
        <f>(K35/K34)-1</f>
        <v>8.4122937410222587E-3</v>
      </c>
      <c r="L36" s="1154">
        <f>(L35/L34)-1</f>
        <v>-1.7763568394002505E-15</v>
      </c>
      <c r="M36" s="1154">
        <f>(M35/M34)-1</f>
        <v>9.211016848978959E-3</v>
      </c>
      <c r="N36" s="1154">
        <f>(N35/N34)-1</f>
        <v>0</v>
      </c>
      <c r="O36" s="1164">
        <f>(O35/O34)-1</f>
        <v>0</v>
      </c>
      <c r="Q36" s="1608"/>
      <c r="R36" s="1608"/>
      <c r="S36" s="1608"/>
    </row>
    <row r="37" spans="1:21" s="94" customFormat="1" ht="18.75" customHeight="1" x14ac:dyDescent="0.25">
      <c r="A37" s="817" t="s">
        <v>162</v>
      </c>
      <c r="B37" s="1252">
        <f t="shared" ref="B37:G37" si="10">((B35/B30)^(1/5))-1</f>
        <v>1.4808789966253455E-2</v>
      </c>
      <c r="C37" s="795">
        <f t="shared" si="10"/>
        <v>1.5134130659988587E-2</v>
      </c>
      <c r="D37" s="819">
        <f t="shared" si="10"/>
        <v>1.062360919058003E-2</v>
      </c>
      <c r="E37" s="819">
        <f t="shared" si="10"/>
        <v>1.0457990342441548E-2</v>
      </c>
      <c r="F37" s="1187">
        <f t="shared" si="10"/>
        <v>3.222610165223494E-2</v>
      </c>
      <c r="G37" s="1188">
        <f t="shared" si="10"/>
        <v>0.17606919097871088</v>
      </c>
      <c r="H37" s="1179"/>
      <c r="I37" s="1179"/>
      <c r="J37" s="820"/>
      <c r="K37" s="831">
        <f>((K35/K30)^(1/5))-1</f>
        <v>-2.9620005206703048E-3</v>
      </c>
      <c r="L37" s="796">
        <f>((L35/L30)^(1/5))-1</f>
        <v>-6.0398846006654905E-2</v>
      </c>
      <c r="M37" s="1181">
        <f>((M35/M30)^(1/5))-1</f>
        <v>3.3986465022015633E-3</v>
      </c>
      <c r="N37" s="796"/>
      <c r="O37" s="798">
        <f>((O35/O30)^(1/5))-1</f>
        <v>0</v>
      </c>
      <c r="P37" s="821"/>
      <c r="Q37" s="1626"/>
      <c r="R37" s="1626"/>
      <c r="S37" s="1626"/>
      <c r="U37" s="822"/>
    </row>
    <row r="38" spans="1:21" s="94" customFormat="1" ht="18.75" customHeight="1" x14ac:dyDescent="0.25">
      <c r="A38" s="823" t="s">
        <v>163</v>
      </c>
      <c r="B38" s="1238">
        <f>(B35/B25)-1</f>
        <v>0.72350106221342192</v>
      </c>
      <c r="C38" s="1172">
        <f>(C35/C25)-1</f>
        <v>0.72988838169953407</v>
      </c>
      <c r="D38" s="825">
        <f>(D35/D25)-1</f>
        <v>0.60897778335009556</v>
      </c>
      <c r="E38" s="825">
        <f>(E35/E25)-1</f>
        <v>0.66938619212047334</v>
      </c>
      <c r="F38" s="1189">
        <f>(F35/F25)-1</f>
        <v>2.5812499999999998</v>
      </c>
      <c r="G38" s="1190"/>
      <c r="H38" s="1179"/>
      <c r="I38" s="1179"/>
      <c r="J38" s="820"/>
      <c r="K38" s="824">
        <f>(K35/K25)-1</f>
        <v>0.42093869574883835</v>
      </c>
      <c r="L38" s="1158">
        <f>(L35/L25)-1</f>
        <v>-0.56974983471603147</v>
      </c>
      <c r="M38" s="1158">
        <f>(M35/M25)-1</f>
        <v>0.79990107760542917</v>
      </c>
      <c r="N38" s="1158"/>
      <c r="O38" s="1159">
        <f>(O35/O25)-1</f>
        <v>0</v>
      </c>
      <c r="P38" s="822"/>
      <c r="Q38" s="1627"/>
      <c r="R38" s="1627"/>
      <c r="S38" s="1627"/>
      <c r="U38" s="822"/>
    </row>
    <row r="39" spans="1:21" s="94" customFormat="1" ht="18.75" customHeight="1" thickBot="1" x14ac:dyDescent="0.3">
      <c r="A39" s="826" t="s">
        <v>164</v>
      </c>
      <c r="B39" s="1239">
        <f>((B35/B25)^(1/10))-1</f>
        <v>5.5944653369520481E-2</v>
      </c>
      <c r="C39" s="1231">
        <f>((C35/C25)^(1/10))-1</f>
        <v>5.6335336858652774E-2</v>
      </c>
      <c r="D39" s="828">
        <f>((D35/D25)^(1/10))-1</f>
        <v>4.8709023220889325E-2</v>
      </c>
      <c r="E39" s="828">
        <f>((E35/E25)^(1/10))-1</f>
        <v>5.2581376498413768E-2</v>
      </c>
      <c r="F39" s="1191">
        <f>((F35/F25)^(1/10))-1</f>
        <v>0.13606574205083644</v>
      </c>
      <c r="G39" s="1192"/>
      <c r="H39" s="1179"/>
      <c r="I39" s="1179"/>
      <c r="J39" s="829"/>
      <c r="K39" s="827">
        <f>((K35/K25)^(1/10))-1</f>
        <v>3.5756182079190513E-2</v>
      </c>
      <c r="L39" s="1162">
        <f>((L35/L25)^(1/10))-1</f>
        <v>-8.0880236706670217E-2</v>
      </c>
      <c r="M39" s="1162">
        <f>((M35/M25)^(1/10))-1</f>
        <v>6.0534653069652666E-2</v>
      </c>
      <c r="N39" s="1162"/>
      <c r="O39" s="1163">
        <f>((O35/O25)^(1/10))-1</f>
        <v>0</v>
      </c>
      <c r="Q39" s="1608"/>
      <c r="R39" s="1627"/>
      <c r="S39" s="1627"/>
    </row>
    <row r="40" spans="1:21" ht="13" x14ac:dyDescent="0.3">
      <c r="A40" s="22"/>
      <c r="B40" s="248"/>
      <c r="C40" s="248"/>
      <c r="H40" s="249"/>
      <c r="I40" s="250"/>
      <c r="J40" s="250"/>
      <c r="K40" s="248"/>
      <c r="R40" s="1612"/>
      <c r="S40" s="1612"/>
    </row>
    <row r="41" spans="1:21" x14ac:dyDescent="0.25">
      <c r="A41" s="203"/>
      <c r="Q41" s="1603">
        <v>1995</v>
      </c>
      <c r="R41" s="1612">
        <f>+C6+H6</f>
        <v>2838.6350000000002</v>
      </c>
      <c r="S41" s="1612">
        <f>+K6</f>
        <v>347.06500000000005</v>
      </c>
    </row>
    <row r="42" spans="1:21" x14ac:dyDescent="0.25">
      <c r="Q42" s="1603">
        <v>2000</v>
      </c>
      <c r="R42" s="1612">
        <f>+C11+H11</f>
        <v>4789.9960000000001</v>
      </c>
      <c r="S42" s="1612">
        <f>+K11</f>
        <v>358.85500000000002</v>
      </c>
    </row>
    <row r="43" spans="1:21" x14ac:dyDescent="0.25">
      <c r="Q43" s="1603">
        <v>2005</v>
      </c>
      <c r="R43" s="1612">
        <f>+C18</f>
        <v>5014.1686</v>
      </c>
      <c r="S43" s="1612">
        <f>+K18</f>
        <v>206.46499999999986</v>
      </c>
    </row>
    <row r="44" spans="1:21" x14ac:dyDescent="0.25">
      <c r="Q44" s="1603">
        <v>2010</v>
      </c>
      <c r="R44" s="1612">
        <v>7131.0879999999997</v>
      </c>
      <c r="S44" s="1612">
        <v>178.07799999999995</v>
      </c>
    </row>
    <row r="45" spans="1:21" x14ac:dyDescent="0.25">
      <c r="Q45" s="1603">
        <v>2011</v>
      </c>
      <c r="R45" s="1612">
        <v>7142.3890000000001</v>
      </c>
      <c r="S45" s="1612">
        <v>171.84800000000001</v>
      </c>
    </row>
    <row r="46" spans="1:21" x14ac:dyDescent="0.25">
      <c r="Q46" s="1603">
        <v>2012</v>
      </c>
      <c r="R46" s="1612">
        <v>8096.2529999999997</v>
      </c>
      <c r="S46" s="1612">
        <v>170.91800000000001</v>
      </c>
    </row>
    <row r="47" spans="1:21" x14ac:dyDescent="0.25">
      <c r="Q47" s="1603">
        <v>2013</v>
      </c>
      <c r="R47" s="1612">
        <v>9441.601999999999</v>
      </c>
      <c r="S47" s="1612">
        <v>193.02899999999994</v>
      </c>
    </row>
    <row r="48" spans="1:21" x14ac:dyDescent="0.25">
      <c r="Q48" s="1603">
        <v>2014</v>
      </c>
      <c r="R48" s="1612">
        <v>9517.3529999999992</v>
      </c>
      <c r="S48" s="1612">
        <v>221.89499999999992</v>
      </c>
    </row>
    <row r="49" spans="17:19" x14ac:dyDescent="0.25">
      <c r="Q49" s="1603">
        <v>2015</v>
      </c>
      <c r="R49" s="1612">
        <v>10474.068000000001</v>
      </c>
      <c r="S49" s="1612">
        <v>243.64500000000007</v>
      </c>
    </row>
    <row r="50" spans="17:19" x14ac:dyDescent="0.25">
      <c r="Q50" s="1603">
        <v>2016</v>
      </c>
      <c r="R50" s="1612">
        <v>12780.754000000001</v>
      </c>
      <c r="S50" s="1612">
        <v>263.71999999999991</v>
      </c>
    </row>
    <row r="51" spans="17:19" x14ac:dyDescent="0.25">
      <c r="Q51" s="1603">
        <v>2017</v>
      </c>
      <c r="R51" s="1612">
        <v>12992.269</v>
      </c>
      <c r="S51" s="1612">
        <v>246.49299999999977</v>
      </c>
    </row>
    <row r="52" spans="17:19" x14ac:dyDescent="0.25">
      <c r="Q52" s="1603">
        <v>2018</v>
      </c>
      <c r="R52" s="1612">
        <v>13415.451999999999</v>
      </c>
      <c r="S52" s="1612">
        <v>234.47799999999995</v>
      </c>
    </row>
    <row r="53" spans="17:19" x14ac:dyDescent="0.25">
      <c r="Q53" s="1603">
        <v>2019</v>
      </c>
      <c r="R53" s="1612">
        <v>13419.045999999998</v>
      </c>
      <c r="S53" s="1612">
        <v>231.14899999999994</v>
      </c>
    </row>
    <row r="54" spans="17:19" x14ac:dyDescent="0.25">
      <c r="Q54" s="1603">
        <v>2020</v>
      </c>
      <c r="R54" s="1612">
        <v>13491.409000000001</v>
      </c>
      <c r="S54" s="1612">
        <v>232.63899999999995</v>
      </c>
    </row>
    <row r="55" spans="17:19" x14ac:dyDescent="0.25">
      <c r="Q55" s="1603">
        <v>2021</v>
      </c>
      <c r="R55" s="1612">
        <v>13620.116999999989</v>
      </c>
      <c r="S55" s="1612">
        <v>240.83799999999968</v>
      </c>
    </row>
    <row r="56" spans="17:19" x14ac:dyDescent="0.25">
      <c r="Q56" s="1603">
        <v>2022</v>
      </c>
      <c r="R56" s="1612">
        <v>14005.613999999998</v>
      </c>
      <c r="S56" s="1612">
        <v>242.86399999999998</v>
      </c>
    </row>
    <row r="57" spans="17:19" x14ac:dyDescent="0.25">
      <c r="R57" s="1612"/>
      <c r="S57" s="1612"/>
    </row>
    <row r="58" spans="17:19" x14ac:dyDescent="0.25">
      <c r="R58" s="1612"/>
      <c r="S58" s="1612"/>
    </row>
    <row r="59" spans="17:19" x14ac:dyDescent="0.25">
      <c r="R59" s="1612"/>
      <c r="S59" s="1612"/>
    </row>
    <row r="60" spans="17:19" x14ac:dyDescent="0.25">
      <c r="R60" s="1612"/>
      <c r="S60" s="1612"/>
    </row>
    <row r="61" spans="17:19" x14ac:dyDescent="0.25">
      <c r="R61" s="1612"/>
      <c r="S61" s="1612"/>
    </row>
    <row r="62" spans="17:19" x14ac:dyDescent="0.25">
      <c r="R62" s="1612"/>
      <c r="S62" s="1612"/>
    </row>
    <row r="65" spans="1:21" ht="15.5" x14ac:dyDescent="0.35">
      <c r="A65" s="70" t="s">
        <v>195</v>
      </c>
    </row>
    <row r="66" spans="1:21" ht="13" thickBot="1" x14ac:dyDescent="0.3">
      <c r="A66" s="102"/>
      <c r="S66" s="1605"/>
      <c r="T66" s="6"/>
      <c r="U66" s="6"/>
    </row>
    <row r="67" spans="1:21" ht="34.5" customHeight="1" thickBot="1" x14ac:dyDescent="0.3">
      <c r="A67" s="1443" t="s">
        <v>39</v>
      </c>
      <c r="B67" s="1482" t="s">
        <v>53</v>
      </c>
      <c r="C67" s="1477" t="s">
        <v>87</v>
      </c>
      <c r="D67" s="1477"/>
      <c r="E67" s="1478"/>
      <c r="F67" s="1479" t="s">
        <v>88</v>
      </c>
      <c r="G67" s="1477"/>
      <c r="H67" s="1478"/>
      <c r="I67" s="1480" t="s">
        <v>102</v>
      </c>
      <c r="J67" s="1480"/>
      <c r="K67" s="1481"/>
      <c r="M67" s="251"/>
      <c r="N67" s="251"/>
      <c r="S67" s="1605"/>
      <c r="T67" s="6"/>
      <c r="U67" s="6"/>
    </row>
    <row r="68" spans="1:21" ht="13.5" thickBot="1" x14ac:dyDescent="0.3">
      <c r="A68" s="1484"/>
      <c r="B68" s="1483"/>
      <c r="C68" s="1049" t="s">
        <v>53</v>
      </c>
      <c r="D68" s="1050" t="s">
        <v>90</v>
      </c>
      <c r="E68" s="1048" t="s">
        <v>91</v>
      </c>
      <c r="F68" s="1047" t="s">
        <v>53</v>
      </c>
      <c r="G68" s="1051" t="s">
        <v>90</v>
      </c>
      <c r="H68" s="1048" t="s">
        <v>91</v>
      </c>
      <c r="I68" s="1049" t="s">
        <v>53</v>
      </c>
      <c r="J68" s="1051" t="s">
        <v>90</v>
      </c>
      <c r="K68" s="1048" t="s">
        <v>91</v>
      </c>
    </row>
    <row r="69" spans="1:21" ht="13" x14ac:dyDescent="0.3">
      <c r="A69" s="1399">
        <v>1995</v>
      </c>
      <c r="B69" s="1232">
        <f t="shared" ref="B69:B74" si="11">+C69+F69+I69</f>
        <v>1276</v>
      </c>
      <c r="C69" s="299">
        <f t="shared" ref="C69:C74" si="12">SUM(D69:E69)</f>
        <v>380.07</v>
      </c>
      <c r="D69" s="147">
        <v>196.31</v>
      </c>
      <c r="E69" s="181">
        <v>183.76</v>
      </c>
      <c r="F69" s="219">
        <f t="shared" ref="F69:F74" si="13">SUM(G69:H69)</f>
        <v>230.02</v>
      </c>
      <c r="G69" s="147">
        <v>0</v>
      </c>
      <c r="H69" s="252">
        <v>230.02</v>
      </c>
      <c r="I69" s="219">
        <f t="shared" ref="I69:I74" si="14">SUM(J69:O69)</f>
        <v>665.91</v>
      </c>
      <c r="J69" s="147">
        <f>72.66+20.4+0.03</f>
        <v>93.09</v>
      </c>
      <c r="K69" s="252">
        <f>197.266+357.6+17.954</f>
        <v>572.81999999999994</v>
      </c>
      <c r="O69" s="253"/>
      <c r="P69" s="132"/>
      <c r="Q69" s="1612"/>
      <c r="R69" s="1628"/>
      <c r="T69" s="12"/>
    </row>
    <row r="70" spans="1:21" ht="13" x14ac:dyDescent="0.3">
      <c r="A70" s="1400">
        <v>1996</v>
      </c>
      <c r="B70" s="1233">
        <f t="shared" si="11"/>
        <v>1309.7239999999999</v>
      </c>
      <c r="C70" s="304">
        <f t="shared" si="12"/>
        <v>383.87</v>
      </c>
      <c r="D70" s="177">
        <v>196.31</v>
      </c>
      <c r="E70" s="176">
        <v>187.56</v>
      </c>
      <c r="F70" s="223">
        <f t="shared" si="13"/>
        <v>230.02</v>
      </c>
      <c r="G70" s="177">
        <v>0</v>
      </c>
      <c r="H70" s="254">
        <v>230.02</v>
      </c>
      <c r="I70" s="223">
        <f t="shared" si="14"/>
        <v>695.83399999999995</v>
      </c>
      <c r="J70" s="177">
        <f>96.23</f>
        <v>96.23</v>
      </c>
      <c r="K70" s="254">
        <v>599.60399999999993</v>
      </c>
      <c r="O70" s="253"/>
      <c r="P70" s="132"/>
      <c r="Q70" s="1612"/>
      <c r="R70" s="1628"/>
    </row>
    <row r="71" spans="1:21" ht="13" x14ac:dyDescent="0.3">
      <c r="A71" s="1399">
        <v>1997</v>
      </c>
      <c r="B71" s="1232">
        <f t="shared" si="11"/>
        <v>867.47699999999986</v>
      </c>
      <c r="C71" s="299">
        <f t="shared" si="12"/>
        <v>174.036</v>
      </c>
      <c r="D71" s="147">
        <v>12.91</v>
      </c>
      <c r="E71" s="181">
        <v>161.126</v>
      </c>
      <c r="F71" s="219">
        <f t="shared" si="13"/>
        <v>69.38</v>
      </c>
      <c r="G71" s="147">
        <v>0</v>
      </c>
      <c r="H71" s="252">
        <v>69.38</v>
      </c>
      <c r="I71" s="219">
        <f t="shared" si="14"/>
        <v>624.06099999999992</v>
      </c>
      <c r="J71" s="147">
        <v>88.564999999999998</v>
      </c>
      <c r="K71" s="252">
        <v>535.49599999999998</v>
      </c>
      <c r="O71" s="132"/>
      <c r="P71" s="132"/>
      <c r="Q71" s="1612"/>
      <c r="R71" s="1628"/>
    </row>
    <row r="72" spans="1:21" ht="13" x14ac:dyDescent="0.3">
      <c r="A72" s="1400">
        <v>1998</v>
      </c>
      <c r="B72" s="1233">
        <f t="shared" si="11"/>
        <v>883.01200000000006</v>
      </c>
      <c r="C72" s="304">
        <f t="shared" si="12"/>
        <v>130.136</v>
      </c>
      <c r="D72" s="177">
        <v>12.91</v>
      </c>
      <c r="E72" s="176">
        <v>117.226</v>
      </c>
      <c r="F72" s="223">
        <f t="shared" si="13"/>
        <v>50.36</v>
      </c>
      <c r="G72" s="177">
        <v>0</v>
      </c>
      <c r="H72" s="254">
        <v>50.36</v>
      </c>
      <c r="I72" s="223">
        <f t="shared" si="14"/>
        <v>702.51600000000008</v>
      </c>
      <c r="J72" s="177">
        <v>91.734999999999999</v>
      </c>
      <c r="K72" s="254">
        <v>610.78100000000006</v>
      </c>
      <c r="O72" s="132"/>
      <c r="P72" s="132"/>
      <c r="Q72" s="1612"/>
      <c r="R72" s="1628"/>
    </row>
    <row r="73" spans="1:21" ht="13" x14ac:dyDescent="0.3">
      <c r="A73" s="1399">
        <v>1999</v>
      </c>
      <c r="B73" s="1232">
        <f t="shared" si="11"/>
        <v>914.18499999999995</v>
      </c>
      <c r="C73" s="299">
        <f t="shared" si="12"/>
        <v>86.16</v>
      </c>
      <c r="D73" s="147">
        <v>12.91</v>
      </c>
      <c r="E73" s="181">
        <v>73.25</v>
      </c>
      <c r="F73" s="219">
        <f t="shared" si="13"/>
        <v>47.75</v>
      </c>
      <c r="G73" s="147">
        <v>0</v>
      </c>
      <c r="H73" s="252">
        <v>47.75</v>
      </c>
      <c r="I73" s="219">
        <f t="shared" si="14"/>
        <v>780.27499999999998</v>
      </c>
      <c r="J73" s="147">
        <v>73.240999999999985</v>
      </c>
      <c r="K73" s="252">
        <v>707.03399999999999</v>
      </c>
      <c r="O73" s="132"/>
      <c r="P73" s="132"/>
      <c r="Q73" s="1612"/>
      <c r="R73" s="1628"/>
    </row>
    <row r="74" spans="1:21" ht="13" x14ac:dyDescent="0.3">
      <c r="A74" s="1400">
        <v>2000</v>
      </c>
      <c r="B74" s="1233">
        <f t="shared" si="11"/>
        <v>917.33800000000008</v>
      </c>
      <c r="C74" s="304">
        <f t="shared" si="12"/>
        <v>82.47</v>
      </c>
      <c r="D74" s="177">
        <v>12.91</v>
      </c>
      <c r="E74" s="176">
        <v>69.56</v>
      </c>
      <c r="F74" s="223">
        <f t="shared" si="13"/>
        <v>61.15</v>
      </c>
      <c r="G74" s="177">
        <v>0</v>
      </c>
      <c r="H74" s="254">
        <v>61.15</v>
      </c>
      <c r="I74" s="223">
        <f t="shared" si="14"/>
        <v>773.71800000000007</v>
      </c>
      <c r="J74" s="177">
        <v>64.655000000000001</v>
      </c>
      <c r="K74" s="254">
        <v>709.0630000000001</v>
      </c>
      <c r="M74" s="132"/>
      <c r="N74" s="132"/>
      <c r="O74" s="132"/>
      <c r="P74" s="132"/>
      <c r="Q74" s="1612"/>
      <c r="R74" s="1628"/>
    </row>
    <row r="75" spans="1:21" ht="13" x14ac:dyDescent="0.3">
      <c r="A75" s="1400"/>
      <c r="B75" s="1234"/>
      <c r="C75" s="1475" t="s">
        <v>93</v>
      </c>
      <c r="D75" s="1475"/>
      <c r="E75" s="1475"/>
      <c r="F75" s="234"/>
      <c r="G75" s="233"/>
      <c r="H75" s="255"/>
      <c r="I75" s="234"/>
      <c r="J75" s="233"/>
      <c r="K75" s="255"/>
      <c r="O75" s="24"/>
      <c r="Q75" s="1612"/>
      <c r="R75" s="1628"/>
    </row>
    <row r="76" spans="1:21" ht="13" x14ac:dyDescent="0.3">
      <c r="A76" s="1400">
        <v>2001</v>
      </c>
      <c r="B76" s="1233">
        <f t="shared" ref="B76:B97" si="15">+C76+I76</f>
        <v>855.87900000000002</v>
      </c>
      <c r="C76" s="304">
        <f t="shared" ref="C76:C97" si="16">SUM(D76:E76)</f>
        <v>134.809</v>
      </c>
      <c r="D76" s="176">
        <v>12.91</v>
      </c>
      <c r="E76" s="256">
        <v>121.89899999999999</v>
      </c>
      <c r="F76" s="223"/>
      <c r="G76" s="176"/>
      <c r="H76" s="254"/>
      <c r="I76" s="223">
        <f t="shared" ref="I76:I97" si="17">SUM(J76:O76)</f>
        <v>721.07</v>
      </c>
      <c r="J76" s="176">
        <v>63.984999999999999</v>
      </c>
      <c r="K76" s="254">
        <v>657.08500000000004</v>
      </c>
      <c r="O76" s="132"/>
      <c r="Q76" s="1612"/>
      <c r="R76" s="1628"/>
    </row>
    <row r="77" spans="1:21" ht="13" x14ac:dyDescent="0.3">
      <c r="A77" s="1399">
        <v>2002</v>
      </c>
      <c r="B77" s="1232">
        <f t="shared" si="15"/>
        <v>867.48199999999974</v>
      </c>
      <c r="C77" s="299">
        <f t="shared" si="16"/>
        <v>131.839</v>
      </c>
      <c r="D77" s="181">
        <v>12.91</v>
      </c>
      <c r="E77" s="181">
        <v>118.92899999999999</v>
      </c>
      <c r="F77" s="219"/>
      <c r="G77" s="181"/>
      <c r="H77" s="252"/>
      <c r="I77" s="219">
        <f t="shared" si="17"/>
        <v>735.6429999999998</v>
      </c>
      <c r="J77" s="181">
        <v>65.958999999999975</v>
      </c>
      <c r="K77" s="252">
        <v>669.68399999999986</v>
      </c>
      <c r="O77" s="132"/>
      <c r="Q77" s="1612"/>
    </row>
    <row r="78" spans="1:21" ht="13" x14ac:dyDescent="0.3">
      <c r="A78" s="1400">
        <v>2003</v>
      </c>
      <c r="B78" s="1233">
        <f t="shared" si="15"/>
        <v>874.96</v>
      </c>
      <c r="C78" s="304">
        <f t="shared" si="16"/>
        <v>131.74900000000002</v>
      </c>
      <c r="D78" s="176">
        <v>12.91</v>
      </c>
      <c r="E78" s="176">
        <v>118.83900000000001</v>
      </c>
      <c r="F78" s="223"/>
      <c r="G78" s="176"/>
      <c r="H78" s="254"/>
      <c r="I78" s="223">
        <f t="shared" si="17"/>
        <v>743.21100000000001</v>
      </c>
      <c r="J78" s="176">
        <v>72.575999999999993</v>
      </c>
      <c r="K78" s="254">
        <v>670.63499999999999</v>
      </c>
      <c r="O78" s="132"/>
      <c r="Q78" s="1612"/>
    </row>
    <row r="79" spans="1:21" ht="13" x14ac:dyDescent="0.3">
      <c r="A79" s="1399">
        <v>2004</v>
      </c>
      <c r="B79" s="1232">
        <f t="shared" si="15"/>
        <v>920.29700000000003</v>
      </c>
      <c r="C79" s="299">
        <f t="shared" si="16"/>
        <v>161.499</v>
      </c>
      <c r="D79" s="181">
        <v>12.91</v>
      </c>
      <c r="E79" s="181">
        <v>148.589</v>
      </c>
      <c r="F79" s="219"/>
      <c r="G79" s="181"/>
      <c r="H79" s="252"/>
      <c r="I79" s="219">
        <f t="shared" si="17"/>
        <v>758.798</v>
      </c>
      <c r="J79" s="181">
        <v>73.897999999999968</v>
      </c>
      <c r="K79" s="252">
        <v>684.9</v>
      </c>
      <c r="O79" s="132"/>
      <c r="Q79" s="1612"/>
    </row>
    <row r="80" spans="1:21" ht="13" x14ac:dyDescent="0.3">
      <c r="A80" s="1400">
        <v>2005</v>
      </c>
      <c r="B80" s="1233">
        <f t="shared" si="15"/>
        <v>979.89199999999994</v>
      </c>
      <c r="C80" s="304">
        <f t="shared" si="16"/>
        <v>179.03300000000002</v>
      </c>
      <c r="D80" s="176">
        <v>14.114000000000001</v>
      </c>
      <c r="E80" s="176">
        <v>164.91900000000001</v>
      </c>
      <c r="F80" s="223"/>
      <c r="G80" s="176"/>
      <c r="H80" s="254"/>
      <c r="I80" s="223">
        <f t="shared" si="17"/>
        <v>800.85899999999992</v>
      </c>
      <c r="J80" s="176">
        <v>73.747999999999976</v>
      </c>
      <c r="K80" s="254">
        <v>727.11099999999999</v>
      </c>
      <c r="O80" s="132"/>
      <c r="Q80" s="1612"/>
    </row>
    <row r="81" spans="1:17" ht="13" x14ac:dyDescent="0.3">
      <c r="A81" s="1399">
        <v>2006</v>
      </c>
      <c r="B81" s="1232">
        <f t="shared" si="15"/>
        <v>1033.0019999999997</v>
      </c>
      <c r="C81" s="299">
        <f>SUM(D81:E81)</f>
        <v>185.02</v>
      </c>
      <c r="D81" s="181">
        <v>14.114000000000001</v>
      </c>
      <c r="E81" s="181">
        <v>170.90600000000001</v>
      </c>
      <c r="F81" s="219"/>
      <c r="G81" s="181"/>
      <c r="H81" s="252"/>
      <c r="I81" s="219">
        <f t="shared" si="17"/>
        <v>847.98199999999974</v>
      </c>
      <c r="J81" s="181">
        <v>74.087999999999994</v>
      </c>
      <c r="K81" s="252">
        <v>773.89399999999978</v>
      </c>
      <c r="O81" s="132"/>
      <c r="Q81" s="1612"/>
    </row>
    <row r="82" spans="1:17" ht="13" x14ac:dyDescent="0.3">
      <c r="A82" s="1400">
        <v>2007</v>
      </c>
      <c r="B82" s="1233">
        <f t="shared" si="15"/>
        <v>1037.7919999999999</v>
      </c>
      <c r="C82" s="304">
        <f t="shared" si="16"/>
        <v>182.75000000000003</v>
      </c>
      <c r="D82" s="176">
        <v>13.704000000000001</v>
      </c>
      <c r="E82" s="176">
        <v>169.04600000000002</v>
      </c>
      <c r="F82" s="223"/>
      <c r="G82" s="176"/>
      <c r="H82" s="254"/>
      <c r="I82" s="223">
        <f t="shared" si="17"/>
        <v>855.04199999999992</v>
      </c>
      <c r="J82" s="176">
        <v>74.753</v>
      </c>
      <c r="K82" s="254">
        <v>780.28899999999987</v>
      </c>
      <c r="O82" s="132"/>
      <c r="Q82" s="1612"/>
    </row>
    <row r="83" spans="1:17" ht="13" x14ac:dyDescent="0.3">
      <c r="A83" s="1399">
        <v>2008</v>
      </c>
      <c r="B83" s="1232">
        <f t="shared" si="15"/>
        <v>1160.9520000000007</v>
      </c>
      <c r="C83" s="299">
        <f t="shared" si="16"/>
        <v>182.16</v>
      </c>
      <c r="D83" s="181">
        <v>13.704000000000001</v>
      </c>
      <c r="E83" s="181">
        <v>168.45599999999999</v>
      </c>
      <c r="F83" s="219"/>
      <c r="G83" s="181"/>
      <c r="H83" s="252"/>
      <c r="I83" s="219">
        <f t="shared" si="17"/>
        <v>978.79200000000071</v>
      </c>
      <c r="J83" s="181">
        <v>76.283999999999978</v>
      </c>
      <c r="K83" s="252">
        <v>902.50800000000072</v>
      </c>
      <c r="O83" s="132"/>
      <c r="Q83" s="1612"/>
    </row>
    <row r="84" spans="1:17" ht="13" x14ac:dyDescent="0.3">
      <c r="A84" s="1400">
        <v>2009</v>
      </c>
      <c r="B84" s="1233">
        <f t="shared" si="15"/>
        <v>1262.9800000000002</v>
      </c>
      <c r="C84" s="304">
        <f t="shared" si="16"/>
        <v>187.75500000000005</v>
      </c>
      <c r="D84" s="176">
        <v>13.704000000000001</v>
      </c>
      <c r="E84" s="176">
        <v>174.05100000000004</v>
      </c>
      <c r="F84" s="223"/>
      <c r="G84" s="176"/>
      <c r="H84" s="254"/>
      <c r="I84" s="223">
        <f t="shared" si="17"/>
        <v>1075.2250000000001</v>
      </c>
      <c r="J84" s="176">
        <v>80.633999999999986</v>
      </c>
      <c r="K84" s="254">
        <v>994.59100000000012</v>
      </c>
      <c r="O84" s="132"/>
      <c r="Q84" s="1612"/>
    </row>
    <row r="85" spans="1:17" ht="13" x14ac:dyDescent="0.3">
      <c r="A85" s="1399">
        <v>2010</v>
      </c>
      <c r="B85" s="1232">
        <f t="shared" si="15"/>
        <v>1303.3909999999998</v>
      </c>
      <c r="C85" s="299">
        <f t="shared" si="16"/>
        <v>200.02500000000001</v>
      </c>
      <c r="D85" s="181">
        <v>13.704000000000001</v>
      </c>
      <c r="E85" s="181">
        <v>186.321</v>
      </c>
      <c r="F85" s="219"/>
      <c r="G85" s="181"/>
      <c r="H85" s="252"/>
      <c r="I85" s="219">
        <f t="shared" si="17"/>
        <v>1103.3659999999998</v>
      </c>
      <c r="J85" s="181">
        <v>79.103000000000009</v>
      </c>
      <c r="K85" s="252">
        <v>1024.2629999999997</v>
      </c>
      <c r="O85" s="132"/>
      <c r="Q85" s="1612"/>
    </row>
    <row r="86" spans="1:17" ht="13" x14ac:dyDescent="0.3">
      <c r="A86" s="1404">
        <v>2011</v>
      </c>
      <c r="B86" s="1235">
        <f t="shared" si="15"/>
        <v>1377.087</v>
      </c>
      <c r="C86" s="306">
        <f t="shared" si="16"/>
        <v>199.05100000000002</v>
      </c>
      <c r="D86" s="191">
        <v>12.5</v>
      </c>
      <c r="E86" s="191">
        <v>186.55100000000002</v>
      </c>
      <c r="F86" s="240"/>
      <c r="G86" s="191"/>
      <c r="H86" s="257"/>
      <c r="I86" s="240">
        <f t="shared" si="17"/>
        <v>1178.0360000000001</v>
      </c>
      <c r="J86" s="191">
        <v>81.393000000000001</v>
      </c>
      <c r="K86" s="257">
        <v>1096.643</v>
      </c>
      <c r="O86" s="132"/>
      <c r="Q86" s="1612"/>
    </row>
    <row r="87" spans="1:17" ht="13" x14ac:dyDescent="0.3">
      <c r="A87" s="1399">
        <v>2012</v>
      </c>
      <c r="B87" s="1232">
        <f t="shared" si="15"/>
        <v>1432.2640000000001</v>
      </c>
      <c r="C87" s="299">
        <f t="shared" si="16"/>
        <v>195.82100000000003</v>
      </c>
      <c r="D87" s="181">
        <v>12.9</v>
      </c>
      <c r="E87" s="181">
        <v>182.92100000000002</v>
      </c>
      <c r="F87" s="219"/>
      <c r="G87" s="181"/>
      <c r="H87" s="252"/>
      <c r="I87" s="219">
        <f t="shared" si="17"/>
        <v>1236.443</v>
      </c>
      <c r="J87" s="181">
        <v>90.593999999999994</v>
      </c>
      <c r="K87" s="252">
        <v>1145.8489999999999</v>
      </c>
      <c r="O87" s="132"/>
      <c r="P87" s="12"/>
      <c r="Q87" s="1612"/>
    </row>
    <row r="88" spans="1:17" ht="13" x14ac:dyDescent="0.3">
      <c r="A88" s="1404">
        <v>2013</v>
      </c>
      <c r="B88" s="1235">
        <f t="shared" si="15"/>
        <v>1416.0879999999997</v>
      </c>
      <c r="C88" s="306">
        <f t="shared" si="16"/>
        <v>192.32100000000003</v>
      </c>
      <c r="D88" s="191">
        <v>12.899999999999999</v>
      </c>
      <c r="E88" s="191">
        <v>179.42100000000002</v>
      </c>
      <c r="F88" s="240"/>
      <c r="G88" s="191"/>
      <c r="H88" s="257"/>
      <c r="I88" s="240">
        <f t="shared" si="17"/>
        <v>1223.7669999999998</v>
      </c>
      <c r="J88" s="191">
        <v>92.735000000000014</v>
      </c>
      <c r="K88" s="257">
        <v>1131.0319999999999</v>
      </c>
      <c r="O88" s="132"/>
      <c r="Q88" s="1612"/>
    </row>
    <row r="89" spans="1:17" ht="13" x14ac:dyDescent="0.3">
      <c r="A89" s="1399">
        <v>2014</v>
      </c>
      <c r="B89" s="1232">
        <f t="shared" si="15"/>
        <v>1463.3709999999999</v>
      </c>
      <c r="C89" s="299">
        <f t="shared" si="16"/>
        <v>190.227</v>
      </c>
      <c r="D89" s="181">
        <v>12.899999999999999</v>
      </c>
      <c r="E89" s="181">
        <v>177.327</v>
      </c>
      <c r="F89" s="219"/>
      <c r="G89" s="181"/>
      <c r="H89" s="252"/>
      <c r="I89" s="219">
        <f t="shared" si="17"/>
        <v>1273.1439999999998</v>
      </c>
      <c r="J89" s="181">
        <v>90.695999999999998</v>
      </c>
      <c r="K89" s="252">
        <v>1182.4479999999999</v>
      </c>
      <c r="O89" s="132"/>
      <c r="Q89" s="1612"/>
    </row>
    <row r="90" spans="1:17" ht="13" x14ac:dyDescent="0.3">
      <c r="A90" s="1404">
        <v>2015</v>
      </c>
      <c r="B90" s="1235">
        <f t="shared" si="15"/>
        <v>1470.9139999999998</v>
      </c>
      <c r="C90" s="306">
        <f t="shared" si="16"/>
        <v>330.20699999999999</v>
      </c>
      <c r="D90" s="191">
        <v>12.899999999999999</v>
      </c>
      <c r="E90" s="191">
        <v>317.30700000000002</v>
      </c>
      <c r="F90" s="240"/>
      <c r="G90" s="191"/>
      <c r="H90" s="257"/>
      <c r="I90" s="240">
        <f>SUM(J90:O90)</f>
        <v>1140.7069999999999</v>
      </c>
      <c r="J90" s="191">
        <v>91.075999999999993</v>
      </c>
      <c r="K90" s="257">
        <v>1049.6309999999999</v>
      </c>
      <c r="O90" s="132"/>
      <c r="Q90" s="1612"/>
    </row>
    <row r="91" spans="1:17" ht="13" x14ac:dyDescent="0.3">
      <c r="A91" s="1399">
        <v>2016</v>
      </c>
      <c r="B91" s="1232">
        <f t="shared" si="15"/>
        <v>1473.2409999999998</v>
      </c>
      <c r="C91" s="299">
        <f t="shared" si="16"/>
        <v>329.30699999999996</v>
      </c>
      <c r="D91" s="181">
        <v>25.7</v>
      </c>
      <c r="E91" s="181">
        <v>303.60699999999997</v>
      </c>
      <c r="F91" s="219"/>
      <c r="G91" s="181"/>
      <c r="H91" s="252"/>
      <c r="I91" s="219">
        <f t="shared" si="17"/>
        <v>1143.9339999999997</v>
      </c>
      <c r="J91" s="181">
        <v>91.075999999999993</v>
      </c>
      <c r="K91" s="252">
        <v>1052.8579999999997</v>
      </c>
      <c r="O91" s="132"/>
      <c r="Q91" s="1612"/>
    </row>
    <row r="92" spans="1:17" ht="13" x14ac:dyDescent="0.3">
      <c r="A92" s="1404">
        <v>2017</v>
      </c>
      <c r="B92" s="1235">
        <f t="shared" si="15"/>
        <v>1496.009</v>
      </c>
      <c r="C92" s="306">
        <f t="shared" si="16"/>
        <v>262.77600000000001</v>
      </c>
      <c r="D92" s="191">
        <v>38.299999999999983</v>
      </c>
      <c r="E92" s="191">
        <v>224.47600000000003</v>
      </c>
      <c r="F92" s="240"/>
      <c r="G92" s="191"/>
      <c r="H92" s="257"/>
      <c r="I92" s="240">
        <f t="shared" si="17"/>
        <v>1233.2329999999999</v>
      </c>
      <c r="J92" s="191">
        <v>91.923000000000044</v>
      </c>
      <c r="K92" s="257">
        <v>1141.31</v>
      </c>
      <c r="O92" s="132"/>
      <c r="Q92" s="1612"/>
    </row>
    <row r="93" spans="1:17" ht="13" x14ac:dyDescent="0.3">
      <c r="A93" s="1399">
        <v>2018</v>
      </c>
      <c r="B93" s="1232">
        <f t="shared" si="15"/>
        <v>1494.6560000000002</v>
      </c>
      <c r="C93" s="299">
        <f t="shared" si="16"/>
        <v>262.77600000000001</v>
      </c>
      <c r="D93" s="181">
        <v>38.29999999999999</v>
      </c>
      <c r="E93" s="181">
        <v>224.47600000000003</v>
      </c>
      <c r="F93" s="219"/>
      <c r="G93" s="181"/>
      <c r="H93" s="252"/>
      <c r="I93" s="219">
        <f t="shared" si="17"/>
        <v>1231.8800000000001</v>
      </c>
      <c r="J93" s="181">
        <v>92.603000000000009</v>
      </c>
      <c r="K93" s="252">
        <v>1139.277</v>
      </c>
      <c r="O93" s="132"/>
      <c r="Q93" s="1612"/>
    </row>
    <row r="94" spans="1:17" ht="13" x14ac:dyDescent="0.3">
      <c r="A94" s="1404">
        <v>2019</v>
      </c>
      <c r="B94" s="1235">
        <f t="shared" si="15"/>
        <v>1472.6469999999999</v>
      </c>
      <c r="C94" s="306">
        <f t="shared" si="16"/>
        <v>265.18700000000001</v>
      </c>
      <c r="D94" s="191">
        <v>38.299999999999983</v>
      </c>
      <c r="E94" s="191">
        <v>226.88700000000003</v>
      </c>
      <c r="F94" s="240"/>
      <c r="G94" s="191"/>
      <c r="H94" s="257"/>
      <c r="I94" s="240">
        <f t="shared" si="17"/>
        <v>1207.46</v>
      </c>
      <c r="J94" s="191">
        <v>92.603000000000009</v>
      </c>
      <c r="K94" s="257">
        <v>1114.857</v>
      </c>
      <c r="O94" s="132"/>
      <c r="Q94" s="1612"/>
    </row>
    <row r="95" spans="1:17" ht="13" x14ac:dyDescent="0.3">
      <c r="A95" s="1399">
        <v>2020</v>
      </c>
      <c r="B95" s="1232">
        <f t="shared" si="15"/>
        <v>1462.9219999999996</v>
      </c>
      <c r="C95" s="299">
        <f t="shared" si="16"/>
        <v>265.18700000000001</v>
      </c>
      <c r="D95" s="181">
        <v>38.29999999999999</v>
      </c>
      <c r="E95" s="181">
        <v>226.887</v>
      </c>
      <c r="F95" s="219"/>
      <c r="G95" s="181"/>
      <c r="H95" s="252"/>
      <c r="I95" s="219">
        <f t="shared" si="17"/>
        <v>1197.7349999999997</v>
      </c>
      <c r="J95" s="181">
        <v>92.603000000000009</v>
      </c>
      <c r="K95" s="252">
        <v>1105.1319999999996</v>
      </c>
      <c r="O95" s="132"/>
      <c r="Q95" s="1612"/>
    </row>
    <row r="96" spans="1:17" ht="13" x14ac:dyDescent="0.3">
      <c r="A96" s="1404">
        <v>2021</v>
      </c>
      <c r="B96" s="1235">
        <f t="shared" ref="B96" si="18">+C96+I96</f>
        <v>1479.3540000000035</v>
      </c>
      <c r="C96" s="306">
        <f t="shared" ref="C96" si="19">SUM(D96:E96)</f>
        <v>244.48700000000014</v>
      </c>
      <c r="D96" s="191">
        <v>37.299999999999997</v>
      </c>
      <c r="E96" s="191">
        <v>207.18700000000015</v>
      </c>
      <c r="F96" s="240"/>
      <c r="G96" s="191"/>
      <c r="H96" s="257"/>
      <c r="I96" s="240">
        <f t="shared" ref="I96" si="20">SUM(J96:O96)</f>
        <v>1234.8670000000034</v>
      </c>
      <c r="J96" s="191">
        <v>92.603000000000009</v>
      </c>
      <c r="K96" s="257">
        <v>1142.2640000000033</v>
      </c>
      <c r="O96" s="132"/>
      <c r="Q96" s="1612"/>
    </row>
    <row r="97" spans="1:19" ht="13.5" thickBot="1" x14ac:dyDescent="0.35">
      <c r="A97" s="1405">
        <v>2022</v>
      </c>
      <c r="B97" s="1232">
        <f t="shared" si="15"/>
        <v>1511.023999999999</v>
      </c>
      <c r="C97" s="299">
        <f t="shared" si="16"/>
        <v>252.56700000000001</v>
      </c>
      <c r="D97" s="181">
        <v>37.300000000000004</v>
      </c>
      <c r="E97" s="181">
        <v>215.267</v>
      </c>
      <c r="F97" s="1273"/>
      <c r="G97" s="1274"/>
      <c r="H97" s="1275"/>
      <c r="I97" s="219">
        <f t="shared" si="17"/>
        <v>1258.456999999999</v>
      </c>
      <c r="J97" s="181">
        <v>92.603000000000009</v>
      </c>
      <c r="K97" s="252">
        <v>1165.8539999999989</v>
      </c>
      <c r="O97" s="132"/>
      <c r="Q97" s="1612"/>
    </row>
    <row r="98" spans="1:19" s="94" customFormat="1" ht="18.75" customHeight="1" x14ac:dyDescent="0.25">
      <c r="A98" s="813" t="s">
        <v>161</v>
      </c>
      <c r="B98" s="1236">
        <f>(B97/B96)-1</f>
        <v>2.1407992948270227E-2</v>
      </c>
      <c r="C98" s="1167">
        <f t="shared" ref="C98:E98" si="21">(C97/C96)-1</f>
        <v>3.3048791960308188E-2</v>
      </c>
      <c r="D98" s="815">
        <f t="shared" si="21"/>
        <v>0</v>
      </c>
      <c r="E98" s="1164">
        <f t="shared" si="21"/>
        <v>3.899858581860749E-2</v>
      </c>
      <c r="F98" s="1177"/>
      <c r="G98" s="1179"/>
      <c r="H98" s="1179"/>
      <c r="I98" s="1157">
        <f t="shared" ref="I98:J98" si="22">(I97/I96)-1</f>
        <v>1.9103271850325232E-2</v>
      </c>
      <c r="J98" s="1154">
        <f t="shared" si="22"/>
        <v>0</v>
      </c>
      <c r="K98" s="1164">
        <f t="shared" ref="K98" si="23">(K97/K96)-1</f>
        <v>2.0651968371580898E-2</v>
      </c>
      <c r="O98" s="830"/>
      <c r="Q98" s="1608"/>
      <c r="R98" s="1608"/>
      <c r="S98" s="1608"/>
    </row>
    <row r="99" spans="1:19" s="94" customFormat="1" ht="18.75" customHeight="1" x14ac:dyDescent="0.25">
      <c r="A99" s="817" t="s">
        <v>162</v>
      </c>
      <c r="B99" s="1237">
        <f>((B97/B92)^(1/5))-1</f>
        <v>1.9993302223362264E-3</v>
      </c>
      <c r="C99" s="795">
        <f t="shared" ref="C99:E99" si="24">((C97/C92)^(1/5))-1</f>
        <v>-7.8937589879973791E-3</v>
      </c>
      <c r="D99" s="819">
        <f t="shared" si="24"/>
        <v>-5.2773395643423981E-3</v>
      </c>
      <c r="E99" s="798">
        <f t="shared" si="24"/>
        <v>-8.3429387211880757E-3</v>
      </c>
      <c r="F99" s="1179"/>
      <c r="G99" s="1179"/>
      <c r="H99" s="1179"/>
      <c r="I99" s="1180">
        <f t="shared" ref="I99:J99" si="25">((I97/I92)^(1/5))-1</f>
        <v>4.0576482587992846E-3</v>
      </c>
      <c r="J99" s="1181">
        <f t="shared" si="25"/>
        <v>1.4751406415334234E-3</v>
      </c>
      <c r="K99" s="1182">
        <f t="shared" ref="K99" si="26">((K97/K92)^(1/5))-1</f>
        <v>4.2644952315180618E-3</v>
      </c>
      <c r="O99" s="830"/>
      <c r="Q99" s="1608"/>
      <c r="R99" s="1608"/>
      <c r="S99" s="1608"/>
    </row>
    <row r="100" spans="1:19" s="94" customFormat="1" ht="18.75" customHeight="1" x14ac:dyDescent="0.25">
      <c r="A100" s="823" t="s">
        <v>163</v>
      </c>
      <c r="B100" s="1238">
        <f>(B97/B87)-1</f>
        <v>5.4989862204173789E-2</v>
      </c>
      <c r="C100" s="1172">
        <f t="shared" ref="C100:E100" si="27">(C97/C87)-1</f>
        <v>0.2897850588037032</v>
      </c>
      <c r="D100" s="825">
        <f t="shared" si="27"/>
        <v>1.8914728682170545</v>
      </c>
      <c r="E100" s="1159">
        <f t="shared" si="27"/>
        <v>0.1768304349965284</v>
      </c>
      <c r="F100" s="1179"/>
      <c r="G100" s="1179"/>
      <c r="H100" s="1179"/>
      <c r="I100" s="1161">
        <f t="shared" ref="I100:J100" si="28">(I97/I87)-1</f>
        <v>1.7804298297615873E-2</v>
      </c>
      <c r="J100" s="1158">
        <f t="shared" si="28"/>
        <v>2.2175861536084307E-2</v>
      </c>
      <c r="K100" s="1159">
        <f t="shared" ref="K100" si="29">(K97/K87)-1</f>
        <v>1.7458670383269537E-2</v>
      </c>
      <c r="O100" s="830"/>
      <c r="Q100" s="1608"/>
      <c r="R100" s="1608"/>
      <c r="S100" s="1608"/>
    </row>
    <row r="101" spans="1:19" s="94" customFormat="1" ht="18.75" customHeight="1" thickBot="1" x14ac:dyDescent="0.3">
      <c r="A101" s="826" t="s">
        <v>164</v>
      </c>
      <c r="B101" s="1239">
        <f>((B97/B87)^(1/10))-1</f>
        <v>5.3674692844369876E-3</v>
      </c>
      <c r="C101" s="1231">
        <f t="shared" ref="C101:E101" si="30">((C97/C87)^(1/10))-1</f>
        <v>2.5774111563575675E-2</v>
      </c>
      <c r="D101" s="828">
        <f t="shared" si="30"/>
        <v>0.11201824328785048</v>
      </c>
      <c r="E101" s="1163">
        <f t="shared" si="30"/>
        <v>1.6415757151541976E-2</v>
      </c>
      <c r="F101" s="1179"/>
      <c r="G101" s="1179"/>
      <c r="H101" s="1179"/>
      <c r="I101" s="1183">
        <f t="shared" ref="I101:J101" si="31">((I97/I87)^(1/10))-1</f>
        <v>1.7663239446157331E-3</v>
      </c>
      <c r="J101" s="1184">
        <f t="shared" si="31"/>
        <v>2.1957624478186055E-3</v>
      </c>
      <c r="K101" s="1185">
        <f t="shared" ref="K101" si="32">((K97/K87)^(1/10))-1</f>
        <v>1.7323005742584385E-3</v>
      </c>
      <c r="M101" s="1608"/>
      <c r="N101" s="1608"/>
      <c r="O101" s="1623"/>
      <c r="Q101" s="1608"/>
      <c r="R101" s="1608"/>
      <c r="S101" s="1608"/>
    </row>
    <row r="102" spans="1:19" ht="13" x14ac:dyDescent="0.3">
      <c r="A102" s="22"/>
      <c r="B102" s="248"/>
      <c r="C102" s="248"/>
      <c r="H102" s="249"/>
      <c r="I102" s="250"/>
      <c r="J102" s="250"/>
      <c r="K102" s="248"/>
      <c r="M102" s="1603"/>
      <c r="N102" s="1603"/>
      <c r="O102" s="1603"/>
    </row>
    <row r="103" spans="1:19" x14ac:dyDescent="0.25">
      <c r="A103" s="203"/>
      <c r="M103" s="1603">
        <v>1995</v>
      </c>
      <c r="N103" s="1612">
        <f>+C69+F69</f>
        <v>610.09</v>
      </c>
      <c r="O103" s="1612">
        <f>+I69</f>
        <v>665.91</v>
      </c>
    </row>
    <row r="104" spans="1:19" x14ac:dyDescent="0.25">
      <c r="A104" s="102"/>
      <c r="M104" s="1603">
        <v>2000</v>
      </c>
      <c r="N104" s="1612">
        <f>+C74+F74</f>
        <v>143.62</v>
      </c>
      <c r="O104" s="1612">
        <f>+I74</f>
        <v>773.71800000000007</v>
      </c>
    </row>
    <row r="105" spans="1:19" x14ac:dyDescent="0.25">
      <c r="M105" s="1603">
        <v>2005</v>
      </c>
      <c r="N105" s="1612">
        <v>179.03300000000002</v>
      </c>
      <c r="O105" s="1612">
        <v>800.85899999999992</v>
      </c>
    </row>
    <row r="106" spans="1:19" x14ac:dyDescent="0.25">
      <c r="D106" s="132"/>
      <c r="E106" s="132"/>
      <c r="F106" s="132"/>
      <c r="G106" s="132"/>
      <c r="M106" s="1603">
        <v>2010</v>
      </c>
      <c r="N106" s="1612">
        <v>200.02500000000001</v>
      </c>
      <c r="O106" s="1612">
        <v>1103.3659999999998</v>
      </c>
    </row>
    <row r="107" spans="1:19" x14ac:dyDescent="0.25">
      <c r="M107" s="1603">
        <v>2011</v>
      </c>
      <c r="N107" s="1612">
        <v>199.05100000000002</v>
      </c>
      <c r="O107" s="1612">
        <v>1178.0360000000001</v>
      </c>
    </row>
    <row r="108" spans="1:19" x14ac:dyDescent="0.25">
      <c r="C108" s="132"/>
      <c r="D108" s="132"/>
      <c r="E108" s="132"/>
      <c r="F108" s="132"/>
      <c r="G108" s="132"/>
      <c r="M108" s="1603">
        <v>2012</v>
      </c>
      <c r="N108" s="1612">
        <v>195.82100000000003</v>
      </c>
      <c r="O108" s="1612">
        <v>1236.443</v>
      </c>
    </row>
    <row r="109" spans="1:19" x14ac:dyDescent="0.25">
      <c r="C109" s="132"/>
      <c r="D109" s="132"/>
      <c r="E109" s="132"/>
      <c r="F109" s="132"/>
      <c r="G109" s="132"/>
      <c r="M109" s="1603">
        <v>2013</v>
      </c>
      <c r="N109" s="1612">
        <v>192.32100000000003</v>
      </c>
      <c r="O109" s="1612">
        <v>1223.7669999999998</v>
      </c>
    </row>
    <row r="110" spans="1:19" x14ac:dyDescent="0.25">
      <c r="C110" s="132"/>
      <c r="D110" s="132"/>
      <c r="E110" s="132"/>
      <c r="F110" s="132"/>
      <c r="G110" s="132"/>
      <c r="M110" s="1603">
        <v>2014</v>
      </c>
      <c r="N110" s="1612">
        <v>190.227</v>
      </c>
      <c r="O110" s="1612">
        <v>1273.1439999999998</v>
      </c>
    </row>
    <row r="111" spans="1:19" x14ac:dyDescent="0.25">
      <c r="C111" s="132"/>
      <c r="D111" s="132"/>
      <c r="E111" s="132"/>
      <c r="F111" s="132"/>
      <c r="G111" s="132"/>
      <c r="M111" s="1603">
        <v>2015</v>
      </c>
      <c r="N111" s="1612">
        <v>330.20699999999999</v>
      </c>
      <c r="O111" s="1612">
        <v>1140.7069999999999</v>
      </c>
    </row>
    <row r="112" spans="1:19" x14ac:dyDescent="0.25">
      <c r="M112" s="1603">
        <v>2016</v>
      </c>
      <c r="N112" s="1612">
        <v>329.30699999999996</v>
      </c>
      <c r="O112" s="1612">
        <v>1143.9339999999997</v>
      </c>
    </row>
    <row r="113" spans="13:15" x14ac:dyDescent="0.25">
      <c r="M113" s="1603">
        <v>2017</v>
      </c>
      <c r="N113" s="1612">
        <v>262.77600000000001</v>
      </c>
      <c r="O113" s="1612">
        <v>1233.2329999999999</v>
      </c>
    </row>
    <row r="114" spans="13:15" x14ac:dyDescent="0.25">
      <c r="M114" s="1603">
        <v>2018</v>
      </c>
      <c r="N114" s="1612">
        <v>262.77600000000001</v>
      </c>
      <c r="O114" s="1612">
        <v>1231.8800000000001</v>
      </c>
    </row>
    <row r="115" spans="13:15" x14ac:dyDescent="0.25">
      <c r="M115" s="1603">
        <v>2019</v>
      </c>
      <c r="N115" s="1612">
        <v>265.18700000000001</v>
      </c>
      <c r="O115" s="1612">
        <v>1207.46</v>
      </c>
    </row>
    <row r="116" spans="13:15" x14ac:dyDescent="0.25">
      <c r="M116" s="1603">
        <v>2020</v>
      </c>
      <c r="N116" s="1612">
        <v>265.18700000000001</v>
      </c>
      <c r="O116" s="1612">
        <v>1197.7349999999997</v>
      </c>
    </row>
    <row r="117" spans="13:15" x14ac:dyDescent="0.25">
      <c r="M117" s="1603">
        <v>2021</v>
      </c>
      <c r="N117" s="1612">
        <v>244.48700000000014</v>
      </c>
      <c r="O117" s="1612">
        <v>1234.8670000000034</v>
      </c>
    </row>
    <row r="118" spans="13:15" x14ac:dyDescent="0.25">
      <c r="M118" s="1603">
        <v>2022</v>
      </c>
      <c r="N118" s="1612">
        <v>252.56700000000001</v>
      </c>
      <c r="O118" s="1612">
        <v>1258.456999999999</v>
      </c>
    </row>
    <row r="119" spans="13:15" x14ac:dyDescent="0.25">
      <c r="N119" s="132"/>
      <c r="O119" s="132"/>
    </row>
    <row r="120" spans="13:15" x14ac:dyDescent="0.25">
      <c r="N120" s="132"/>
      <c r="O120" s="132"/>
    </row>
    <row r="121" spans="13:15" x14ac:dyDescent="0.25">
      <c r="N121" s="132"/>
      <c r="O121" s="132"/>
    </row>
    <row r="122" spans="13:15" x14ac:dyDescent="0.25">
      <c r="N122" s="132"/>
      <c r="O122" s="132"/>
    </row>
    <row r="123" spans="13:15" x14ac:dyDescent="0.25">
      <c r="N123" s="132"/>
      <c r="O123" s="132"/>
    </row>
    <row r="124" spans="13:15" x14ac:dyDescent="0.25">
      <c r="N124" s="132"/>
      <c r="O124" s="132"/>
    </row>
    <row r="125" spans="13:15" x14ac:dyDescent="0.25">
      <c r="N125" s="132"/>
      <c r="O125" s="132"/>
    </row>
    <row r="126" spans="13:15" x14ac:dyDescent="0.25">
      <c r="N126" s="132"/>
      <c r="O126" s="132"/>
    </row>
  </sheetData>
  <mergeCells count="12">
    <mergeCell ref="A4:A5"/>
    <mergeCell ref="B4:B5"/>
    <mergeCell ref="A67:A68"/>
    <mergeCell ref="B67:B68"/>
    <mergeCell ref="C75:E75"/>
    <mergeCell ref="C4:G4"/>
    <mergeCell ref="H4:J4"/>
    <mergeCell ref="K4:O4"/>
    <mergeCell ref="C13:G13"/>
    <mergeCell ref="C67:E67"/>
    <mergeCell ref="F67:H67"/>
    <mergeCell ref="I67:K67"/>
  </mergeCells>
  <pageMargins left="0.47244094488188981" right="0.35433070866141736" top="0.51181102362204722" bottom="0.39370078740157483" header="0" footer="0"/>
  <pageSetup paperSize="9" scale="46" orientation="portrait" r:id="rId1"/>
  <headerFooter alignWithMargins="0"/>
  <ignoredErrors>
    <ignoredError sqref="K25 I87" formulaRange="1"/>
    <ignoredError sqref="C96 C34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63"/>
  <sheetViews>
    <sheetView showGridLines="0" view="pageBreakPreview" zoomScaleNormal="100" zoomScaleSheetLayoutView="100" workbookViewId="0">
      <selection activeCell="A39" sqref="A39:G39"/>
    </sheetView>
  </sheetViews>
  <sheetFormatPr baseColWidth="10" defaultRowHeight="12.5" x14ac:dyDescent="0.25"/>
  <cols>
    <col min="1" max="1" width="22.1796875" customWidth="1"/>
    <col min="3" max="6" width="12" customWidth="1"/>
    <col min="9" max="14" width="10.90625" style="1603"/>
  </cols>
  <sheetData>
    <row r="2" spans="1:14" ht="15.5" x14ac:dyDescent="0.35">
      <c r="A2" s="70" t="s">
        <v>211</v>
      </c>
    </row>
    <row r="3" spans="1:14" ht="13" thickBot="1" x14ac:dyDescent="0.3">
      <c r="A3" s="102"/>
    </row>
    <row r="4" spans="1:14" s="94" customFormat="1" ht="15" customHeight="1" x14ac:dyDescent="0.25">
      <c r="A4" s="1482" t="s">
        <v>39</v>
      </c>
      <c r="B4" s="1482" t="s">
        <v>53</v>
      </c>
      <c r="C4" s="1485" t="s">
        <v>94</v>
      </c>
      <c r="D4" s="1485"/>
      <c r="E4" s="1485"/>
      <c r="F4" s="1486"/>
      <c r="I4" s="1608"/>
      <c r="J4" s="1608"/>
      <c r="K4" s="1608"/>
      <c r="L4" s="1608"/>
      <c r="M4" s="1608"/>
      <c r="N4" s="1608"/>
    </row>
    <row r="5" spans="1:14" s="94" customFormat="1" ht="13.5" customHeight="1" thickBot="1" x14ac:dyDescent="0.3">
      <c r="A5" s="1483"/>
      <c r="B5" s="1483"/>
      <c r="C5" s="1240" t="s">
        <v>95</v>
      </c>
      <c r="D5" s="1051" t="s">
        <v>96</v>
      </c>
      <c r="E5" s="1051" t="s">
        <v>74</v>
      </c>
      <c r="F5" s="1048" t="s">
        <v>92</v>
      </c>
      <c r="I5" s="1608"/>
      <c r="J5" s="1608"/>
      <c r="K5" s="1608"/>
      <c r="L5" s="1608"/>
      <c r="M5" s="1608"/>
      <c r="N5" s="1608"/>
    </row>
    <row r="6" spans="1:14" ht="13" x14ac:dyDescent="0.3">
      <c r="A6" s="1399">
        <v>1995</v>
      </c>
      <c r="B6" s="1232">
        <f>SUM(C6:F6)</f>
        <v>0</v>
      </c>
      <c r="C6" s="147"/>
      <c r="D6" s="148"/>
      <c r="E6" s="148"/>
      <c r="F6" s="220"/>
    </row>
    <row r="7" spans="1:14" ht="13" x14ac:dyDescent="0.3">
      <c r="A7" s="1400">
        <v>1996</v>
      </c>
      <c r="B7" s="1233">
        <f t="shared" ref="B7:B33" si="0">SUM(C7:F7)</f>
        <v>0</v>
      </c>
      <c r="C7" s="177"/>
      <c r="D7" s="185"/>
      <c r="E7" s="185"/>
      <c r="F7" s="224"/>
    </row>
    <row r="8" spans="1:14" ht="13" x14ac:dyDescent="0.3">
      <c r="A8" s="1399">
        <v>1997</v>
      </c>
      <c r="B8" s="1232">
        <f t="shared" si="0"/>
        <v>0</v>
      </c>
      <c r="C8" s="147"/>
      <c r="D8" s="148"/>
      <c r="E8" s="148"/>
      <c r="F8" s="220"/>
    </row>
    <row r="9" spans="1:14" ht="13" x14ac:dyDescent="0.3">
      <c r="A9" s="1400">
        <v>1998</v>
      </c>
      <c r="B9" s="1233">
        <f t="shared" si="0"/>
        <v>0</v>
      </c>
      <c r="C9" s="177"/>
      <c r="D9" s="185"/>
      <c r="E9" s="185"/>
      <c r="F9" s="224"/>
    </row>
    <row r="10" spans="1:14" ht="13" x14ac:dyDescent="0.3">
      <c r="A10" s="1399">
        <v>1999</v>
      </c>
      <c r="B10" s="1232">
        <f t="shared" si="0"/>
        <v>0</v>
      </c>
      <c r="C10" s="147"/>
      <c r="D10" s="148"/>
      <c r="E10" s="148"/>
      <c r="F10" s="220"/>
    </row>
    <row r="11" spans="1:14" ht="13" x14ac:dyDescent="0.3">
      <c r="A11" s="1400">
        <v>2000</v>
      </c>
      <c r="B11" s="1233">
        <f t="shared" si="0"/>
        <v>0</v>
      </c>
      <c r="C11" s="177"/>
      <c r="D11" s="185"/>
      <c r="E11" s="185"/>
      <c r="F11" s="224"/>
    </row>
    <row r="12" spans="1:14" ht="13" x14ac:dyDescent="0.3">
      <c r="A12" s="1399">
        <v>2001</v>
      </c>
      <c r="B12" s="1232">
        <f t="shared" si="0"/>
        <v>0</v>
      </c>
      <c r="C12" s="147"/>
      <c r="D12" s="148"/>
      <c r="E12" s="148"/>
      <c r="F12" s="220"/>
    </row>
    <row r="13" spans="1:14" ht="13" x14ac:dyDescent="0.3">
      <c r="A13" s="1400">
        <v>2002</v>
      </c>
      <c r="B13" s="1233">
        <f t="shared" si="0"/>
        <v>0</v>
      </c>
      <c r="C13" s="177"/>
      <c r="D13" s="185"/>
      <c r="E13" s="185"/>
      <c r="F13" s="224"/>
    </row>
    <row r="14" spans="1:14" ht="13" x14ac:dyDescent="0.3">
      <c r="A14" s="1399">
        <v>2003</v>
      </c>
      <c r="B14" s="1232">
        <f t="shared" si="0"/>
        <v>0</v>
      </c>
      <c r="C14" s="147"/>
      <c r="D14" s="148"/>
      <c r="E14" s="148"/>
      <c r="F14" s="220"/>
    </row>
    <row r="15" spans="1:14" ht="13" x14ac:dyDescent="0.3">
      <c r="A15" s="1400">
        <v>2004</v>
      </c>
      <c r="B15" s="1233">
        <f t="shared" si="0"/>
        <v>0</v>
      </c>
      <c r="C15" s="177"/>
      <c r="D15" s="185"/>
      <c r="E15" s="185"/>
      <c r="F15" s="224"/>
    </row>
    <row r="16" spans="1:14" ht="13" x14ac:dyDescent="0.3">
      <c r="A16" s="1399">
        <v>2005</v>
      </c>
      <c r="B16" s="1232">
        <f t="shared" si="0"/>
        <v>0</v>
      </c>
      <c r="C16" s="147"/>
      <c r="D16" s="148"/>
      <c r="E16" s="148"/>
      <c r="F16" s="220"/>
    </row>
    <row r="17" spans="1:13" ht="13" x14ac:dyDescent="0.3">
      <c r="A17" s="1400">
        <v>2006</v>
      </c>
      <c r="B17" s="1233">
        <f t="shared" si="0"/>
        <v>0</v>
      </c>
      <c r="C17" s="177"/>
      <c r="D17" s="185"/>
      <c r="E17" s="185"/>
      <c r="F17" s="224"/>
    </row>
    <row r="18" spans="1:13" ht="13" x14ac:dyDescent="0.3">
      <c r="A18" s="1399">
        <v>2007</v>
      </c>
      <c r="B18" s="1232">
        <f t="shared" si="0"/>
        <v>0</v>
      </c>
      <c r="C18" s="147"/>
      <c r="D18" s="148"/>
      <c r="E18" s="148"/>
      <c r="F18" s="220"/>
    </row>
    <row r="19" spans="1:13" ht="13" x14ac:dyDescent="0.3">
      <c r="A19" s="1400">
        <v>2008</v>
      </c>
      <c r="B19" s="1233">
        <f t="shared" si="0"/>
        <v>0</v>
      </c>
      <c r="C19" s="177"/>
      <c r="D19" s="185"/>
      <c r="E19" s="185"/>
      <c r="F19" s="224"/>
    </row>
    <row r="20" spans="1:13" ht="13" x14ac:dyDescent="0.3">
      <c r="A20" s="1399">
        <v>2009</v>
      </c>
      <c r="B20" s="1232">
        <f t="shared" si="0"/>
        <v>15.55</v>
      </c>
      <c r="C20" s="147">
        <v>15.55</v>
      </c>
      <c r="D20" s="148">
        <v>0</v>
      </c>
      <c r="E20" s="148">
        <v>0</v>
      </c>
      <c r="F20" s="220">
        <v>0</v>
      </c>
    </row>
    <row r="21" spans="1:13" ht="13" x14ac:dyDescent="0.3">
      <c r="A21" s="1392">
        <v>2010</v>
      </c>
      <c r="B21" s="1233">
        <f t="shared" si="0"/>
        <v>85.075999999999993</v>
      </c>
      <c r="C21" s="177">
        <v>62.075999999999993</v>
      </c>
      <c r="D21" s="185">
        <v>23</v>
      </c>
      <c r="E21" s="185">
        <v>0</v>
      </c>
      <c r="F21" s="224">
        <v>0</v>
      </c>
    </row>
    <row r="22" spans="1:13" ht="13" x14ac:dyDescent="0.3">
      <c r="A22" s="1399">
        <v>2011</v>
      </c>
      <c r="B22" s="1232">
        <f t="shared" si="0"/>
        <v>104.52599999999998</v>
      </c>
      <c r="C22" s="147">
        <v>76.475999999999985</v>
      </c>
      <c r="D22" s="148">
        <v>28.05</v>
      </c>
      <c r="E22" s="148">
        <v>0</v>
      </c>
      <c r="F22" s="220">
        <v>0</v>
      </c>
    </row>
    <row r="23" spans="1:13" ht="13" x14ac:dyDescent="0.3">
      <c r="A23" s="1400">
        <v>2012</v>
      </c>
      <c r="B23" s="1233">
        <f t="shared" si="0"/>
        <v>255.99600000000001</v>
      </c>
      <c r="C23" s="177">
        <v>110.44600000000001</v>
      </c>
      <c r="D23" s="185">
        <v>65.55</v>
      </c>
      <c r="E23" s="185">
        <v>80</v>
      </c>
      <c r="F23" s="224">
        <v>0</v>
      </c>
    </row>
    <row r="24" spans="1:13" ht="13" x14ac:dyDescent="0.3">
      <c r="A24" s="1399">
        <v>2013</v>
      </c>
      <c r="B24" s="1232">
        <f t="shared" si="0"/>
        <v>308.32400000000001</v>
      </c>
      <c r="C24" s="147">
        <v>150.774</v>
      </c>
      <c r="D24" s="148">
        <v>77.55</v>
      </c>
      <c r="E24" s="148">
        <v>80</v>
      </c>
      <c r="F24" s="220">
        <v>0</v>
      </c>
      <c r="J24" s="1603" t="s">
        <v>97</v>
      </c>
      <c r="K24" s="1603" t="s">
        <v>96</v>
      </c>
      <c r="L24" s="1603" t="s">
        <v>74</v>
      </c>
      <c r="M24" s="1603" t="s">
        <v>75</v>
      </c>
    </row>
    <row r="25" spans="1:13" ht="13" x14ac:dyDescent="0.3">
      <c r="A25" s="1392">
        <v>2014</v>
      </c>
      <c r="B25" s="1235">
        <f t="shared" si="0"/>
        <v>516.42100000000005</v>
      </c>
      <c r="C25" s="132">
        <v>200.87100000000004</v>
      </c>
      <c r="D25" s="193">
        <v>77.55</v>
      </c>
      <c r="E25" s="193">
        <v>96</v>
      </c>
      <c r="F25" s="241">
        <v>142</v>
      </c>
      <c r="J25" s="1629">
        <f>+C33/$B$33</f>
        <v>0.31580216474837436</v>
      </c>
      <c r="K25" s="1629">
        <f>+D33/$B$33</f>
        <v>7.9895456491020297E-2</v>
      </c>
      <c r="L25" s="1629">
        <f>+E33/$B$33</f>
        <v>0.20977962603561401</v>
      </c>
      <c r="M25" s="1629">
        <f>+F33/$B$33</f>
        <v>0.39452275272499143</v>
      </c>
    </row>
    <row r="26" spans="1:13" ht="13" x14ac:dyDescent="0.3">
      <c r="A26" s="1399">
        <v>2015</v>
      </c>
      <c r="B26" s="1232">
        <f>SUM(C26:F26)</f>
        <v>616.721</v>
      </c>
      <c r="C26" s="147">
        <v>200.87100000000004</v>
      </c>
      <c r="D26" s="148">
        <v>80.75</v>
      </c>
      <c r="E26" s="148">
        <v>96</v>
      </c>
      <c r="F26" s="220">
        <v>239.1</v>
      </c>
      <c r="J26" s="1630"/>
      <c r="K26" s="1630"/>
      <c r="L26" s="1630"/>
      <c r="M26" s="1630"/>
    </row>
    <row r="27" spans="1:13" ht="13" x14ac:dyDescent="0.3">
      <c r="A27" s="1392">
        <v>2016</v>
      </c>
      <c r="B27" s="1233">
        <f t="shared" si="0"/>
        <v>661.12900000000002</v>
      </c>
      <c r="C27" s="177">
        <v>239.37900000000002</v>
      </c>
      <c r="D27" s="185">
        <v>82.5</v>
      </c>
      <c r="E27" s="185">
        <v>100</v>
      </c>
      <c r="F27" s="224">
        <v>239.25</v>
      </c>
    </row>
    <row r="28" spans="1:13" ht="13" x14ac:dyDescent="0.3">
      <c r="A28" s="1399">
        <v>2017</v>
      </c>
      <c r="B28" s="1232">
        <f t="shared" si="0"/>
        <v>831.851</v>
      </c>
      <c r="C28" s="147">
        <v>265.61700000000002</v>
      </c>
      <c r="D28" s="148">
        <v>82.5</v>
      </c>
      <c r="E28" s="148">
        <v>244.48400000000001</v>
      </c>
      <c r="F28" s="220">
        <v>239.25</v>
      </c>
    </row>
    <row r="29" spans="1:13" ht="13" x14ac:dyDescent="0.3">
      <c r="A29" s="1392">
        <v>2018</v>
      </c>
      <c r="B29" s="1233">
        <f t="shared" si="0"/>
        <v>1118.1510000000001</v>
      </c>
      <c r="C29" s="177">
        <v>377.21699999999993</v>
      </c>
      <c r="D29" s="185">
        <v>84.9</v>
      </c>
      <c r="E29" s="185">
        <v>284.48400000000004</v>
      </c>
      <c r="F29" s="224">
        <v>371.55000000000007</v>
      </c>
    </row>
    <row r="30" spans="1:13" ht="13" x14ac:dyDescent="0.3">
      <c r="A30" s="1399">
        <v>2019</v>
      </c>
      <c r="B30" s="1232">
        <f t="shared" si="0"/>
        <v>1178.252</v>
      </c>
      <c r="C30" s="147">
        <v>411.06699999999995</v>
      </c>
      <c r="D30" s="148">
        <v>106.61000000000001</v>
      </c>
      <c r="E30" s="148">
        <v>289.02499999999998</v>
      </c>
      <c r="F30" s="220">
        <v>371.55000000000007</v>
      </c>
    </row>
    <row r="31" spans="1:13" ht="13" x14ac:dyDescent="0.3">
      <c r="A31" s="1392">
        <v>2020</v>
      </c>
      <c r="B31" s="1233">
        <f t="shared" si="0"/>
        <v>1226.394</v>
      </c>
      <c r="C31" s="177">
        <v>420.06899999999996</v>
      </c>
      <c r="D31" s="185">
        <v>109.01</v>
      </c>
      <c r="E31" s="185">
        <v>289.02499999999998</v>
      </c>
      <c r="F31" s="224">
        <v>408.29000000000008</v>
      </c>
    </row>
    <row r="32" spans="1:13" ht="13" x14ac:dyDescent="0.3">
      <c r="A32" s="1399">
        <v>2021</v>
      </c>
      <c r="B32" s="1232">
        <f t="shared" ref="B32" si="1">SUM(C32:F32)</f>
        <v>1234.4079999999999</v>
      </c>
      <c r="C32" s="147">
        <v>430.88299999999992</v>
      </c>
      <c r="D32" s="148">
        <v>109.01</v>
      </c>
      <c r="E32" s="148">
        <v>286.22500000000002</v>
      </c>
      <c r="F32" s="220">
        <v>408.29000000000008</v>
      </c>
    </row>
    <row r="33" spans="1:14" ht="13.5" thickBot="1" x14ac:dyDescent="0.35">
      <c r="A33" s="1392">
        <v>2022</v>
      </c>
      <c r="B33" s="1233">
        <f t="shared" si="0"/>
        <v>1364.4079999999999</v>
      </c>
      <c r="C33" s="177">
        <v>430.88299999999992</v>
      </c>
      <c r="D33" s="185">
        <v>109.01000000000002</v>
      </c>
      <c r="E33" s="185">
        <v>286.22500000000002</v>
      </c>
      <c r="F33" s="224">
        <v>538.29000000000008</v>
      </c>
    </row>
    <row r="34" spans="1:14" s="94" customFormat="1" ht="18.75" customHeight="1" x14ac:dyDescent="0.25">
      <c r="A34" s="1246" t="s">
        <v>161</v>
      </c>
      <c r="B34" s="1256">
        <f>(B33/B32)-1</f>
        <v>0.10531364022268175</v>
      </c>
      <c r="C34" s="1253">
        <f t="shared" ref="C34:F34" si="2">(C33/C32)-1</f>
        <v>0</v>
      </c>
      <c r="D34" s="1247">
        <f t="shared" si="2"/>
        <v>0</v>
      </c>
      <c r="E34" s="1247">
        <f t="shared" si="2"/>
        <v>0</v>
      </c>
      <c r="F34" s="1248">
        <f t="shared" si="2"/>
        <v>0.31840113644713308</v>
      </c>
      <c r="I34" s="1608"/>
      <c r="J34" s="1608"/>
      <c r="K34" s="1608"/>
      <c r="L34" s="1608"/>
      <c r="M34" s="1608"/>
      <c r="N34" s="1608"/>
    </row>
    <row r="35" spans="1:14" s="94" customFormat="1" ht="18.75" customHeight="1" x14ac:dyDescent="0.25">
      <c r="A35" s="1244" t="s">
        <v>162</v>
      </c>
      <c r="B35" s="1257">
        <f>((B33/B28)^(1/5))-1</f>
        <v>0.10402712260832159</v>
      </c>
      <c r="C35" s="1254">
        <f t="shared" ref="C35:E35" si="3">(C33/C23)-1</f>
        <v>2.9013001828948073</v>
      </c>
      <c r="D35" s="1245">
        <f t="shared" si="3"/>
        <v>0.66300533943554574</v>
      </c>
      <c r="E35" s="1245">
        <f t="shared" si="3"/>
        <v>2.5778125000000003</v>
      </c>
      <c r="F35" s="416"/>
      <c r="I35" s="1608"/>
      <c r="J35" s="1608"/>
      <c r="K35" s="1608"/>
      <c r="L35" s="1608"/>
      <c r="M35" s="1608"/>
      <c r="N35" s="1608"/>
    </row>
    <row r="36" spans="1:14" s="94" customFormat="1" ht="18.75" customHeight="1" x14ac:dyDescent="0.25">
      <c r="A36" s="1241" t="s">
        <v>163</v>
      </c>
      <c r="B36" s="1258">
        <f>(B33/B23)-1</f>
        <v>4.3298020281566894</v>
      </c>
      <c r="C36" s="859">
        <f>(C33/C23)-1</f>
        <v>2.9013001828948073</v>
      </c>
      <c r="D36" s="1242">
        <f t="shared" ref="D36" si="4">(D33/D23)-1</f>
        <v>0.66300533943554574</v>
      </c>
      <c r="E36" s="1242">
        <f>(E33/E23)-1</f>
        <v>2.5778125000000003</v>
      </c>
      <c r="F36" s="1243"/>
      <c r="I36" s="1608"/>
      <c r="J36" s="1608"/>
      <c r="K36" s="1608"/>
      <c r="L36" s="1608"/>
      <c r="M36" s="1608"/>
      <c r="N36" s="1608"/>
    </row>
    <row r="37" spans="1:14" s="94" customFormat="1" ht="18.75" customHeight="1" thickBot="1" x14ac:dyDescent="0.3">
      <c r="A37" s="826" t="s">
        <v>164</v>
      </c>
      <c r="B37" s="927">
        <f>((B33/B23)^(1/10))-1</f>
        <v>0.18214597475024497</v>
      </c>
      <c r="C37" s="1255">
        <f t="shared" ref="C37:F37" si="5">((C33/C28)^(1/5))-1</f>
        <v>0.10159181025019159</v>
      </c>
      <c r="D37" s="1175">
        <f t="shared" si="5"/>
        <v>5.7310337064959471E-2</v>
      </c>
      <c r="E37" s="1175">
        <f t="shared" si="5"/>
        <v>3.202786693810733E-2</v>
      </c>
      <c r="F37" s="1176">
        <f t="shared" si="5"/>
        <v>0.17606919097871088</v>
      </c>
      <c r="I37" s="1608"/>
      <c r="J37" s="1608"/>
      <c r="K37" s="1608"/>
      <c r="L37" s="1608"/>
      <c r="M37" s="1608"/>
      <c r="N37" s="1608"/>
    </row>
    <row r="38" spans="1:14" x14ac:dyDescent="0.25">
      <c r="A38" s="22"/>
      <c r="B38" s="262"/>
    </row>
    <row r="39" spans="1:14" ht="50.25" customHeight="1" x14ac:dyDescent="0.25">
      <c r="A39" s="1487" t="s">
        <v>98</v>
      </c>
      <c r="B39" s="1487"/>
      <c r="C39" s="1487"/>
      <c r="D39" s="1487"/>
      <c r="E39" s="1487"/>
      <c r="F39" s="1487"/>
      <c r="G39" s="1487"/>
    </row>
    <row r="40" spans="1:14" x14ac:dyDescent="0.25">
      <c r="A40" s="1389"/>
      <c r="B40" s="1389"/>
      <c r="C40" s="1389"/>
      <c r="D40" s="1389"/>
      <c r="E40" s="1389"/>
      <c r="F40" s="1389"/>
      <c r="G40" s="1389"/>
    </row>
    <row r="41" spans="1:14" x14ac:dyDescent="0.25">
      <c r="A41" s="1389"/>
      <c r="B41" s="1389"/>
      <c r="C41" s="1389"/>
      <c r="D41" s="1389"/>
      <c r="E41" s="1389"/>
      <c r="F41" s="1389"/>
      <c r="G41" s="1389"/>
      <c r="I41" s="1603">
        <v>1995</v>
      </c>
      <c r="J41" s="1603">
        <v>0</v>
      </c>
      <c r="K41" s="1603">
        <v>0</v>
      </c>
      <c r="L41" s="1603">
        <v>0</v>
      </c>
      <c r="M41" s="1603">
        <v>0</v>
      </c>
      <c r="N41" s="1603">
        <v>0</v>
      </c>
    </row>
    <row r="42" spans="1:14" x14ac:dyDescent="0.25">
      <c r="A42" s="1389"/>
      <c r="B42" s="1389"/>
      <c r="C42" s="1389"/>
      <c r="D42" s="1389"/>
      <c r="E42" s="1389"/>
      <c r="F42" s="1389"/>
      <c r="G42" s="1389"/>
      <c r="I42" s="1603">
        <v>2009</v>
      </c>
      <c r="J42" s="1603">
        <v>15.55</v>
      </c>
      <c r="K42" s="1603">
        <v>15.55</v>
      </c>
      <c r="L42" s="1603">
        <v>0</v>
      </c>
      <c r="M42" s="1603">
        <v>0</v>
      </c>
      <c r="N42" s="1603">
        <v>0</v>
      </c>
    </row>
    <row r="43" spans="1:14" x14ac:dyDescent="0.25">
      <c r="A43" s="1389"/>
      <c r="B43" s="1389"/>
      <c r="C43" s="1389"/>
      <c r="D43" s="1389"/>
      <c r="E43" s="1389"/>
      <c r="F43" s="1389"/>
      <c r="G43" s="1389"/>
      <c r="I43" s="1603">
        <v>2010</v>
      </c>
      <c r="J43" s="1603">
        <v>85.075999999999993</v>
      </c>
      <c r="K43" s="1603">
        <v>62.075999999999993</v>
      </c>
      <c r="L43" s="1603">
        <v>23</v>
      </c>
      <c r="M43" s="1603">
        <v>0</v>
      </c>
      <c r="N43" s="1603">
        <v>0</v>
      </c>
    </row>
    <row r="44" spans="1:14" x14ac:dyDescent="0.25">
      <c r="A44" s="1389"/>
      <c r="B44" s="1389"/>
      <c r="C44" s="1389"/>
      <c r="D44" s="1389"/>
      <c r="E44" s="1389"/>
      <c r="F44" s="1389"/>
      <c r="G44" s="1389"/>
      <c r="I44" s="1603">
        <v>2011</v>
      </c>
      <c r="J44" s="1603">
        <v>104.52599999999998</v>
      </c>
      <c r="K44" s="1603">
        <v>76.475999999999985</v>
      </c>
      <c r="L44" s="1603">
        <v>28.05</v>
      </c>
      <c r="M44" s="1603">
        <v>0</v>
      </c>
      <c r="N44" s="1603">
        <v>0</v>
      </c>
    </row>
    <row r="45" spans="1:14" x14ac:dyDescent="0.25">
      <c r="A45" s="1389"/>
      <c r="B45" s="1389"/>
      <c r="C45" s="1389"/>
      <c r="D45" s="1389"/>
      <c r="E45" s="1389"/>
      <c r="F45" s="1389"/>
      <c r="G45" s="1389"/>
      <c r="I45" s="1603">
        <v>2012</v>
      </c>
      <c r="J45" s="1603">
        <v>255.99600000000001</v>
      </c>
      <c r="K45" s="1603">
        <v>110.44600000000001</v>
      </c>
      <c r="L45" s="1603">
        <v>65.55</v>
      </c>
      <c r="M45" s="1603">
        <v>80</v>
      </c>
      <c r="N45" s="1603">
        <v>0</v>
      </c>
    </row>
    <row r="46" spans="1:14" x14ac:dyDescent="0.25">
      <c r="A46" s="1389"/>
      <c r="B46" s="1389"/>
      <c r="C46" s="1389"/>
      <c r="D46" s="1389"/>
      <c r="E46" s="1389"/>
      <c r="F46" s="1389"/>
      <c r="G46" s="1389"/>
      <c r="I46" s="1603">
        <v>2013</v>
      </c>
      <c r="J46" s="1603">
        <v>308.32400000000001</v>
      </c>
      <c r="K46" s="1603">
        <v>150.774</v>
      </c>
      <c r="L46" s="1603">
        <v>77.55</v>
      </c>
      <c r="M46" s="1603">
        <v>80</v>
      </c>
      <c r="N46" s="1603">
        <v>0</v>
      </c>
    </row>
    <row r="47" spans="1:14" x14ac:dyDescent="0.25">
      <c r="A47" s="1389"/>
      <c r="B47" s="1389"/>
      <c r="C47" s="1389"/>
      <c r="D47" s="1389"/>
      <c r="E47" s="1389"/>
      <c r="F47" s="1389"/>
      <c r="G47" s="1389"/>
      <c r="I47" s="1603">
        <v>2014</v>
      </c>
      <c r="J47" s="1603">
        <v>516.42100000000005</v>
      </c>
      <c r="K47" s="1603">
        <v>200.87100000000004</v>
      </c>
      <c r="L47" s="1603">
        <v>77.55</v>
      </c>
      <c r="M47" s="1603">
        <v>96</v>
      </c>
      <c r="N47" s="1603">
        <v>142</v>
      </c>
    </row>
    <row r="48" spans="1:14" x14ac:dyDescent="0.25">
      <c r="A48" s="1389"/>
      <c r="B48" s="1389"/>
      <c r="C48" s="1389"/>
      <c r="D48" s="1389"/>
      <c r="E48" s="1389"/>
      <c r="F48" s="1389"/>
      <c r="G48" s="1389"/>
      <c r="I48" s="1603">
        <v>2015</v>
      </c>
      <c r="J48" s="1603">
        <v>616.721</v>
      </c>
      <c r="K48" s="1603">
        <v>200.87100000000004</v>
      </c>
      <c r="L48" s="1603">
        <v>80.75</v>
      </c>
      <c r="M48" s="1603">
        <v>96</v>
      </c>
      <c r="N48" s="1603">
        <v>239.1</v>
      </c>
    </row>
    <row r="49" spans="1:14" x14ac:dyDescent="0.25">
      <c r="A49" s="1389"/>
      <c r="B49" s="1389"/>
      <c r="C49" s="1389"/>
      <c r="D49" s="1389"/>
      <c r="E49" s="1389"/>
      <c r="F49" s="1389"/>
      <c r="G49" s="1389"/>
      <c r="I49" s="1603">
        <v>2016</v>
      </c>
      <c r="J49" s="1603">
        <v>661.12900000000002</v>
      </c>
      <c r="K49" s="1603">
        <v>239.37900000000002</v>
      </c>
      <c r="L49" s="1603">
        <v>82.5</v>
      </c>
      <c r="M49" s="1603">
        <v>100</v>
      </c>
      <c r="N49" s="1603">
        <v>239.25</v>
      </c>
    </row>
    <row r="50" spans="1:14" x14ac:dyDescent="0.25">
      <c r="A50" s="1389"/>
      <c r="B50" s="1389"/>
      <c r="C50" s="1389"/>
      <c r="D50" s="1389"/>
      <c r="E50" s="1389"/>
      <c r="F50" s="1389"/>
      <c r="G50" s="1389"/>
      <c r="I50" s="1603">
        <v>2017</v>
      </c>
      <c r="J50" s="1603">
        <v>831.851</v>
      </c>
      <c r="K50" s="1603">
        <v>265.61700000000002</v>
      </c>
      <c r="L50" s="1603">
        <v>82.5</v>
      </c>
      <c r="M50" s="1603">
        <v>244.48400000000001</v>
      </c>
      <c r="N50" s="1603">
        <v>239.25</v>
      </c>
    </row>
    <row r="51" spans="1:14" x14ac:dyDescent="0.25">
      <c r="A51" s="1389"/>
      <c r="B51" s="1389"/>
      <c r="C51" s="1389"/>
      <c r="D51" s="1389"/>
      <c r="E51" s="1389"/>
      <c r="F51" s="1389"/>
      <c r="G51" s="1389"/>
      <c r="I51" s="1603">
        <v>2018</v>
      </c>
      <c r="J51" s="1603">
        <v>1118.1510000000001</v>
      </c>
      <c r="K51" s="1603">
        <v>377.21699999999993</v>
      </c>
      <c r="L51" s="1603">
        <v>84.9</v>
      </c>
      <c r="M51" s="1603">
        <v>284.48400000000004</v>
      </c>
      <c r="N51" s="1603">
        <v>371.55000000000007</v>
      </c>
    </row>
    <row r="52" spans="1:14" x14ac:dyDescent="0.25">
      <c r="A52" s="1389"/>
      <c r="B52" s="1389"/>
      <c r="C52" s="1389"/>
      <c r="D52" s="1389"/>
      <c r="E52" s="1389"/>
      <c r="F52" s="1389"/>
      <c r="G52" s="1389"/>
      <c r="I52" s="1603">
        <v>2019</v>
      </c>
      <c r="J52" s="1603">
        <v>1178.252</v>
      </c>
      <c r="K52" s="1603">
        <v>411.06699999999995</v>
      </c>
      <c r="L52" s="1603">
        <v>106.61000000000001</v>
      </c>
      <c r="M52" s="1603">
        <v>289.02499999999998</v>
      </c>
      <c r="N52" s="1603">
        <v>371.55000000000007</v>
      </c>
    </row>
    <row r="53" spans="1:14" x14ac:dyDescent="0.25">
      <c r="A53" s="1389"/>
      <c r="B53" s="1389"/>
      <c r="C53" s="1389"/>
      <c r="D53" s="1389"/>
      <c r="E53" s="1389"/>
      <c r="F53" s="1389"/>
      <c r="G53" s="1389"/>
      <c r="I53" s="1603">
        <v>2020</v>
      </c>
      <c r="J53" s="1603">
        <v>1226.394</v>
      </c>
      <c r="K53" s="1603">
        <v>420.06899999999996</v>
      </c>
      <c r="L53" s="1603">
        <v>109.01</v>
      </c>
      <c r="M53" s="1603">
        <v>289.02499999999998</v>
      </c>
      <c r="N53" s="1603">
        <v>408.29000000000008</v>
      </c>
    </row>
    <row r="54" spans="1:14" x14ac:dyDescent="0.25">
      <c r="A54" s="1389"/>
      <c r="B54" s="1389"/>
      <c r="C54" s="1389"/>
      <c r="D54" s="1389"/>
      <c r="E54" s="1389"/>
      <c r="F54" s="1389"/>
      <c r="G54" s="1389"/>
      <c r="I54" s="1603">
        <v>2021</v>
      </c>
      <c r="J54" s="1603">
        <v>1234.4079999999999</v>
      </c>
      <c r="K54" s="1603">
        <v>430.88299999999992</v>
      </c>
      <c r="L54" s="1603">
        <v>109.01</v>
      </c>
      <c r="M54" s="1603">
        <v>286.22500000000002</v>
      </c>
      <c r="N54" s="1603">
        <v>408.29000000000008</v>
      </c>
    </row>
    <row r="55" spans="1:14" x14ac:dyDescent="0.25">
      <c r="A55" s="1389"/>
      <c r="B55" s="1389"/>
      <c r="C55" s="1389"/>
      <c r="D55" s="1389"/>
      <c r="E55" s="1389"/>
      <c r="F55" s="1389"/>
      <c r="G55" s="1389"/>
      <c r="I55" s="1603">
        <v>2022</v>
      </c>
      <c r="J55" s="1603">
        <v>1364.4079999999999</v>
      </c>
      <c r="K55" s="1603">
        <v>430.88299999999992</v>
      </c>
      <c r="L55" s="1603">
        <v>109.01000000000002</v>
      </c>
      <c r="M55" s="1603">
        <v>286.22500000000002</v>
      </c>
      <c r="N55" s="1603">
        <v>538.29000000000008</v>
      </c>
    </row>
    <row r="56" spans="1:14" x14ac:dyDescent="0.25">
      <c r="A56" s="1389"/>
      <c r="B56" s="1389"/>
      <c r="C56" s="1389"/>
      <c r="D56" s="1389"/>
      <c r="E56" s="1389"/>
      <c r="F56" s="1389"/>
      <c r="G56" s="1389"/>
    </row>
    <row r="57" spans="1:14" x14ac:dyDescent="0.25">
      <c r="A57" s="1389"/>
      <c r="B57" s="1389"/>
      <c r="C57" s="1389"/>
      <c r="D57" s="1389"/>
      <c r="E57" s="1389"/>
      <c r="F57" s="1389"/>
      <c r="G57" s="1389"/>
    </row>
    <row r="58" spans="1:14" x14ac:dyDescent="0.25">
      <c r="A58" s="1389"/>
      <c r="B58" s="1389"/>
      <c r="C58" s="1389"/>
      <c r="D58" s="1389"/>
      <c r="E58" s="1389"/>
      <c r="F58" s="1389"/>
      <c r="G58" s="1389"/>
    </row>
    <row r="59" spans="1:14" x14ac:dyDescent="0.25">
      <c r="A59" s="1389"/>
      <c r="B59" s="1389"/>
      <c r="C59" s="1389"/>
      <c r="D59" s="1389"/>
      <c r="E59" s="1389"/>
      <c r="F59" s="1389"/>
      <c r="G59" s="1389"/>
    </row>
    <row r="60" spans="1:14" x14ac:dyDescent="0.25">
      <c r="A60" s="1389"/>
      <c r="B60" s="1389"/>
      <c r="C60" s="1389"/>
      <c r="D60" s="1389"/>
      <c r="E60" s="1389"/>
      <c r="F60" s="1389"/>
      <c r="G60" s="1389"/>
    </row>
    <row r="61" spans="1:14" x14ac:dyDescent="0.25">
      <c r="A61" s="1389"/>
      <c r="B61" s="1389"/>
      <c r="C61" s="1389"/>
      <c r="D61" s="1389"/>
      <c r="E61" s="1389"/>
      <c r="F61" s="1389"/>
      <c r="G61" s="1389"/>
    </row>
    <row r="62" spans="1:14" x14ac:dyDescent="0.25">
      <c r="A62" s="1389"/>
      <c r="B62" s="1389"/>
      <c r="C62" s="1389"/>
      <c r="D62" s="1389"/>
      <c r="E62" s="1389"/>
      <c r="F62" s="1389"/>
      <c r="G62" s="1389"/>
    </row>
    <row r="63" spans="1:14" x14ac:dyDescent="0.25">
      <c r="B63" s="115"/>
    </row>
  </sheetData>
  <mergeCells count="4">
    <mergeCell ref="C4:F4"/>
    <mergeCell ref="A39:G39"/>
    <mergeCell ref="A4:A5"/>
    <mergeCell ref="B4:B5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05"/>
  <sheetViews>
    <sheetView showGridLines="0" view="pageBreakPreview" zoomScale="90" zoomScaleNormal="70" zoomScaleSheetLayoutView="90" workbookViewId="0">
      <selection activeCell="M6" sqref="M6"/>
    </sheetView>
  </sheetViews>
  <sheetFormatPr baseColWidth="10" defaultRowHeight="12.5" x14ac:dyDescent="0.25"/>
  <cols>
    <col min="1" max="1" width="5.7265625" customWidth="1"/>
    <col min="2" max="2" width="21.7265625" customWidth="1"/>
    <col min="3" max="3" width="11.81640625" customWidth="1"/>
    <col min="4" max="15" width="12" customWidth="1"/>
  </cols>
  <sheetData>
    <row r="1" spans="1:29" ht="18" x14ac:dyDescent="0.4">
      <c r="A1" s="10" t="s">
        <v>99</v>
      </c>
    </row>
    <row r="2" spans="1:29" ht="14" x14ac:dyDescent="0.3">
      <c r="C2" s="112"/>
      <c r="D2" s="112"/>
      <c r="E2" s="112"/>
      <c r="F2" s="112"/>
      <c r="G2" s="112"/>
      <c r="H2" s="112"/>
      <c r="I2" s="112"/>
      <c r="J2" s="113"/>
      <c r="K2" s="113"/>
      <c r="L2" s="113"/>
      <c r="M2" s="113"/>
      <c r="N2" s="113"/>
      <c r="O2" s="113"/>
    </row>
    <row r="3" spans="1:29" ht="15.5" x14ac:dyDescent="0.35">
      <c r="B3" s="70" t="s">
        <v>196</v>
      </c>
      <c r="C3" s="173"/>
      <c r="D3" s="173"/>
      <c r="E3" s="173"/>
      <c r="F3" s="173"/>
      <c r="G3" s="173"/>
      <c r="H3" s="173"/>
    </row>
    <row r="4" spans="1:29" ht="13" thickBot="1" x14ac:dyDescent="0.3"/>
    <row r="5" spans="1:29" s="94" customFormat="1" ht="15.75" customHeight="1" x14ac:dyDescent="0.25">
      <c r="B5" s="1454" t="s">
        <v>39</v>
      </c>
      <c r="C5" s="1456" t="s">
        <v>167</v>
      </c>
      <c r="D5" s="1457"/>
      <c r="E5" s="1457"/>
      <c r="F5" s="1457"/>
      <c r="G5" s="1458"/>
      <c r="H5" s="1037" t="s">
        <v>70</v>
      </c>
      <c r="I5" s="1038"/>
      <c r="J5" s="1039"/>
      <c r="K5" s="1039"/>
      <c r="L5" s="1039"/>
      <c r="M5" s="1037" t="s">
        <v>71</v>
      </c>
      <c r="N5" s="1040"/>
      <c r="O5" s="1041"/>
      <c r="R5" s="94" t="s">
        <v>53</v>
      </c>
      <c r="S5" s="94" t="s">
        <v>72</v>
      </c>
      <c r="T5" s="94" t="s">
        <v>73</v>
      </c>
      <c r="U5" s="251" t="s">
        <v>74</v>
      </c>
      <c r="V5" s="251" t="s">
        <v>92</v>
      </c>
      <c r="Y5" s="94" t="s">
        <v>53</v>
      </c>
      <c r="Z5" s="94" t="s">
        <v>72</v>
      </c>
      <c r="AA5" s="94" t="s">
        <v>73</v>
      </c>
      <c r="AB5" s="251" t="s">
        <v>74</v>
      </c>
      <c r="AC5" s="251" t="s">
        <v>92</v>
      </c>
    </row>
    <row r="6" spans="1:29" s="94" customFormat="1" ht="13" thickBot="1" x14ac:dyDescent="0.3">
      <c r="B6" s="1455"/>
      <c r="C6" s="1261" t="s">
        <v>53</v>
      </c>
      <c r="D6" s="1259" t="s">
        <v>76</v>
      </c>
      <c r="E6" s="1260" t="s">
        <v>77</v>
      </c>
      <c r="F6" s="1260" t="s">
        <v>74</v>
      </c>
      <c r="G6" s="1260" t="s">
        <v>75</v>
      </c>
      <c r="H6" s="1042" t="s">
        <v>53</v>
      </c>
      <c r="I6" s="1043" t="s">
        <v>76</v>
      </c>
      <c r="J6" s="1043" t="s">
        <v>77</v>
      </c>
      <c r="K6" s="1043" t="s">
        <v>74</v>
      </c>
      <c r="L6" s="1043" t="s">
        <v>75</v>
      </c>
      <c r="M6" s="1042" t="s">
        <v>53</v>
      </c>
      <c r="N6" s="1045" t="s">
        <v>76</v>
      </c>
      <c r="O6" s="1046" t="s">
        <v>77</v>
      </c>
      <c r="Q6" s="94">
        <v>1995</v>
      </c>
      <c r="R6" s="804">
        <f>C7</f>
        <v>4075.4080000000004</v>
      </c>
      <c r="S6" s="804">
        <f>D7</f>
        <v>2474.8850000000002</v>
      </c>
      <c r="T6" s="804">
        <f>E7</f>
        <v>1600.5229999999999</v>
      </c>
      <c r="X6" s="94">
        <v>1995</v>
      </c>
      <c r="Y6" s="804">
        <v>4075.4080000000004</v>
      </c>
      <c r="Z6" s="804">
        <v>2474.8850000000002</v>
      </c>
      <c r="AA6" s="804">
        <v>1600.5229999999999</v>
      </c>
    </row>
    <row r="7" spans="1:29" ht="13" x14ac:dyDescent="0.3">
      <c r="B7" s="1395">
        <v>1995</v>
      </c>
      <c r="C7" s="264">
        <f t="shared" ref="C7:C22" si="0">SUM(D7:G7)</f>
        <v>4075.4080000000004</v>
      </c>
      <c r="D7" s="265">
        <f t="shared" ref="D7:E22" si="1">SUM(I7,N7)</f>
        <v>2474.8850000000002</v>
      </c>
      <c r="E7" s="266">
        <f t="shared" si="1"/>
        <v>1600.5229999999999</v>
      </c>
      <c r="F7" s="266"/>
      <c r="G7" s="267"/>
      <c r="H7" s="265">
        <f t="shared" ref="H7:H21" si="2">SUM(I7:L7)</f>
        <v>3195.3919999999998</v>
      </c>
      <c r="I7" s="265">
        <f>+'3.3 y 3.4'!D7+'3.3 y 3.4'!I7+'3.3 y 3.4'!L7</f>
        <v>2205.915</v>
      </c>
      <c r="J7" s="268">
        <f>+'3.3 y 3.4'!E7+'3.3 y 3.4'!J7+'3.3 y 3.4'!M7</f>
        <v>989.47699999999998</v>
      </c>
      <c r="K7" s="269"/>
      <c r="L7" s="267"/>
      <c r="M7" s="265">
        <f t="shared" ref="M7:M22" si="3">SUM(N7:O7)</f>
        <v>880.01599999999996</v>
      </c>
      <c r="N7" s="266">
        <f>+'3.3 y 3.4'!D75+'3.3 y 3.4'!G75+'3.3 y 3.4'!J75</f>
        <v>268.97000000000003</v>
      </c>
      <c r="O7" s="270">
        <f>+'3.3 y 3.4'!E75+'3.3 y 3.4'!H75+'3.3 y 3.4'!K75</f>
        <v>611.04599999999994</v>
      </c>
      <c r="Q7">
        <v>1997</v>
      </c>
      <c r="R7" s="133">
        <f t="shared" ref="R7:T20" si="4">C9</f>
        <v>4581.0190000000002</v>
      </c>
      <c r="S7" s="133">
        <f t="shared" si="4"/>
        <v>2210.904</v>
      </c>
      <c r="T7" s="133">
        <f t="shared" si="4"/>
        <v>2369.8649999999998</v>
      </c>
      <c r="X7">
        <v>2005</v>
      </c>
      <c r="Y7" s="133">
        <v>5610.9250000000002</v>
      </c>
      <c r="Z7" s="133">
        <v>2989.203</v>
      </c>
      <c r="AA7" s="133">
        <v>2621.0219999999999</v>
      </c>
    </row>
    <row r="8" spans="1:29" ht="13" x14ac:dyDescent="0.3">
      <c r="B8" s="1396">
        <v>1996</v>
      </c>
      <c r="C8" s="271">
        <f t="shared" si="0"/>
        <v>4003.201</v>
      </c>
      <c r="D8" s="272">
        <f t="shared" si="1"/>
        <v>2201.877</v>
      </c>
      <c r="E8" s="268">
        <f t="shared" si="1"/>
        <v>1801.0740000000001</v>
      </c>
      <c r="F8" s="268"/>
      <c r="G8" s="273">
        <v>0.25</v>
      </c>
      <c r="H8" s="272">
        <f t="shared" si="2"/>
        <v>2879.5010000000002</v>
      </c>
      <c r="I8" s="272">
        <f>+'3.3 y 3.4'!D8+'3.3 y 3.4'!I8+'3.3 y 3.4'!L8</f>
        <v>1924.8510000000001</v>
      </c>
      <c r="J8" s="268">
        <f>+'3.3 y 3.4'!E8+'3.3 y 3.4'!J8+'3.3 y 3.4'!M8</f>
        <v>954.4</v>
      </c>
      <c r="K8" s="268"/>
      <c r="L8" s="268">
        <v>0.25</v>
      </c>
      <c r="M8" s="272">
        <f t="shared" si="3"/>
        <v>1123.7</v>
      </c>
      <c r="N8" s="274">
        <f>+'3.3 y 3.4'!D76+'3.3 y 3.4'!G76+'3.3 y 3.4'!J76</f>
        <v>277.02600000000001</v>
      </c>
      <c r="O8" s="275">
        <f>+'3.3 y 3.4'!E76+'3.3 y 3.4'!H76+'3.3 y 3.4'!K76</f>
        <v>846.67400000000009</v>
      </c>
      <c r="Q8">
        <v>1998</v>
      </c>
      <c r="R8" s="133">
        <f t="shared" si="4"/>
        <v>4781.6309999999994</v>
      </c>
      <c r="S8" s="133">
        <f t="shared" si="4"/>
        <v>2116.8689999999997</v>
      </c>
      <c r="T8" s="133">
        <f t="shared" si="4"/>
        <v>2664.5119999999997</v>
      </c>
      <c r="X8">
        <v>2010</v>
      </c>
      <c r="Y8" s="133">
        <v>8000.3870000000015</v>
      </c>
      <c r="Z8" s="133">
        <v>3317.4450000000006</v>
      </c>
      <c r="AA8" s="133">
        <v>4682.2420000000011</v>
      </c>
    </row>
    <row r="9" spans="1:29" ht="13" x14ac:dyDescent="0.3">
      <c r="B9" s="1395">
        <v>1997</v>
      </c>
      <c r="C9" s="264">
        <f t="shared" si="0"/>
        <v>4581.0190000000002</v>
      </c>
      <c r="D9" s="265">
        <f t="shared" si="1"/>
        <v>2210.904</v>
      </c>
      <c r="E9" s="276">
        <f t="shared" si="1"/>
        <v>2369.8649999999998</v>
      </c>
      <c r="F9" s="276"/>
      <c r="G9" s="277">
        <v>0.25</v>
      </c>
      <c r="H9" s="265">
        <f t="shared" si="2"/>
        <v>3826.8329999999996</v>
      </c>
      <c r="I9" s="265">
        <f>+'3.3 y 3.4'!D9+'3.3 y 3.4'!I9+'3.3 y 3.4'!L9</f>
        <v>2120.1709999999998</v>
      </c>
      <c r="J9" s="276">
        <f>+'3.3 y 3.4'!E9+'3.3 y 3.4'!J9+'3.3 y 3.4'!M9</f>
        <v>1706.4119999999998</v>
      </c>
      <c r="K9" s="276"/>
      <c r="L9" s="276">
        <v>0.25</v>
      </c>
      <c r="M9" s="265">
        <f t="shared" si="3"/>
        <v>754.18599999999992</v>
      </c>
      <c r="N9" s="266">
        <f>+'3.3 y 3.4'!D77+'3.3 y 3.4'!G77+'3.3 y 3.4'!J77</f>
        <v>90.733000000000004</v>
      </c>
      <c r="O9" s="270">
        <f>+'3.3 y 3.4'!E77+'3.3 y 3.4'!H77+'3.3 y 3.4'!K77</f>
        <v>663.45299999999997</v>
      </c>
      <c r="Q9">
        <v>1999</v>
      </c>
      <c r="R9" s="133">
        <f t="shared" si="4"/>
        <v>5116.1559999999999</v>
      </c>
      <c r="S9" s="133">
        <f t="shared" si="4"/>
        <v>2318.1080000000002</v>
      </c>
      <c r="T9" s="133">
        <f t="shared" si="4"/>
        <v>2797.348</v>
      </c>
      <c r="X9">
        <v>2011</v>
      </c>
      <c r="Y9" s="133">
        <v>8045.5330000000004</v>
      </c>
      <c r="Z9" s="133">
        <v>3328.6240000000003</v>
      </c>
      <c r="AA9" s="133">
        <v>4716.2090000000007</v>
      </c>
    </row>
    <row r="10" spans="1:29" ht="13" x14ac:dyDescent="0.3">
      <c r="B10" s="1396">
        <v>1998</v>
      </c>
      <c r="C10" s="271">
        <f t="shared" si="0"/>
        <v>4781.6309999999994</v>
      </c>
      <c r="D10" s="272">
        <f t="shared" si="1"/>
        <v>2116.8689999999997</v>
      </c>
      <c r="E10" s="268">
        <f t="shared" si="1"/>
        <v>2664.5119999999997</v>
      </c>
      <c r="F10" s="268"/>
      <c r="G10" s="273">
        <v>0.25</v>
      </c>
      <c r="H10" s="272">
        <f t="shared" si="2"/>
        <v>4020.8509999999997</v>
      </c>
      <c r="I10" s="278">
        <f>+'3.3 y 3.4'!D10+'3.3 y 3.4'!I10+'3.3 y 3.4'!L10</f>
        <v>2022.9019999999998</v>
      </c>
      <c r="J10" s="274">
        <f>+'3.3 y 3.4'!E10+'3.3 y 3.4'!J10+'3.3 y 3.4'!M10</f>
        <v>1997.6489999999999</v>
      </c>
      <c r="K10" s="274"/>
      <c r="L10" s="268">
        <v>0.3</v>
      </c>
      <c r="M10" s="272">
        <f t="shared" si="3"/>
        <v>760.82999999999993</v>
      </c>
      <c r="N10" s="274">
        <f>+'3.3 y 3.4'!D78+'3.3 y 3.4'!G78+'3.3 y 3.4'!J78</f>
        <v>93.967000000000013</v>
      </c>
      <c r="O10" s="275">
        <f>+'3.3 y 3.4'!E78+'3.3 y 3.4'!H78+'3.3 y 3.4'!K78</f>
        <v>666.86299999999994</v>
      </c>
      <c r="Q10">
        <v>2000</v>
      </c>
      <c r="R10" s="133">
        <f t="shared" si="4"/>
        <v>5554.8460000000005</v>
      </c>
      <c r="S10" s="133">
        <f t="shared" si="4"/>
        <v>2650.8950000000004</v>
      </c>
      <c r="T10" s="133">
        <f t="shared" si="4"/>
        <v>2903.2510000000002</v>
      </c>
      <c r="X10">
        <v>2012</v>
      </c>
      <c r="Y10" s="133">
        <v>8939.2570000000014</v>
      </c>
      <c r="Z10" s="133">
        <v>3360.136</v>
      </c>
      <c r="AA10" s="133">
        <v>5498.4210000000003</v>
      </c>
      <c r="AB10" s="284">
        <v>80</v>
      </c>
      <c r="AC10" s="284"/>
    </row>
    <row r="11" spans="1:29" ht="13" x14ac:dyDescent="0.3">
      <c r="B11" s="1395">
        <v>1999</v>
      </c>
      <c r="C11" s="264">
        <f t="shared" si="0"/>
        <v>5116.1559999999999</v>
      </c>
      <c r="D11" s="265">
        <f t="shared" si="1"/>
        <v>2318.1080000000002</v>
      </c>
      <c r="E11" s="276">
        <f t="shared" si="1"/>
        <v>2797.348</v>
      </c>
      <c r="F11" s="276"/>
      <c r="G11" s="277">
        <v>0.7</v>
      </c>
      <c r="H11" s="265">
        <f t="shared" si="2"/>
        <v>4317.9289999999992</v>
      </c>
      <c r="I11" s="269">
        <f>+'3.3 y 3.4'!D11+'3.3 y 3.4'!I11+'3.3 y 3.4'!L11</f>
        <v>2242.625</v>
      </c>
      <c r="J11" s="276">
        <f>+'3.3 y 3.4'!E11+'3.3 y 3.4'!J11+'3.3 y 3.4'!M11</f>
        <v>2074.6039999999998</v>
      </c>
      <c r="K11" s="276"/>
      <c r="L11" s="276">
        <v>0.7</v>
      </c>
      <c r="M11" s="265">
        <f t="shared" si="3"/>
        <v>798.22699999999998</v>
      </c>
      <c r="N11" s="266">
        <f>+'3.3 y 3.4'!D79+'3.3 y 3.4'!G79+'3.3 y 3.4'!J79</f>
        <v>75.48299999999999</v>
      </c>
      <c r="O11" s="270">
        <f>+'3.3 y 3.4'!E79+'3.3 y 3.4'!H79+'3.3 y 3.4'!K79</f>
        <v>722.74400000000003</v>
      </c>
      <c r="Q11">
        <v>2001</v>
      </c>
      <c r="R11" s="133">
        <f t="shared" si="4"/>
        <v>5387.1769999999997</v>
      </c>
      <c r="S11" s="133">
        <f t="shared" si="4"/>
        <v>2744.5029999999997</v>
      </c>
      <c r="T11" s="133">
        <f t="shared" si="4"/>
        <v>2641.9740000000002</v>
      </c>
      <c r="X11">
        <v>2013</v>
      </c>
      <c r="Y11" s="133">
        <v>9885.2720000000008</v>
      </c>
      <c r="Z11" s="133">
        <v>3414.4079999999994</v>
      </c>
      <c r="AA11" s="133">
        <v>6390.1639999999998</v>
      </c>
      <c r="AB11" s="284">
        <v>80</v>
      </c>
      <c r="AC11" s="284"/>
    </row>
    <row r="12" spans="1:29" ht="13" x14ac:dyDescent="0.3">
      <c r="B12" s="1396">
        <v>2000</v>
      </c>
      <c r="C12" s="271">
        <f t="shared" si="0"/>
        <v>5554.8460000000005</v>
      </c>
      <c r="D12" s="272">
        <f t="shared" si="1"/>
        <v>2650.8950000000004</v>
      </c>
      <c r="E12" s="268">
        <f t="shared" si="1"/>
        <v>2903.2510000000002</v>
      </c>
      <c r="F12" s="268"/>
      <c r="G12" s="273">
        <f>L12</f>
        <v>0.7</v>
      </c>
      <c r="H12" s="272">
        <f t="shared" si="2"/>
        <v>4775.9350000000004</v>
      </c>
      <c r="I12" s="278">
        <f>+'3.3 y 3.4'!D12+'3.3 y 3.4'!I12+'3.3 y 3.4'!L12</f>
        <v>2575.9240000000004</v>
      </c>
      <c r="J12" s="268">
        <f>+'3.3 y 3.4'!E12+'3.3 y 3.4'!J12+'3.3 y 3.4'!M12</f>
        <v>2199.3110000000001</v>
      </c>
      <c r="K12" s="268"/>
      <c r="L12" s="268">
        <v>0.7</v>
      </c>
      <c r="M12" s="272">
        <f t="shared" si="3"/>
        <v>778.91100000000006</v>
      </c>
      <c r="N12" s="274">
        <f>+'3.3 y 3.4'!D80+'3.3 y 3.4'!G80+'3.3 y 3.4'!J80</f>
        <v>74.971000000000004</v>
      </c>
      <c r="O12" s="275">
        <f>+'3.3 y 3.4'!E80+'3.3 y 3.4'!H80+'3.3 y 3.4'!K80</f>
        <v>703.94</v>
      </c>
      <c r="Q12" s="80">
        <v>2002</v>
      </c>
      <c r="R12" s="133">
        <f t="shared" si="4"/>
        <v>5395.6689999999999</v>
      </c>
      <c r="S12" s="133">
        <f t="shared" si="4"/>
        <v>2775.2819999999997</v>
      </c>
      <c r="T12" s="133">
        <f t="shared" si="4"/>
        <v>2619.6870000000004</v>
      </c>
      <c r="X12">
        <v>2014</v>
      </c>
      <c r="Y12" s="133">
        <v>10269.342000000001</v>
      </c>
      <c r="Z12" s="133">
        <v>3527.288</v>
      </c>
      <c r="AA12" s="133">
        <v>6503.3540000000003</v>
      </c>
      <c r="AB12" s="284">
        <v>96</v>
      </c>
      <c r="AC12" s="284">
        <v>142.69999999999999</v>
      </c>
    </row>
    <row r="13" spans="1:29" ht="13" x14ac:dyDescent="0.3">
      <c r="B13" s="1390" t="s">
        <v>59</v>
      </c>
      <c r="C13" s="264">
        <f t="shared" si="0"/>
        <v>5387.1769999999997</v>
      </c>
      <c r="D13" s="265">
        <f t="shared" si="1"/>
        <v>2744.5029999999997</v>
      </c>
      <c r="E13" s="276">
        <f t="shared" si="1"/>
        <v>2641.9740000000002</v>
      </c>
      <c r="F13" s="276"/>
      <c r="G13" s="276">
        <v>0.7</v>
      </c>
      <c r="H13" s="276">
        <f t="shared" si="2"/>
        <v>4642.0639999999994</v>
      </c>
      <c r="I13" s="276">
        <f>+'3.3 y 3.4'!D14+'3.3 y 3.4'!L14</f>
        <v>2674.8349999999996</v>
      </c>
      <c r="J13" s="276">
        <f>+'3.3 y 3.4'!E14+'3.3 y 3.4'!M14</f>
        <v>1966.529</v>
      </c>
      <c r="K13" s="276"/>
      <c r="L13" s="276">
        <f>+'3.3 y 3.4'!O14</f>
        <v>0.7</v>
      </c>
      <c r="M13" s="276">
        <f t="shared" si="3"/>
        <v>745.11300000000017</v>
      </c>
      <c r="N13" s="276">
        <f>+'3.3 y 3.4'!D82+'3.3 y 3.4'!J82</f>
        <v>69.667999999999992</v>
      </c>
      <c r="O13" s="270">
        <f>+'3.3 y 3.4'!E82+'3.3 y 3.4'!K82</f>
        <v>675.44500000000016</v>
      </c>
      <c r="Q13">
        <v>2003</v>
      </c>
      <c r="R13" s="133">
        <f t="shared" si="4"/>
        <v>5421.8069999999998</v>
      </c>
      <c r="S13" s="133">
        <f t="shared" si="4"/>
        <v>2790.2730000000001</v>
      </c>
      <c r="T13" s="133">
        <f t="shared" si="4"/>
        <v>2630.8340000000003</v>
      </c>
      <c r="X13">
        <v>2015</v>
      </c>
      <c r="Y13" s="133">
        <v>11230.439999999999</v>
      </c>
      <c r="Z13" s="133">
        <v>4019.8179999999993</v>
      </c>
      <c r="AA13" s="133">
        <v>6874.8219999999992</v>
      </c>
      <c r="AB13" s="284">
        <v>96</v>
      </c>
      <c r="AC13" s="284">
        <v>239.79999999999998</v>
      </c>
    </row>
    <row r="14" spans="1:29" ht="13" x14ac:dyDescent="0.3">
      <c r="B14" s="1396">
        <v>2002</v>
      </c>
      <c r="C14" s="271">
        <f t="shared" si="0"/>
        <v>5395.6689999999999</v>
      </c>
      <c r="D14" s="272">
        <f t="shared" si="1"/>
        <v>2775.2819999999997</v>
      </c>
      <c r="E14" s="268">
        <f t="shared" si="1"/>
        <v>2619.6870000000004</v>
      </c>
      <c r="F14" s="268"/>
      <c r="G14" s="268">
        <f t="shared" ref="G14:G25" si="5">SUM(L14)</f>
        <v>0.7</v>
      </c>
      <c r="H14" s="268">
        <f t="shared" si="2"/>
        <v>4657.8269999999993</v>
      </c>
      <c r="I14" s="268">
        <f>+'3.3 y 3.4'!D15+'3.3 y 3.4'!L15</f>
        <v>2702.8629999999998</v>
      </c>
      <c r="J14" s="268">
        <f>+'3.3 y 3.4'!E15+'3.3 y 3.4'!M15</f>
        <v>1954.2639999999999</v>
      </c>
      <c r="K14" s="268"/>
      <c r="L14" s="268">
        <f>+'3.3 y 3.4'!O15</f>
        <v>0.7</v>
      </c>
      <c r="M14" s="268">
        <f t="shared" si="3"/>
        <v>737.84200000000055</v>
      </c>
      <c r="N14" s="268">
        <f>+'3.3 y 3.4'!D83+'3.3 y 3.4'!J83</f>
        <v>72.418999999999997</v>
      </c>
      <c r="O14" s="275">
        <f>+'3.3 y 3.4'!E83+'3.3 y 3.4'!K83</f>
        <v>665.42300000000057</v>
      </c>
      <c r="Q14">
        <v>2004</v>
      </c>
      <c r="R14" s="133">
        <f t="shared" si="4"/>
        <v>5417.9590700000017</v>
      </c>
      <c r="S14" s="133">
        <f t="shared" si="4"/>
        <v>2815.0040700000009</v>
      </c>
      <c r="T14" s="133">
        <f t="shared" si="4"/>
        <v>2602.2550000000006</v>
      </c>
      <c r="X14">
        <v>2016</v>
      </c>
      <c r="Y14" s="133">
        <v>13642.506100000006</v>
      </c>
      <c r="Z14" s="133">
        <v>5086.3390000000027</v>
      </c>
      <c r="AA14" s="133">
        <v>8220.2171000000017</v>
      </c>
      <c r="AB14" s="284">
        <v>96</v>
      </c>
      <c r="AC14" s="284">
        <v>239.95</v>
      </c>
    </row>
    <row r="15" spans="1:29" ht="13" x14ac:dyDescent="0.3">
      <c r="B15" s="1395">
        <v>2003</v>
      </c>
      <c r="C15" s="264">
        <f t="shared" si="0"/>
        <v>5421.8069999999998</v>
      </c>
      <c r="D15" s="265">
        <f t="shared" si="1"/>
        <v>2790.2730000000001</v>
      </c>
      <c r="E15" s="276">
        <f t="shared" si="1"/>
        <v>2630.8340000000003</v>
      </c>
      <c r="F15" s="276"/>
      <c r="G15" s="276">
        <f t="shared" si="5"/>
        <v>0.7</v>
      </c>
      <c r="H15" s="276">
        <f t="shared" si="2"/>
        <v>4686.3940000000002</v>
      </c>
      <c r="I15" s="276">
        <f>+'3.3 y 3.4'!D16+'3.3 y 3.4'!L16</f>
        <v>2720.2290000000003</v>
      </c>
      <c r="J15" s="276">
        <f>+'3.3 y 3.4'!E16+'3.3 y 3.4'!M16</f>
        <v>1965.4649999999999</v>
      </c>
      <c r="K15" s="276"/>
      <c r="L15" s="276">
        <f>+'3.3 y 3.4'!O16</f>
        <v>0.7</v>
      </c>
      <c r="M15" s="276">
        <f t="shared" si="3"/>
        <v>735.41300000000035</v>
      </c>
      <c r="N15" s="276">
        <f>+'3.3 y 3.4'!D84+'3.3 y 3.4'!J84</f>
        <v>70.043999999999983</v>
      </c>
      <c r="O15" s="270">
        <f>+'3.3 y 3.4'!E84+'3.3 y 3.4'!K84</f>
        <v>665.36900000000037</v>
      </c>
      <c r="Q15">
        <v>2005</v>
      </c>
      <c r="R15" s="133">
        <f t="shared" si="4"/>
        <v>5610.9250000000002</v>
      </c>
      <c r="S15" s="133">
        <f t="shared" si="4"/>
        <v>2989.203</v>
      </c>
      <c r="T15" s="133">
        <f t="shared" si="4"/>
        <v>2621.0219999999999</v>
      </c>
      <c r="X15">
        <v>2017</v>
      </c>
      <c r="Y15" s="133">
        <v>13852.100279999999</v>
      </c>
      <c r="Z15" s="133">
        <v>5158.210680000001</v>
      </c>
      <c r="AA15" s="133">
        <v>8213.4555999999975</v>
      </c>
      <c r="AB15" s="284">
        <v>240.48400000000001</v>
      </c>
      <c r="AC15" s="284">
        <v>239.95000000000002</v>
      </c>
    </row>
    <row r="16" spans="1:29" ht="13" x14ac:dyDescent="0.3">
      <c r="B16" s="1396">
        <v>2004</v>
      </c>
      <c r="C16" s="271">
        <f t="shared" si="0"/>
        <v>5417.9590700000017</v>
      </c>
      <c r="D16" s="272">
        <f t="shared" si="1"/>
        <v>2815.0040700000009</v>
      </c>
      <c r="E16" s="268">
        <f t="shared" si="1"/>
        <v>2602.2550000000006</v>
      </c>
      <c r="F16" s="268"/>
      <c r="G16" s="268">
        <f t="shared" si="5"/>
        <v>0.7</v>
      </c>
      <c r="H16" s="268">
        <f t="shared" si="2"/>
        <v>4657.3150700000006</v>
      </c>
      <c r="I16" s="268">
        <f>+'3.3 y 3.4'!D17+'3.3 y 3.4'!L17</f>
        <v>2747.2720700000009</v>
      </c>
      <c r="J16" s="268">
        <f>+'3.3 y 3.4'!E17+'3.3 y 3.4'!M17</f>
        <v>1909.3430000000001</v>
      </c>
      <c r="K16" s="268"/>
      <c r="L16" s="268">
        <f>+'3.3 y 3.4'!O17</f>
        <v>0.7</v>
      </c>
      <c r="M16" s="268">
        <f t="shared" si="3"/>
        <v>760.64400000000035</v>
      </c>
      <c r="N16" s="268">
        <f>+'3.3 y 3.4'!D85+'3.3 y 3.4'!J85</f>
        <v>67.731999999999999</v>
      </c>
      <c r="O16" s="275">
        <f>+'3.3 y 3.4'!E85+'3.3 y 3.4'!K85</f>
        <v>692.91200000000038</v>
      </c>
      <c r="Q16">
        <v>2006</v>
      </c>
      <c r="R16" s="133">
        <f t="shared" si="4"/>
        <v>5873.4000000000005</v>
      </c>
      <c r="S16" s="133">
        <f t="shared" si="4"/>
        <v>2995.9740000000002</v>
      </c>
      <c r="T16" s="133">
        <f t="shared" si="4"/>
        <v>2876.7260000000006</v>
      </c>
      <c r="X16">
        <v>2018</v>
      </c>
      <c r="Y16" s="133">
        <v>14366.256100000001</v>
      </c>
      <c r="Z16" s="133">
        <v>5291.8340000000007</v>
      </c>
      <c r="AA16" s="133">
        <v>8421.6880999999994</v>
      </c>
      <c r="AB16" s="284">
        <v>280.48400000000004</v>
      </c>
      <c r="AC16" s="284">
        <v>372.25000000000006</v>
      </c>
    </row>
    <row r="17" spans="2:29" ht="13" x14ac:dyDescent="0.3">
      <c r="B17" s="1395">
        <v>2005</v>
      </c>
      <c r="C17" s="264">
        <f t="shared" si="0"/>
        <v>5610.9250000000002</v>
      </c>
      <c r="D17" s="265">
        <f t="shared" si="1"/>
        <v>2989.203</v>
      </c>
      <c r="E17" s="266">
        <f t="shared" si="1"/>
        <v>2621.0219999999999</v>
      </c>
      <c r="F17" s="266"/>
      <c r="G17" s="276">
        <f t="shared" si="5"/>
        <v>0.7</v>
      </c>
      <c r="H17" s="265">
        <f t="shared" si="2"/>
        <v>4798.6629999999996</v>
      </c>
      <c r="I17" s="276">
        <f>+'3.3 y 3.4'!D18+'3.3 y 3.4'!L18</f>
        <v>2918.7730000000001</v>
      </c>
      <c r="J17" s="266">
        <f>+'3.3 y 3.4'!E18+'3.3 y 3.4'!M18</f>
        <v>1879.1899999999998</v>
      </c>
      <c r="K17" s="266"/>
      <c r="L17" s="276">
        <f>+'3.3 y 3.4'!O18</f>
        <v>0.7</v>
      </c>
      <c r="M17" s="265">
        <f t="shared" si="3"/>
        <v>812.2620000000004</v>
      </c>
      <c r="N17" s="276">
        <f>+'3.3 y 3.4'!D86+'3.3 y 3.4'!J86</f>
        <v>70.430000000000007</v>
      </c>
      <c r="O17" s="270">
        <f>+'3.3 y 3.4'!E86+'3.3 y 3.4'!K86</f>
        <v>741.83200000000033</v>
      </c>
      <c r="Q17" s="80">
        <v>2007</v>
      </c>
      <c r="R17" s="133">
        <f t="shared" si="4"/>
        <v>6352.0139999999983</v>
      </c>
      <c r="S17" s="133">
        <f t="shared" si="4"/>
        <v>3013.297999999998</v>
      </c>
      <c r="T17" s="133">
        <f t="shared" si="4"/>
        <v>3338.0160000000005</v>
      </c>
      <c r="X17">
        <v>2019</v>
      </c>
      <c r="Y17" s="133">
        <v>14378.884100000001</v>
      </c>
      <c r="Z17" s="133">
        <v>5354.6510000000026</v>
      </c>
      <c r="AA17" s="133">
        <v>8366.9580999999998</v>
      </c>
      <c r="AB17" s="284">
        <v>285.02499999999998</v>
      </c>
      <c r="AC17" s="284">
        <v>372.25000000000017</v>
      </c>
    </row>
    <row r="18" spans="2:29" ht="13" x14ac:dyDescent="0.3">
      <c r="B18" s="1396">
        <v>2006</v>
      </c>
      <c r="C18" s="271">
        <f t="shared" si="0"/>
        <v>5873.4000000000005</v>
      </c>
      <c r="D18" s="272">
        <f t="shared" si="1"/>
        <v>2995.9740000000002</v>
      </c>
      <c r="E18" s="274">
        <f t="shared" si="1"/>
        <v>2876.7260000000006</v>
      </c>
      <c r="F18" s="274"/>
      <c r="G18" s="268">
        <f t="shared" si="5"/>
        <v>0.7</v>
      </c>
      <c r="H18" s="272">
        <f t="shared" si="2"/>
        <v>5064.3620000000001</v>
      </c>
      <c r="I18" s="268">
        <f>+'3.3 y 3.4'!D19+'3.3 y 3.4'!L19</f>
        <v>2926.6179999999999</v>
      </c>
      <c r="J18" s="274">
        <f>+'3.3 y 3.4'!E19+'3.3 y 3.4'!M19</f>
        <v>2137.0440000000003</v>
      </c>
      <c r="K18" s="274"/>
      <c r="L18" s="268">
        <f>+'3.3 y 3.4'!O19</f>
        <v>0.7</v>
      </c>
      <c r="M18" s="272">
        <f t="shared" si="3"/>
        <v>809.03800000000001</v>
      </c>
      <c r="N18" s="268">
        <f>+'3.3 y 3.4'!D87+'3.3 y 3.4'!J87</f>
        <v>69.355999999999995</v>
      </c>
      <c r="O18" s="275">
        <f>+'3.3 y 3.4'!E87+'3.3 y 3.4'!K87</f>
        <v>739.68200000000002</v>
      </c>
      <c r="Q18">
        <v>2008</v>
      </c>
      <c r="R18" s="133">
        <f t="shared" si="4"/>
        <v>6348.9440000000004</v>
      </c>
      <c r="S18" s="133">
        <f t="shared" si="4"/>
        <v>3027.9020000000005</v>
      </c>
      <c r="T18" s="133">
        <f t="shared" si="4"/>
        <v>3320.3419999999996</v>
      </c>
      <c r="X18">
        <v>2020</v>
      </c>
      <c r="Y18" s="133">
        <v>14431.9601</v>
      </c>
      <c r="Z18" s="133">
        <v>5370.7270000000017</v>
      </c>
      <c r="AA18" s="133">
        <v>8367.2181</v>
      </c>
      <c r="AB18" s="284">
        <v>285.02499999999998</v>
      </c>
      <c r="AC18" s="284">
        <v>408.99000000000018</v>
      </c>
    </row>
    <row r="19" spans="2:29" ht="13" x14ac:dyDescent="0.3">
      <c r="B19" s="1395">
        <v>2007</v>
      </c>
      <c r="C19" s="264">
        <f t="shared" si="0"/>
        <v>6352.0139999999983</v>
      </c>
      <c r="D19" s="265">
        <f t="shared" si="1"/>
        <v>3013.297999999998</v>
      </c>
      <c r="E19" s="266">
        <f t="shared" si="1"/>
        <v>3338.0160000000005</v>
      </c>
      <c r="F19" s="266"/>
      <c r="G19" s="276">
        <f t="shared" si="5"/>
        <v>0.7</v>
      </c>
      <c r="H19" s="265">
        <f t="shared" si="2"/>
        <v>5532.8549999999987</v>
      </c>
      <c r="I19" s="276">
        <f>+'3.3 y 3.4'!D20+'3.3 y 3.4'!L20</f>
        <v>2939.5869999999982</v>
      </c>
      <c r="J19" s="266">
        <f>+'3.3 y 3.4'!E20+'3.3 y 3.4'!M20</f>
        <v>2592.5680000000007</v>
      </c>
      <c r="K19" s="266"/>
      <c r="L19" s="276">
        <f>+'3.3 y 3.4'!O20</f>
        <v>0.7</v>
      </c>
      <c r="M19" s="265">
        <f t="shared" si="3"/>
        <v>819.15900000000011</v>
      </c>
      <c r="N19" s="276">
        <f>+'3.3 y 3.4'!D88+'3.3 y 3.4'!J88</f>
        <v>73.710999999999984</v>
      </c>
      <c r="O19" s="270">
        <f>+'3.3 y 3.4'!E88+'3.3 y 3.4'!K88</f>
        <v>745.44800000000009</v>
      </c>
      <c r="Q19">
        <v>2009</v>
      </c>
      <c r="R19" s="133">
        <f t="shared" si="4"/>
        <v>7256.3469999999998</v>
      </c>
      <c r="S19" s="133">
        <f t="shared" si="4"/>
        <v>3115.768</v>
      </c>
      <c r="T19" s="133">
        <f t="shared" si="4"/>
        <v>4139.8789999999999</v>
      </c>
      <c r="X19">
        <v>2021</v>
      </c>
      <c r="Y19" s="133">
        <v>14579.382100000004</v>
      </c>
      <c r="Z19" s="133">
        <v>5482.3190000000022</v>
      </c>
      <c r="AA19" s="133">
        <v>8402.7661000000007</v>
      </c>
      <c r="AB19" s="284">
        <v>285.30700000000002</v>
      </c>
      <c r="AC19" s="284">
        <v>408.99000000000018</v>
      </c>
    </row>
    <row r="20" spans="2:29" ht="13" x14ac:dyDescent="0.3">
      <c r="B20" s="1396">
        <v>2008</v>
      </c>
      <c r="C20" s="271">
        <f t="shared" si="0"/>
        <v>6348.9440000000004</v>
      </c>
      <c r="D20" s="272">
        <f t="shared" si="1"/>
        <v>3027.9020000000005</v>
      </c>
      <c r="E20" s="274">
        <f t="shared" si="1"/>
        <v>3320.3419999999996</v>
      </c>
      <c r="F20" s="274"/>
      <c r="G20" s="268">
        <f t="shared" si="5"/>
        <v>0.7</v>
      </c>
      <c r="H20" s="272">
        <f t="shared" si="2"/>
        <v>5444.2159999999994</v>
      </c>
      <c r="I20" s="268">
        <f>+'3.3 y 3.4'!D21+'3.3 y 3.4'!L21</f>
        <v>2953.1210000000005</v>
      </c>
      <c r="J20" s="274">
        <f>+'3.3 y 3.4'!E21+'3.3 y 3.4'!M21</f>
        <v>2490.3949999999995</v>
      </c>
      <c r="K20" s="274"/>
      <c r="L20" s="268">
        <f>+'3.3 y 3.4'!O21</f>
        <v>0.7</v>
      </c>
      <c r="M20" s="272">
        <f t="shared" si="3"/>
        <v>904.72799999999995</v>
      </c>
      <c r="N20" s="268">
        <f>+'3.3 y 3.4'!D89+'3.3 y 3.4'!J89</f>
        <v>74.780999999999977</v>
      </c>
      <c r="O20" s="275">
        <f>+'3.3 y 3.4'!E89+'3.3 y 3.4'!K89</f>
        <v>829.947</v>
      </c>
      <c r="Q20">
        <v>2010</v>
      </c>
      <c r="R20" s="133">
        <f t="shared" si="4"/>
        <v>8000.3870000000015</v>
      </c>
      <c r="S20" s="133">
        <f t="shared" si="4"/>
        <v>3317.4450000000006</v>
      </c>
      <c r="T20" s="133">
        <f t="shared" si="4"/>
        <v>4682.2420000000011</v>
      </c>
      <c r="X20">
        <v>2022</v>
      </c>
      <c r="Y20" s="133">
        <v>14976.981099999995</v>
      </c>
      <c r="Z20" s="133">
        <v>5493.2879999999968</v>
      </c>
      <c r="AA20" s="133">
        <v>8659.3960999999981</v>
      </c>
      <c r="AB20" s="284">
        <v>285.30700000000002</v>
      </c>
      <c r="AC20" s="284">
        <v>538.99</v>
      </c>
    </row>
    <row r="21" spans="2:29" ht="13" x14ac:dyDescent="0.3">
      <c r="B21" s="1395">
        <v>2009</v>
      </c>
      <c r="C21" s="264">
        <f t="shared" si="0"/>
        <v>7256.3469999999998</v>
      </c>
      <c r="D21" s="265">
        <f t="shared" si="1"/>
        <v>3115.768</v>
      </c>
      <c r="E21" s="266">
        <f t="shared" si="1"/>
        <v>4139.8789999999999</v>
      </c>
      <c r="F21" s="266"/>
      <c r="G21" s="276">
        <f t="shared" si="5"/>
        <v>0.7</v>
      </c>
      <c r="H21" s="265">
        <f t="shared" si="2"/>
        <v>6246.4090000000006</v>
      </c>
      <c r="I21" s="276">
        <f>+'3.3 y 3.4'!D22+'3.3 y 3.4'!L22</f>
        <v>3037.1620000000003</v>
      </c>
      <c r="J21" s="266">
        <f>+'3.3 y 3.4'!E22+'3.3 y 3.4'!M22</f>
        <v>3208.547</v>
      </c>
      <c r="K21" s="266"/>
      <c r="L21" s="276">
        <f>+'3.3 y 3.4'!O22</f>
        <v>0.7</v>
      </c>
      <c r="M21" s="265">
        <f t="shared" si="3"/>
        <v>1009.9380000000001</v>
      </c>
      <c r="N21" s="276">
        <f>+'3.3 y 3.4'!D90+'3.3 y 3.4'!J90</f>
        <v>78.605999999999995</v>
      </c>
      <c r="O21" s="270">
        <f>+'3.3 y 3.4'!E90+'3.3 y 3.4'!K90</f>
        <v>931.33200000000011</v>
      </c>
      <c r="Q21">
        <v>2011</v>
      </c>
      <c r="R21" s="133">
        <f t="shared" ref="R21:R30" si="6">C23</f>
        <v>8045.5330000000004</v>
      </c>
      <c r="S21" s="133">
        <f t="shared" ref="S21:S30" si="7">D23</f>
        <v>3328.6240000000003</v>
      </c>
      <c r="T21" s="133">
        <f t="shared" ref="T21:T30" si="8">E23</f>
        <v>4716.2090000000007</v>
      </c>
    </row>
    <row r="22" spans="2:29" ht="13" x14ac:dyDescent="0.3">
      <c r="B22" s="1396">
        <v>2010</v>
      </c>
      <c r="C22" s="279">
        <f t="shared" si="0"/>
        <v>8000.3870000000015</v>
      </c>
      <c r="D22" s="272">
        <f t="shared" si="1"/>
        <v>3317.4450000000006</v>
      </c>
      <c r="E22" s="274">
        <f t="shared" si="1"/>
        <v>4682.2420000000011</v>
      </c>
      <c r="F22" s="274"/>
      <c r="G22" s="280">
        <f t="shared" si="5"/>
        <v>0.7</v>
      </c>
      <c r="H22" s="281">
        <f t="shared" ref="H22:H34" si="9">SUM(I22:L22)</f>
        <v>6875.0380000000014</v>
      </c>
      <c r="I22" s="280">
        <f>+'3.3 y 3.4'!D23+'3.3 y 3.4'!L23</f>
        <v>3237.3610000000008</v>
      </c>
      <c r="J22" s="282">
        <f>+'3.3 y 3.4'!E23+'3.3 y 3.4'!M23</f>
        <v>3636.9770000000008</v>
      </c>
      <c r="K22" s="282"/>
      <c r="L22" s="268">
        <f>+'3.3 y 3.4'!O23</f>
        <v>0.7</v>
      </c>
      <c r="M22" s="281">
        <f t="shared" si="3"/>
        <v>1125.3490000000004</v>
      </c>
      <c r="N22" s="280">
        <f>+'3.3 y 3.4'!D91+'3.3 y 3.4'!J91</f>
        <v>80.084000000000003</v>
      </c>
      <c r="O22" s="283">
        <f>+'3.3 y 3.4'!E91+'3.3 y 3.4'!K91</f>
        <v>1045.2650000000003</v>
      </c>
      <c r="Q22">
        <v>2012</v>
      </c>
      <c r="R22" s="133">
        <f t="shared" si="6"/>
        <v>8939.2570000000014</v>
      </c>
      <c r="S22" s="133">
        <f t="shared" si="7"/>
        <v>3360.136</v>
      </c>
      <c r="T22" s="133">
        <f t="shared" si="8"/>
        <v>5498.4210000000003</v>
      </c>
      <c r="U22" s="284">
        <f t="shared" ref="U22:U30" si="10">F24</f>
        <v>80</v>
      </c>
      <c r="V22" s="284"/>
    </row>
    <row r="23" spans="2:29" ht="13" x14ac:dyDescent="0.3">
      <c r="B23" s="1395">
        <v>2011</v>
      </c>
      <c r="C23" s="264">
        <f>SUM(D23:G23)</f>
        <v>8045.5330000000004</v>
      </c>
      <c r="D23" s="265">
        <f t="shared" ref="D23:E27" si="11">SUM(I23,N23)</f>
        <v>3328.6240000000003</v>
      </c>
      <c r="E23" s="266">
        <f t="shared" si="11"/>
        <v>4716.2090000000007</v>
      </c>
      <c r="F23" s="266"/>
      <c r="G23" s="276">
        <f t="shared" si="5"/>
        <v>0.7</v>
      </c>
      <c r="H23" s="265">
        <f t="shared" si="9"/>
        <v>6867.8210000000008</v>
      </c>
      <c r="I23" s="276">
        <f>+'3.3 y 3.4'!D24+'3.3 y 3.4'!L24</f>
        <v>3246.6250000000005</v>
      </c>
      <c r="J23" s="266">
        <f>+'3.3 y 3.4'!E24+'3.3 y 3.4'!M24</f>
        <v>3620.4960000000005</v>
      </c>
      <c r="K23" s="266"/>
      <c r="L23" s="276">
        <f>+'3.3 y 3.4'!O24</f>
        <v>0.7</v>
      </c>
      <c r="M23" s="265">
        <f>SUM(N23:O23)</f>
        <v>1177.712</v>
      </c>
      <c r="N23" s="276">
        <f>+'3.3 y 3.4'!D92+'3.3 y 3.4'!J92</f>
        <v>81.998999999999995</v>
      </c>
      <c r="O23" s="270">
        <f>+'3.3 y 3.4'!E92+'3.3 y 3.4'!K92</f>
        <v>1095.713</v>
      </c>
      <c r="Q23">
        <v>2013</v>
      </c>
      <c r="R23" s="133">
        <f t="shared" si="6"/>
        <v>9885.2720000000008</v>
      </c>
      <c r="S23" s="133">
        <f t="shared" si="7"/>
        <v>3414.4079999999994</v>
      </c>
      <c r="T23" s="133">
        <f t="shared" si="8"/>
        <v>6390.1639999999998</v>
      </c>
      <c r="U23" s="284">
        <f t="shared" si="10"/>
        <v>80</v>
      </c>
      <c r="V23" s="284"/>
    </row>
    <row r="24" spans="2:29" ht="13" x14ac:dyDescent="0.3">
      <c r="B24" s="1392">
        <v>2012</v>
      </c>
      <c r="C24" s="279">
        <f>SUM(D24:G24)</f>
        <v>8939.2570000000014</v>
      </c>
      <c r="D24" s="272">
        <f t="shared" si="11"/>
        <v>3360.136</v>
      </c>
      <c r="E24" s="274">
        <f t="shared" si="11"/>
        <v>5498.4210000000003</v>
      </c>
      <c r="F24" s="274">
        <f>SUM(K24)</f>
        <v>80</v>
      </c>
      <c r="G24" s="280">
        <f t="shared" si="5"/>
        <v>0.7</v>
      </c>
      <c r="H24" s="281">
        <f t="shared" si="9"/>
        <v>7754.9049999999997</v>
      </c>
      <c r="I24" s="280">
        <f>+'3.3 y 3.4'!D25+'3.3 y 3.4'!L25</f>
        <v>3270.5969999999998</v>
      </c>
      <c r="J24" s="282">
        <f>+'3.3 y 3.4'!E25+'3.3 y 3.4'!M25</f>
        <v>4403.6080000000002</v>
      </c>
      <c r="K24" s="282">
        <f>+'3.3 y 3.4'!F25</f>
        <v>80</v>
      </c>
      <c r="L24" s="268">
        <f>+'3.3 y 3.4'!G25+'3.3 y 3.4'!O25</f>
        <v>0.7</v>
      </c>
      <c r="M24" s="281">
        <f>SUM(N24:O24)</f>
        <v>1184.3520000000001</v>
      </c>
      <c r="N24" s="280">
        <f>+'3.3 y 3.4'!D93+'3.3 y 3.4'!J93</f>
        <v>89.539000000000016</v>
      </c>
      <c r="O24" s="283">
        <f>+'3.3 y 3.4'!E93+'3.3 y 3.4'!K93</f>
        <v>1094.8130000000001</v>
      </c>
      <c r="Q24">
        <v>2014</v>
      </c>
      <c r="R24" s="133">
        <f t="shared" si="6"/>
        <v>10269.342000000001</v>
      </c>
      <c r="S24" s="133">
        <f t="shared" si="7"/>
        <v>3527.288</v>
      </c>
      <c r="T24" s="133">
        <f t="shared" si="8"/>
        <v>6503.3540000000003</v>
      </c>
      <c r="U24" s="284">
        <f t="shared" si="10"/>
        <v>96</v>
      </c>
      <c r="V24" s="284">
        <f t="shared" ref="V24:V30" si="12">G26</f>
        <v>142.69999999999999</v>
      </c>
    </row>
    <row r="25" spans="2:29" ht="13" x14ac:dyDescent="0.3">
      <c r="B25" s="1390">
        <v>2013</v>
      </c>
      <c r="C25" s="285">
        <f>SUM(D25:G25)</f>
        <v>9885.2720000000008</v>
      </c>
      <c r="D25" s="286">
        <f t="shared" si="11"/>
        <v>3414.4079999999994</v>
      </c>
      <c r="E25" s="287">
        <f t="shared" si="11"/>
        <v>6390.1639999999998</v>
      </c>
      <c r="F25" s="287">
        <f>SUM(K25)</f>
        <v>80</v>
      </c>
      <c r="G25" s="288">
        <f t="shared" si="5"/>
        <v>0.7</v>
      </c>
      <c r="H25" s="286">
        <f t="shared" si="9"/>
        <v>8680.4210000000003</v>
      </c>
      <c r="I25" s="288">
        <f>+'3.3 y 3.4'!D26+'3.3 y 3.4'!L26</f>
        <v>3337.0359999999996</v>
      </c>
      <c r="J25" s="287">
        <f>+'3.3 y 3.4'!E26+'3.3 y 3.4'!M26</f>
        <v>5262.6849999999995</v>
      </c>
      <c r="K25" s="287">
        <f>+'3.3 y 3.4'!F26</f>
        <v>80</v>
      </c>
      <c r="L25" s="288">
        <f>+'3.3 y 3.4'!G26+'3.3 y 3.4'!O26</f>
        <v>0.7</v>
      </c>
      <c r="M25" s="286">
        <f>SUM(N25:O25)</f>
        <v>1204.8510000000001</v>
      </c>
      <c r="N25" s="288">
        <f>+'3.3 y 3.4'!D94+'3.3 y 3.4'!J94</f>
        <v>77.372</v>
      </c>
      <c r="O25" s="289">
        <f>+'3.3 y 3.4'!E94+'3.3 y 3.4'!K94</f>
        <v>1127.479</v>
      </c>
      <c r="Q25">
        <v>2015</v>
      </c>
      <c r="R25" s="133">
        <f t="shared" si="6"/>
        <v>11230.439999999999</v>
      </c>
      <c r="S25" s="133">
        <f t="shared" si="7"/>
        <v>4019.8179999999993</v>
      </c>
      <c r="T25" s="133">
        <f t="shared" si="8"/>
        <v>6874.8219999999992</v>
      </c>
      <c r="U25" s="284">
        <f t="shared" si="10"/>
        <v>96</v>
      </c>
      <c r="V25" s="284">
        <f t="shared" si="12"/>
        <v>239.79999999999998</v>
      </c>
    </row>
    <row r="26" spans="2:29" ht="13" x14ac:dyDescent="0.3">
      <c r="B26" s="1393">
        <v>2014</v>
      </c>
      <c r="C26" s="279">
        <f>SUM(D26:G26)</f>
        <v>10269.342000000001</v>
      </c>
      <c r="D26" s="272">
        <f t="shared" si="11"/>
        <v>3527.288</v>
      </c>
      <c r="E26" s="274">
        <f t="shared" si="11"/>
        <v>6503.3540000000003</v>
      </c>
      <c r="F26" s="274">
        <f>SUM(K26)</f>
        <v>96</v>
      </c>
      <c r="G26" s="280">
        <f>SUM(L26)</f>
        <v>142.69999999999999</v>
      </c>
      <c r="H26" s="281">
        <f t="shared" si="9"/>
        <v>9082.8000000000011</v>
      </c>
      <c r="I26" s="280">
        <f>+'3.3 y 3.4'!D27+'3.3 y 3.4'!L27</f>
        <v>3435.9409999999998</v>
      </c>
      <c r="J26" s="282">
        <f>+'3.3 y 3.4'!E27+'3.3 y 3.4'!M27</f>
        <v>5408.1590000000006</v>
      </c>
      <c r="K26" s="282">
        <f>+'3.3 y 3.4'!F27</f>
        <v>96</v>
      </c>
      <c r="L26" s="268">
        <f>+'3.3 y 3.4'!G27+'3.3 y 3.4'!O27</f>
        <v>142.69999999999999</v>
      </c>
      <c r="M26" s="281">
        <f>SUM(N26:O26)</f>
        <v>1186.5419999999997</v>
      </c>
      <c r="N26" s="280">
        <f>+'3.3 y 3.4'!D95+'3.3 y 3.4'!J95</f>
        <v>91.347000000000008</v>
      </c>
      <c r="O26" s="283">
        <f>+'3.3 y 3.4'!E95+'3.3 y 3.4'!K95</f>
        <v>1095.1949999999997</v>
      </c>
      <c r="Q26">
        <v>2016</v>
      </c>
      <c r="R26" s="133">
        <f t="shared" si="6"/>
        <v>13642.506100000006</v>
      </c>
      <c r="S26" s="133">
        <f t="shared" si="7"/>
        <v>5086.3390000000027</v>
      </c>
      <c r="T26" s="133">
        <f t="shared" si="8"/>
        <v>8220.2171000000017</v>
      </c>
      <c r="U26" s="284">
        <f t="shared" si="10"/>
        <v>96</v>
      </c>
      <c r="V26" s="284">
        <f t="shared" si="12"/>
        <v>239.95</v>
      </c>
    </row>
    <row r="27" spans="2:29" ht="13" x14ac:dyDescent="0.3">
      <c r="B27" s="1390">
        <v>2015</v>
      </c>
      <c r="C27" s="285">
        <f>SUM(D27:G27)</f>
        <v>11230.439999999999</v>
      </c>
      <c r="D27" s="286">
        <f t="shared" si="11"/>
        <v>4019.8179999999993</v>
      </c>
      <c r="E27" s="287">
        <f t="shared" si="11"/>
        <v>6874.8219999999992</v>
      </c>
      <c r="F27" s="287">
        <f>SUM(K27)</f>
        <v>96</v>
      </c>
      <c r="G27" s="288">
        <f>SUM(L27)</f>
        <v>239.79999999999998</v>
      </c>
      <c r="H27" s="286">
        <f t="shared" si="9"/>
        <v>10028.283999999998</v>
      </c>
      <c r="I27" s="288">
        <f>+'3.3 y 3.4'!D28+'3.3 y 3.4'!L28</f>
        <v>3928.0909999999994</v>
      </c>
      <c r="J27" s="287">
        <f>+'3.3 y 3.4'!E28+'3.3 y 3.4'!M28</f>
        <v>5764.3929999999991</v>
      </c>
      <c r="K27" s="287">
        <f>+'3.3 y 3.4'!F28</f>
        <v>96</v>
      </c>
      <c r="L27" s="288">
        <f>+'3.3 y 3.4'!G28+'3.3 y 3.4'!O28</f>
        <v>239.79999999999998</v>
      </c>
      <c r="M27" s="286">
        <f>SUM(N27:O27)</f>
        <v>1202.1559999999999</v>
      </c>
      <c r="N27" s="288">
        <f>+'3.3 y 3.4'!D96+'3.3 y 3.4'!J96</f>
        <v>91.727000000000004</v>
      </c>
      <c r="O27" s="289">
        <f>+'3.3 y 3.4'!E96+'3.3 y 3.4'!K96</f>
        <v>1110.4289999999999</v>
      </c>
      <c r="Q27">
        <v>2017</v>
      </c>
      <c r="R27" s="133">
        <f t="shared" si="6"/>
        <v>13852.100279999999</v>
      </c>
      <c r="S27" s="133">
        <f t="shared" si="7"/>
        <v>5158.210680000001</v>
      </c>
      <c r="T27" s="133">
        <f t="shared" si="8"/>
        <v>8213.4555999999975</v>
      </c>
      <c r="U27" s="284">
        <f t="shared" si="10"/>
        <v>240.48400000000001</v>
      </c>
      <c r="V27" s="284">
        <f t="shared" si="12"/>
        <v>239.95000000000002</v>
      </c>
    </row>
    <row r="28" spans="2:29" ht="13" x14ac:dyDescent="0.3">
      <c r="B28" s="1393">
        <v>2016</v>
      </c>
      <c r="C28" s="279">
        <f t="shared" ref="C28:C34" si="13">SUM(D28:G28)</f>
        <v>13642.506100000006</v>
      </c>
      <c r="D28" s="272">
        <f t="shared" ref="D28:E34" si="14">SUM(I28,N28)</f>
        <v>5086.3390000000027</v>
      </c>
      <c r="E28" s="274">
        <f t="shared" si="14"/>
        <v>8220.2171000000017</v>
      </c>
      <c r="F28" s="274">
        <f t="shared" ref="F28:G34" si="15">SUM(K28)</f>
        <v>96</v>
      </c>
      <c r="G28" s="280">
        <f t="shared" si="15"/>
        <v>239.95</v>
      </c>
      <c r="H28" s="281">
        <f t="shared" si="9"/>
        <v>12450.708000000004</v>
      </c>
      <c r="I28" s="280">
        <f>+'3.3 y 3.4'!D29+'3.3 y 3.4'!L29</f>
        <v>4983.9800000000023</v>
      </c>
      <c r="J28" s="282">
        <f>+'3.3 y 3.4'!E29+'3.3 y 3.4'!M29</f>
        <v>7130.7780000000012</v>
      </c>
      <c r="K28" s="282">
        <f>+'3.3 y 3.4'!F29</f>
        <v>96</v>
      </c>
      <c r="L28" s="268">
        <f>+'3.3 y 3.4'!G29+'3.3 y 3.4'!O29</f>
        <v>239.95</v>
      </c>
      <c r="M28" s="281">
        <f t="shared" ref="M28:M34" si="16">SUM(N28:O28)</f>
        <v>1191.7980999999997</v>
      </c>
      <c r="N28" s="280">
        <f>+'3.3 y 3.4'!D97+'3.3 y 3.4'!J97</f>
        <v>102.35899999999999</v>
      </c>
      <c r="O28" s="283">
        <f>+'3.3 y 3.4'!E97+'3.3 y 3.4'!K97</f>
        <v>1089.4390999999998</v>
      </c>
      <c r="Q28">
        <v>2018</v>
      </c>
      <c r="R28" s="133">
        <f t="shared" si="6"/>
        <v>14366.256100000001</v>
      </c>
      <c r="S28" s="133">
        <f t="shared" si="7"/>
        <v>5291.8340000000007</v>
      </c>
      <c r="T28" s="133">
        <f t="shared" si="8"/>
        <v>8421.6880999999994</v>
      </c>
      <c r="U28" s="284">
        <f t="shared" si="10"/>
        <v>280.48400000000004</v>
      </c>
      <c r="V28" s="284">
        <f t="shared" si="12"/>
        <v>372.25000000000006</v>
      </c>
    </row>
    <row r="29" spans="2:29" ht="13" x14ac:dyDescent="0.3">
      <c r="B29" s="1390">
        <v>2017</v>
      </c>
      <c r="C29" s="285">
        <f t="shared" si="13"/>
        <v>13852.100279999999</v>
      </c>
      <c r="D29" s="286">
        <f t="shared" si="14"/>
        <v>5158.210680000001</v>
      </c>
      <c r="E29" s="287">
        <f t="shared" si="14"/>
        <v>8213.4555999999975</v>
      </c>
      <c r="F29" s="287">
        <f t="shared" si="15"/>
        <v>240.48400000000001</v>
      </c>
      <c r="G29" s="288">
        <f t="shared" si="15"/>
        <v>239.95000000000002</v>
      </c>
      <c r="H29" s="286">
        <f t="shared" si="9"/>
        <v>12631.25618</v>
      </c>
      <c r="I29" s="288">
        <f>+'3.3 y 3.4'!D30+'3.3 y 3.4'!L30</f>
        <v>5041.6326800000006</v>
      </c>
      <c r="J29" s="287">
        <f>+'3.3 y 3.4'!E30+'3.3 y 3.4'!M30</f>
        <v>7109.1894999999977</v>
      </c>
      <c r="K29" s="287">
        <f>+'3.3 y 3.4'!F30</f>
        <v>240.48400000000001</v>
      </c>
      <c r="L29" s="288">
        <f>+'3.3 y 3.4'!G30+'3.3 y 3.4'!O30</f>
        <v>239.95000000000002</v>
      </c>
      <c r="M29" s="286">
        <f t="shared" si="16"/>
        <v>1220.8440999999998</v>
      </c>
      <c r="N29" s="288">
        <f>+'3.3 y 3.4'!D98+'3.3 y 3.4'!J98</f>
        <v>116.578</v>
      </c>
      <c r="O29" s="289">
        <f>+'3.3 y 3.4'!E98+'3.3 y 3.4'!K98</f>
        <v>1104.2660999999998</v>
      </c>
      <c r="Q29">
        <v>2019</v>
      </c>
      <c r="R29" s="133">
        <f t="shared" si="6"/>
        <v>14378.884100000001</v>
      </c>
      <c r="S29" s="133">
        <f t="shared" si="7"/>
        <v>5354.6510000000026</v>
      </c>
      <c r="T29" s="133">
        <f t="shared" si="8"/>
        <v>8366.9580999999998</v>
      </c>
      <c r="U29" s="284">
        <f t="shared" si="10"/>
        <v>285.02499999999998</v>
      </c>
      <c r="V29" s="284">
        <f t="shared" si="12"/>
        <v>372.25000000000017</v>
      </c>
    </row>
    <row r="30" spans="2:29" ht="13" x14ac:dyDescent="0.3">
      <c r="B30" s="1393">
        <v>2018</v>
      </c>
      <c r="C30" s="279">
        <f t="shared" si="13"/>
        <v>14366.256100000001</v>
      </c>
      <c r="D30" s="272">
        <f t="shared" si="14"/>
        <v>5291.8340000000007</v>
      </c>
      <c r="E30" s="274">
        <f t="shared" si="14"/>
        <v>8421.6880999999994</v>
      </c>
      <c r="F30" s="274">
        <f t="shared" si="15"/>
        <v>280.48400000000004</v>
      </c>
      <c r="G30" s="280">
        <f t="shared" si="15"/>
        <v>372.25000000000006</v>
      </c>
      <c r="H30" s="281">
        <f t="shared" si="9"/>
        <v>13145.596000000001</v>
      </c>
      <c r="I30" s="280">
        <f>+'3.3 y 3.4'!D31+'3.3 y 3.4'!L31</f>
        <v>5174.4700000000012</v>
      </c>
      <c r="J30" s="282">
        <f>+'3.3 y 3.4'!E31+'3.3 y 3.4'!M31</f>
        <v>7318.3919999999998</v>
      </c>
      <c r="K30" s="282">
        <f>+'3.3 y 3.4'!F31</f>
        <v>280.48400000000004</v>
      </c>
      <c r="L30" s="268">
        <f>+'3.3 y 3.4'!G31+'3.3 y 3.4'!O31</f>
        <v>372.25000000000006</v>
      </c>
      <c r="M30" s="281">
        <f t="shared" si="16"/>
        <v>1220.6600999999998</v>
      </c>
      <c r="N30" s="280">
        <f>+'3.3 y 3.4'!D99+'3.3 y 3.4'!J99</f>
        <v>117.364</v>
      </c>
      <c r="O30" s="283">
        <f>+'3.3 y 3.4'!E99+'3.3 y 3.4'!K99</f>
        <v>1103.2960999999998</v>
      </c>
      <c r="Q30">
        <v>2020</v>
      </c>
      <c r="R30" s="133">
        <f t="shared" si="6"/>
        <v>14431.9601</v>
      </c>
      <c r="S30" s="133">
        <f t="shared" si="7"/>
        <v>5370.7270000000017</v>
      </c>
      <c r="T30" s="133">
        <f t="shared" si="8"/>
        <v>8367.2181</v>
      </c>
      <c r="U30" s="284">
        <f t="shared" si="10"/>
        <v>285.02499999999998</v>
      </c>
      <c r="V30" s="284">
        <f t="shared" si="12"/>
        <v>408.99000000000018</v>
      </c>
    </row>
    <row r="31" spans="2:29" ht="13" x14ac:dyDescent="0.3">
      <c r="B31" s="1390">
        <v>2019</v>
      </c>
      <c r="C31" s="285">
        <f t="shared" si="13"/>
        <v>14378.884100000001</v>
      </c>
      <c r="D31" s="286">
        <f t="shared" si="14"/>
        <v>5354.6510000000026</v>
      </c>
      <c r="E31" s="287">
        <f t="shared" si="14"/>
        <v>8366.9580999999998</v>
      </c>
      <c r="F31" s="287">
        <f t="shared" si="15"/>
        <v>285.02499999999998</v>
      </c>
      <c r="G31" s="288">
        <f t="shared" si="15"/>
        <v>372.25000000000017</v>
      </c>
      <c r="H31" s="286">
        <f t="shared" si="9"/>
        <v>13159.238000000001</v>
      </c>
      <c r="I31" s="288">
        <f>+'3.3 y 3.4'!D32+'3.3 y 3.4'!L32</f>
        <v>5236.2710000000025</v>
      </c>
      <c r="J31" s="287">
        <f>+'3.3 y 3.4'!E32+'3.3 y 3.4'!M32</f>
        <v>7265.6919999999991</v>
      </c>
      <c r="K31" s="287">
        <f>+'3.3 y 3.4'!F32</f>
        <v>285.02499999999998</v>
      </c>
      <c r="L31" s="288">
        <f>+'3.3 y 3.4'!G32+'3.3 y 3.4'!O32</f>
        <v>372.25000000000017</v>
      </c>
      <c r="M31" s="286">
        <f t="shared" si="16"/>
        <v>1219.6460999999999</v>
      </c>
      <c r="N31" s="288">
        <f>+'3.3 y 3.4'!D100+'3.3 y 3.4'!J100</f>
        <v>118.38</v>
      </c>
      <c r="O31" s="289">
        <f>+'3.3 y 3.4'!E100+'3.3 y 3.4'!K100</f>
        <v>1101.2660999999998</v>
      </c>
      <c r="Q31">
        <v>2021</v>
      </c>
      <c r="R31" s="133">
        <f t="shared" ref="R31:R32" si="17">C33</f>
        <v>14579.382100000004</v>
      </c>
      <c r="S31" s="133">
        <f t="shared" ref="S31:S32" si="18">D33</f>
        <v>5482.3190000000022</v>
      </c>
      <c r="T31" s="133">
        <f t="shared" ref="T31:T32" si="19">E33</f>
        <v>8402.7661000000007</v>
      </c>
      <c r="U31" s="284">
        <f t="shared" ref="U31:U32" si="20">F33</f>
        <v>285.30700000000002</v>
      </c>
      <c r="V31" s="284">
        <f t="shared" ref="V31:V32" si="21">G33</f>
        <v>408.99000000000018</v>
      </c>
    </row>
    <row r="32" spans="2:29" ht="13" x14ac:dyDescent="0.3">
      <c r="B32" s="1393">
        <v>2020</v>
      </c>
      <c r="C32" s="279">
        <f t="shared" si="13"/>
        <v>14431.9601</v>
      </c>
      <c r="D32" s="272">
        <f t="shared" si="14"/>
        <v>5370.7270000000017</v>
      </c>
      <c r="E32" s="274">
        <f t="shared" si="14"/>
        <v>8367.2181</v>
      </c>
      <c r="F32" s="274">
        <f t="shared" si="15"/>
        <v>285.02499999999998</v>
      </c>
      <c r="G32" s="280">
        <f t="shared" si="15"/>
        <v>408.99000000000018</v>
      </c>
      <c r="H32" s="281">
        <f t="shared" si="9"/>
        <v>13209.895</v>
      </c>
      <c r="I32" s="280">
        <f>+'3.3 y 3.4'!D33+'3.3 y 3.4'!L33</f>
        <v>5252.3690000000015</v>
      </c>
      <c r="J32" s="282">
        <f>+'3.3 y 3.4'!E33+'3.3 y 3.4'!M33</f>
        <v>7263.5110000000004</v>
      </c>
      <c r="K32" s="282">
        <f>+'3.3 y 3.4'!F33</f>
        <v>285.02499999999998</v>
      </c>
      <c r="L32" s="268">
        <f>+'3.3 y 3.4'!G33+'3.3 y 3.4'!O33</f>
        <v>408.99000000000018</v>
      </c>
      <c r="M32" s="281">
        <f t="shared" si="16"/>
        <v>1222.0650999999998</v>
      </c>
      <c r="N32" s="280">
        <f>+'3.3 y 3.4'!D101+'3.3 y 3.4'!J101</f>
        <v>118.35799999999998</v>
      </c>
      <c r="O32" s="283">
        <f>+'3.3 y 3.4'!E101+'3.3 y 3.4'!K101</f>
        <v>1103.7070999999999</v>
      </c>
      <c r="Q32">
        <v>2022</v>
      </c>
      <c r="R32" s="133">
        <f t="shared" si="17"/>
        <v>14976.981099999995</v>
      </c>
      <c r="S32" s="133">
        <f t="shared" si="18"/>
        <v>5493.2879999999968</v>
      </c>
      <c r="T32" s="133">
        <f t="shared" si="19"/>
        <v>8659.3960999999981</v>
      </c>
      <c r="U32" s="284">
        <f t="shared" si="20"/>
        <v>285.30700000000002</v>
      </c>
      <c r="V32" s="284">
        <f t="shared" si="21"/>
        <v>538.99</v>
      </c>
    </row>
    <row r="33" spans="2:29" ht="13" x14ac:dyDescent="0.3">
      <c r="B33" s="1390">
        <v>2021</v>
      </c>
      <c r="C33" s="285">
        <f t="shared" ref="C33" si="22">SUM(D33:G33)</f>
        <v>14579.382100000004</v>
      </c>
      <c r="D33" s="286">
        <f t="shared" ref="D33" si="23">SUM(I33,N33)</f>
        <v>5482.3190000000022</v>
      </c>
      <c r="E33" s="287">
        <f t="shared" ref="E33" si="24">SUM(J33,O33)</f>
        <v>8402.7661000000007</v>
      </c>
      <c r="F33" s="287">
        <f t="shared" ref="F33" si="25">SUM(K33)</f>
        <v>285.30700000000002</v>
      </c>
      <c r="G33" s="288">
        <f t="shared" ref="G33" si="26">SUM(L33)</f>
        <v>408.99000000000018</v>
      </c>
      <c r="H33" s="286">
        <f t="shared" si="9"/>
        <v>13339.090000000006</v>
      </c>
      <c r="I33" s="288">
        <f>+'3.3 y 3.4'!D34+'3.3 y 3.4'!L34</f>
        <v>5365.0870000000023</v>
      </c>
      <c r="J33" s="287">
        <f>+'3.3 y 3.4'!E34+'3.3 y 3.4'!M34</f>
        <v>7279.7060000000019</v>
      </c>
      <c r="K33" s="287">
        <f>+'3.3 y 3.4'!F34</f>
        <v>285.30700000000002</v>
      </c>
      <c r="L33" s="288">
        <f>+'3.3 y 3.4'!G34+'3.3 y 3.4'!O34</f>
        <v>408.99000000000018</v>
      </c>
      <c r="M33" s="286">
        <f t="shared" ref="M33" si="27">SUM(N33:O33)</f>
        <v>1240.2920999999997</v>
      </c>
      <c r="N33" s="288">
        <f>+'3.3 y 3.4'!D102+'3.3 y 3.4'!J102</f>
        <v>117.232</v>
      </c>
      <c r="O33" s="289">
        <f>+'3.3 y 3.4'!E102+'3.3 y 3.4'!K102</f>
        <v>1123.0600999999997</v>
      </c>
      <c r="R33" s="133"/>
      <c r="S33" s="133"/>
      <c r="T33" s="133"/>
      <c r="U33" s="133"/>
      <c r="V33" s="133"/>
      <c r="X33" s="284"/>
    </row>
    <row r="34" spans="2:29" ht="13.5" thickBot="1" x14ac:dyDescent="0.35">
      <c r="B34" s="1406">
        <v>2022</v>
      </c>
      <c r="C34" s="279">
        <f t="shared" si="13"/>
        <v>14976.981099999995</v>
      </c>
      <c r="D34" s="272">
        <f t="shared" si="14"/>
        <v>5493.2879999999968</v>
      </c>
      <c r="E34" s="274">
        <f t="shared" si="14"/>
        <v>8659.3960999999981</v>
      </c>
      <c r="F34" s="274">
        <f t="shared" si="15"/>
        <v>285.30700000000002</v>
      </c>
      <c r="G34" s="280">
        <f t="shared" si="15"/>
        <v>538.99</v>
      </c>
      <c r="H34" s="281">
        <f t="shared" si="9"/>
        <v>13698.288999999995</v>
      </c>
      <c r="I34" s="280">
        <f>+'3.3 y 3.4'!D35+'3.3 y 3.4'!L35</f>
        <v>5376.8919999999971</v>
      </c>
      <c r="J34" s="282">
        <f>+'3.3 y 3.4'!E35+'3.3 y 3.4'!M35</f>
        <v>7497.0999999999976</v>
      </c>
      <c r="K34" s="282">
        <f>+'3.3 y 3.4'!F35</f>
        <v>285.30700000000002</v>
      </c>
      <c r="L34" s="268">
        <f>+'3.3 y 3.4'!G35+'3.3 y 3.4'!O35</f>
        <v>538.99</v>
      </c>
      <c r="M34" s="281">
        <f t="shared" si="16"/>
        <v>1278.6921</v>
      </c>
      <c r="N34" s="280">
        <f>+'3.3 y 3.4'!D103+'3.3 y 3.4'!J103</f>
        <v>116.396</v>
      </c>
      <c r="O34" s="283">
        <f>+'3.3 y 3.4'!E103+'3.3 y 3.4'!K103</f>
        <v>1162.2961</v>
      </c>
      <c r="R34" s="133"/>
      <c r="S34" s="133"/>
      <c r="T34" s="133"/>
      <c r="X34" s="284"/>
    </row>
    <row r="35" spans="2:29" s="94" customFormat="1" ht="17.25" customHeight="1" x14ac:dyDescent="0.25">
      <c r="B35" s="803" t="s">
        <v>161</v>
      </c>
      <c r="C35" s="810">
        <f>(C34/C33)-1</f>
        <v>2.7271320366861751E-2</v>
      </c>
      <c r="D35" s="1174">
        <f t="shared" ref="D35:E35" si="28">(D34/D33)-1</f>
        <v>2.0007956487015921E-3</v>
      </c>
      <c r="E35" s="832">
        <f t="shared" si="28"/>
        <v>3.0541133353693795E-2</v>
      </c>
      <c r="F35" s="832">
        <f t="shared" ref="F35:G35" si="29">(F34/F33)-1</f>
        <v>0</v>
      </c>
      <c r="G35" s="832">
        <f t="shared" si="29"/>
        <v>0.31785618230274526</v>
      </c>
      <c r="H35" s="832">
        <f t="shared" ref="H35:J35" si="30">(H34/H33)-1</f>
        <v>2.6928298707032505E-2</v>
      </c>
      <c r="I35" s="1174">
        <f t="shared" si="30"/>
        <v>2.200337105436434E-3</v>
      </c>
      <c r="J35" s="832">
        <f t="shared" si="30"/>
        <v>2.9863019193356877E-2</v>
      </c>
      <c r="K35" s="832">
        <f>(K34/K33)-1</f>
        <v>0</v>
      </c>
      <c r="L35" s="832">
        <f t="shared" ref="L35:M35" si="31">(L34/L33)-1</f>
        <v>0.31785618230274526</v>
      </c>
      <c r="M35" s="832">
        <f t="shared" si="31"/>
        <v>3.0960448752354708E-2</v>
      </c>
      <c r="N35" s="832">
        <f t="shared" ref="N35:O35" si="32">(N34/N33)-1</f>
        <v>-7.1311587279923039E-3</v>
      </c>
      <c r="O35" s="834">
        <f t="shared" si="32"/>
        <v>3.4936687716000447E-2</v>
      </c>
      <c r="R35" s="804"/>
      <c r="S35" s="804"/>
      <c r="T35" s="804"/>
    </row>
    <row r="36" spans="2:29" s="94" customFormat="1" ht="17.25" customHeight="1" x14ac:dyDescent="0.25">
      <c r="B36" s="807" t="s">
        <v>162</v>
      </c>
      <c r="C36" s="811">
        <f>((C34/C29)^(1/5))-1</f>
        <v>1.5738071862674952E-2</v>
      </c>
      <c r="D36" s="835">
        <f t="shared" ref="D36:E36" si="33">((D34/D29)^(1/5))-1</f>
        <v>1.2667001638777986E-2</v>
      </c>
      <c r="E36" s="835">
        <f t="shared" si="33"/>
        <v>1.0630354858346402E-2</v>
      </c>
      <c r="F36" s="835">
        <f t="shared" ref="F36:G36" si="34">((F34/F29)^(1/5))-1</f>
        <v>3.4773380646377028E-2</v>
      </c>
      <c r="G36" s="835">
        <f t="shared" si="34"/>
        <v>0.17568774341470106</v>
      </c>
      <c r="H36" s="835">
        <f t="shared" ref="H36:J36" si="35">((H34/H29)^(1/5))-1</f>
        <v>1.6351555621840763E-2</v>
      </c>
      <c r="I36" s="835">
        <f t="shared" si="35"/>
        <v>1.2959361620413334E-2</v>
      </c>
      <c r="J36" s="835">
        <f t="shared" si="35"/>
        <v>1.0682259473060896E-2</v>
      </c>
      <c r="K36" s="835">
        <f t="shared" ref="K36" si="36">((K34/K29)^(1/5))-1</f>
        <v>3.4773380646377028E-2</v>
      </c>
      <c r="L36" s="835">
        <f t="shared" ref="L36:M36" si="37">((L34/L29)^(1/5))-1</f>
        <v>0.17568774341470106</v>
      </c>
      <c r="M36" s="835">
        <f t="shared" si="37"/>
        <v>9.3020483974257662E-3</v>
      </c>
      <c r="N36" s="835">
        <f t="shared" ref="N36:O36" si="38">((N34/N29)^(1/5))-1</f>
        <v>-3.1243246745560338E-4</v>
      </c>
      <c r="O36" s="836">
        <f t="shared" si="38"/>
        <v>1.0295940939635928E-2</v>
      </c>
      <c r="R36" s="804"/>
      <c r="S36" s="804"/>
      <c r="T36" s="804"/>
    </row>
    <row r="37" spans="2:29" s="94" customFormat="1" ht="17.25" customHeight="1" x14ac:dyDescent="0.25">
      <c r="B37" s="808" t="s">
        <v>163</v>
      </c>
      <c r="C37" s="812">
        <f>(C34/C24)-1</f>
        <v>0.67541677121487753</v>
      </c>
      <c r="D37" s="837">
        <f t="shared" ref="D37:E37" si="39">(D34/D24)-1</f>
        <v>0.63484097072261259</v>
      </c>
      <c r="E37" s="837">
        <f t="shared" si="39"/>
        <v>0.57488779051294858</v>
      </c>
      <c r="F37" s="837">
        <f t="shared" ref="F37" si="40">(F34/F24)-1</f>
        <v>2.5663375000000004</v>
      </c>
      <c r="G37" s="837" t="s">
        <v>32</v>
      </c>
      <c r="H37" s="837">
        <f t="shared" ref="H37:J37" si="41">(H34/H24)-1</f>
        <v>0.76640319900759524</v>
      </c>
      <c r="I37" s="837">
        <f t="shared" si="41"/>
        <v>0.64400933529872306</v>
      </c>
      <c r="J37" s="837">
        <f t="shared" si="41"/>
        <v>0.70249032157267344</v>
      </c>
      <c r="K37" s="837">
        <f t="shared" ref="K37" si="42">(K34/K24)-1</f>
        <v>2.5663375000000004</v>
      </c>
      <c r="L37" s="837" t="s">
        <v>32</v>
      </c>
      <c r="M37" s="837">
        <f t="shared" ref="M37" si="43">(M34/M24)-1</f>
        <v>7.9655457161384335E-2</v>
      </c>
      <c r="N37" s="837">
        <f t="shared" ref="N37:O37" si="44">(N34/N24)-1</f>
        <v>0.29994750890673316</v>
      </c>
      <c r="O37" s="838">
        <f t="shared" si="44"/>
        <v>6.163892829186346E-2</v>
      </c>
    </row>
    <row r="38" spans="2:29" s="94" customFormat="1" ht="17.25" customHeight="1" thickBot="1" x14ac:dyDescent="0.3">
      <c r="B38" s="809" t="s">
        <v>164</v>
      </c>
      <c r="C38" s="839">
        <f>((C34/C24)^(1/10))-1</f>
        <v>5.2960999860316438E-2</v>
      </c>
      <c r="D38" s="840">
        <f t="shared" ref="D38:E38" si="45">((D34/D24)^(1/10))-1</f>
        <v>5.038267841038846E-2</v>
      </c>
      <c r="E38" s="840">
        <f t="shared" si="45"/>
        <v>4.6465612217272856E-2</v>
      </c>
      <c r="F38" s="840">
        <f t="shared" ref="F38:G38" si="46">((F34/F24)^(1/10))-1</f>
        <v>0.13559178994310916</v>
      </c>
      <c r="G38" s="840">
        <f t="shared" si="46"/>
        <v>0.94378518070559658</v>
      </c>
      <c r="H38" s="840">
        <f t="shared" ref="H38:J38" si="47">((H34/H24)^(1/10))-1</f>
        <v>5.854416918426808E-2</v>
      </c>
      <c r="I38" s="840">
        <f t="shared" si="47"/>
        <v>5.0970263014208372E-2</v>
      </c>
      <c r="J38" s="840">
        <f t="shared" si="47"/>
        <v>5.4650262700844277E-2</v>
      </c>
      <c r="K38" s="840">
        <f t="shared" ref="K38" si="48">((K34/K24)^(1/10))-1</f>
        <v>0.13559178994310916</v>
      </c>
      <c r="L38" s="840">
        <f t="shared" ref="L38:M38" si="49">((L34/L24)^(1/10))-1</f>
        <v>0.94378518070559658</v>
      </c>
      <c r="M38" s="840">
        <f t="shared" si="49"/>
        <v>7.6936420426145791E-3</v>
      </c>
      <c r="N38" s="840">
        <f t="shared" ref="N38:O38" si="50">((N34/N24)^(1/10))-1</f>
        <v>2.657948611374894E-2</v>
      </c>
      <c r="O38" s="1286">
        <f t="shared" si="50"/>
        <v>5.9993114980210205E-3</v>
      </c>
    </row>
    <row r="39" spans="2:29" x14ac:dyDescent="0.25">
      <c r="B39" s="22" t="s">
        <v>85</v>
      </c>
      <c r="C39" s="201"/>
      <c r="D39" s="290"/>
      <c r="E39" s="290"/>
      <c r="F39" s="201"/>
      <c r="G39" s="202"/>
      <c r="H39" s="290"/>
      <c r="I39" s="290"/>
      <c r="J39" s="290"/>
      <c r="K39" s="201"/>
      <c r="L39" s="202"/>
      <c r="M39" s="290"/>
      <c r="N39" s="290"/>
      <c r="O39" s="290"/>
    </row>
    <row r="40" spans="2:29" x14ac:dyDescent="0.25">
      <c r="B40" s="263"/>
    </row>
    <row r="42" spans="2:29" x14ac:dyDescent="0.25">
      <c r="B42" s="5"/>
    </row>
    <row r="43" spans="2:29" x14ac:dyDescent="0.25">
      <c r="R43" t="s">
        <v>78</v>
      </c>
      <c r="Y43" t="s">
        <v>78</v>
      </c>
    </row>
    <row r="44" spans="2:29" x14ac:dyDescent="0.25">
      <c r="R44" t="s">
        <v>53</v>
      </c>
      <c r="S44" t="s">
        <v>76</v>
      </c>
      <c r="T44" t="s">
        <v>77</v>
      </c>
      <c r="U44" s="115" t="s">
        <v>74</v>
      </c>
      <c r="V44" s="115" t="s">
        <v>92</v>
      </c>
      <c r="Y44" t="s">
        <v>53</v>
      </c>
      <c r="Z44" t="s">
        <v>76</v>
      </c>
      <c r="AA44" t="s">
        <v>77</v>
      </c>
      <c r="AB44" s="115" t="s">
        <v>74</v>
      </c>
      <c r="AC44" s="115" t="s">
        <v>92</v>
      </c>
    </row>
    <row r="45" spans="2:29" x14ac:dyDescent="0.25">
      <c r="Q45">
        <v>1995</v>
      </c>
      <c r="R45" s="133">
        <f t="shared" ref="R45:R70" si="51">H7</f>
        <v>3195.3919999999998</v>
      </c>
      <c r="S45" s="133">
        <f t="shared" ref="S45:S70" si="52">I7</f>
        <v>2205.915</v>
      </c>
      <c r="T45" s="133">
        <f t="shared" ref="T45:T70" si="53">J7</f>
        <v>989.47699999999998</v>
      </c>
      <c r="X45">
        <v>1995</v>
      </c>
      <c r="Y45" s="133">
        <v>3195.3919999999998</v>
      </c>
      <c r="Z45" s="133">
        <v>2205.915</v>
      </c>
      <c r="AA45" s="133">
        <v>989.47699999999998</v>
      </c>
    </row>
    <row r="46" spans="2:29" x14ac:dyDescent="0.25">
      <c r="Q46">
        <v>1996</v>
      </c>
      <c r="R46" s="133">
        <f t="shared" si="51"/>
        <v>2879.5010000000002</v>
      </c>
      <c r="S46" s="133">
        <f t="shared" si="52"/>
        <v>1924.8510000000001</v>
      </c>
      <c r="T46" s="133">
        <f t="shared" si="53"/>
        <v>954.4</v>
      </c>
      <c r="X46">
        <v>2000</v>
      </c>
      <c r="Y46" s="133">
        <v>4775.9350000000004</v>
      </c>
      <c r="Z46" s="133">
        <v>2575.9240000000004</v>
      </c>
      <c r="AA46" s="133">
        <v>2199.3110000000001</v>
      </c>
    </row>
    <row r="47" spans="2:29" x14ac:dyDescent="0.25">
      <c r="Q47">
        <v>1997</v>
      </c>
      <c r="R47" s="133">
        <f t="shared" si="51"/>
        <v>3826.8329999999996</v>
      </c>
      <c r="S47" s="133">
        <f t="shared" si="52"/>
        <v>2120.1709999999998</v>
      </c>
      <c r="T47" s="133">
        <f t="shared" si="53"/>
        <v>1706.4119999999998</v>
      </c>
      <c r="X47">
        <v>2005</v>
      </c>
      <c r="Y47" s="133">
        <v>4798.6629999999996</v>
      </c>
      <c r="Z47" s="133">
        <v>2918.7730000000001</v>
      </c>
      <c r="AA47" s="133">
        <v>1879.1899999999998</v>
      </c>
    </row>
    <row r="48" spans="2:29" x14ac:dyDescent="0.25">
      <c r="Q48">
        <v>1998</v>
      </c>
      <c r="R48" s="133">
        <f t="shared" si="51"/>
        <v>4020.8509999999997</v>
      </c>
      <c r="S48" s="133">
        <f t="shared" si="52"/>
        <v>2022.9019999999998</v>
      </c>
      <c r="T48" s="133">
        <f t="shared" si="53"/>
        <v>1997.6489999999999</v>
      </c>
      <c r="X48">
        <v>2010</v>
      </c>
      <c r="Y48" s="133">
        <v>6875.0380000000014</v>
      </c>
      <c r="Z48" s="133">
        <v>3237.3610000000008</v>
      </c>
      <c r="AA48" s="133">
        <v>3636.9770000000008</v>
      </c>
    </row>
    <row r="49" spans="17:29" x14ac:dyDescent="0.25">
      <c r="Q49">
        <v>1999</v>
      </c>
      <c r="R49" s="133">
        <f t="shared" si="51"/>
        <v>4317.9289999999992</v>
      </c>
      <c r="S49" s="133">
        <f t="shared" si="52"/>
        <v>2242.625</v>
      </c>
      <c r="T49" s="133">
        <f t="shared" si="53"/>
        <v>2074.6039999999998</v>
      </c>
      <c r="X49">
        <v>2011</v>
      </c>
      <c r="Y49" s="133">
        <v>6867.8210000000008</v>
      </c>
      <c r="Z49" s="133">
        <v>3246.6250000000005</v>
      </c>
      <c r="AA49" s="133">
        <v>3620.4960000000005</v>
      </c>
    </row>
    <row r="50" spans="17:29" x14ac:dyDescent="0.25">
      <c r="Q50">
        <v>2000</v>
      </c>
      <c r="R50" s="133">
        <f t="shared" si="51"/>
        <v>4775.9350000000004</v>
      </c>
      <c r="S50" s="133">
        <f t="shared" si="52"/>
        <v>2575.9240000000004</v>
      </c>
      <c r="T50" s="133">
        <f t="shared" si="53"/>
        <v>2199.3110000000001</v>
      </c>
      <c r="X50">
        <v>2012</v>
      </c>
      <c r="Y50" s="133">
        <v>7754.9049999999997</v>
      </c>
      <c r="Z50" s="133">
        <v>3270.5969999999998</v>
      </c>
      <c r="AA50" s="133">
        <v>4403.6080000000002</v>
      </c>
      <c r="AB50">
        <v>80</v>
      </c>
    </row>
    <row r="51" spans="17:29" x14ac:dyDescent="0.25">
      <c r="Q51">
        <v>2001</v>
      </c>
      <c r="R51" s="133">
        <f t="shared" si="51"/>
        <v>4642.0639999999994</v>
      </c>
      <c r="S51" s="133">
        <f t="shared" si="52"/>
        <v>2674.8349999999996</v>
      </c>
      <c r="T51" s="133">
        <f t="shared" si="53"/>
        <v>1966.529</v>
      </c>
      <c r="X51">
        <v>2013</v>
      </c>
      <c r="Y51" s="133">
        <v>8680.4210000000003</v>
      </c>
      <c r="Z51" s="133">
        <v>3337.0359999999996</v>
      </c>
      <c r="AA51" s="133">
        <v>5262.6849999999995</v>
      </c>
      <c r="AB51">
        <v>80</v>
      </c>
    </row>
    <row r="52" spans="17:29" x14ac:dyDescent="0.25">
      <c r="Q52" s="80">
        <v>2002</v>
      </c>
      <c r="R52" s="133">
        <f t="shared" si="51"/>
        <v>4657.8269999999993</v>
      </c>
      <c r="S52" s="133">
        <f t="shared" si="52"/>
        <v>2702.8629999999998</v>
      </c>
      <c r="T52" s="133">
        <f t="shared" si="53"/>
        <v>1954.2639999999999</v>
      </c>
      <c r="X52">
        <v>2014</v>
      </c>
      <c r="Y52" s="133">
        <v>9082.8000000000011</v>
      </c>
      <c r="Z52" s="133">
        <v>3435.9409999999998</v>
      </c>
      <c r="AA52" s="133">
        <v>5408.1590000000006</v>
      </c>
      <c r="AB52">
        <v>96</v>
      </c>
      <c r="AC52">
        <v>142.69999999999999</v>
      </c>
    </row>
    <row r="53" spans="17:29" x14ac:dyDescent="0.25">
      <c r="Q53">
        <v>2003</v>
      </c>
      <c r="R53" s="133">
        <f t="shared" si="51"/>
        <v>4686.3940000000002</v>
      </c>
      <c r="S53" s="133">
        <f t="shared" si="52"/>
        <v>2720.2290000000003</v>
      </c>
      <c r="T53" s="133">
        <f t="shared" si="53"/>
        <v>1965.4649999999999</v>
      </c>
      <c r="X53">
        <v>2015</v>
      </c>
      <c r="Y53" s="133">
        <v>10028.283999999998</v>
      </c>
      <c r="Z53" s="133">
        <v>3928.0909999999994</v>
      </c>
      <c r="AA53" s="133">
        <v>5764.3929999999991</v>
      </c>
      <c r="AB53">
        <v>96</v>
      </c>
      <c r="AC53">
        <v>239.79999999999998</v>
      </c>
    </row>
    <row r="54" spans="17:29" x14ac:dyDescent="0.25">
      <c r="Q54">
        <v>2004</v>
      </c>
      <c r="R54" s="133">
        <f t="shared" si="51"/>
        <v>4657.3150700000006</v>
      </c>
      <c r="S54" s="133">
        <f t="shared" si="52"/>
        <v>2747.2720700000009</v>
      </c>
      <c r="T54" s="133">
        <f t="shared" si="53"/>
        <v>1909.3430000000001</v>
      </c>
      <c r="X54">
        <v>2016</v>
      </c>
      <c r="Y54" s="133">
        <v>12450.708000000004</v>
      </c>
      <c r="Z54" s="133">
        <v>4983.9800000000023</v>
      </c>
      <c r="AA54" s="133">
        <v>7130.7780000000012</v>
      </c>
      <c r="AB54">
        <v>96</v>
      </c>
      <c r="AC54">
        <v>239.95</v>
      </c>
    </row>
    <row r="55" spans="17:29" x14ac:dyDescent="0.25">
      <c r="Q55">
        <v>2005</v>
      </c>
      <c r="R55" s="133">
        <f t="shared" si="51"/>
        <v>4798.6629999999996</v>
      </c>
      <c r="S55" s="133">
        <f t="shared" si="52"/>
        <v>2918.7730000000001</v>
      </c>
      <c r="T55" s="133">
        <f t="shared" si="53"/>
        <v>1879.1899999999998</v>
      </c>
      <c r="X55">
        <v>2017</v>
      </c>
      <c r="Y55" s="133">
        <v>12631.25618</v>
      </c>
      <c r="Z55" s="133">
        <v>5041.6326800000006</v>
      </c>
      <c r="AA55" s="133">
        <v>7109.1894999999977</v>
      </c>
      <c r="AB55">
        <v>240.48400000000001</v>
      </c>
      <c r="AC55">
        <v>239.95000000000002</v>
      </c>
    </row>
    <row r="56" spans="17:29" x14ac:dyDescent="0.25">
      <c r="Q56">
        <v>2006</v>
      </c>
      <c r="R56" s="133">
        <f t="shared" si="51"/>
        <v>5064.3620000000001</v>
      </c>
      <c r="S56" s="133">
        <f t="shared" si="52"/>
        <v>2926.6179999999999</v>
      </c>
      <c r="T56" s="133">
        <f t="shared" si="53"/>
        <v>2137.0440000000003</v>
      </c>
      <c r="X56">
        <v>2018</v>
      </c>
      <c r="Y56" s="133">
        <v>13145.596000000001</v>
      </c>
      <c r="Z56" s="133">
        <v>5174.4700000000012</v>
      </c>
      <c r="AA56" s="133">
        <v>7318.3919999999998</v>
      </c>
      <c r="AB56">
        <v>280.48400000000004</v>
      </c>
      <c r="AC56">
        <v>372.25000000000006</v>
      </c>
    </row>
    <row r="57" spans="17:29" x14ac:dyDescent="0.25">
      <c r="Q57" s="80">
        <v>2007</v>
      </c>
      <c r="R57" s="133">
        <f t="shared" si="51"/>
        <v>5532.8549999999987</v>
      </c>
      <c r="S57" s="133">
        <f t="shared" si="52"/>
        <v>2939.5869999999982</v>
      </c>
      <c r="T57" s="133">
        <f t="shared" si="53"/>
        <v>2592.5680000000007</v>
      </c>
      <c r="X57">
        <v>2019</v>
      </c>
      <c r="Y57" s="133">
        <v>13159.238000000001</v>
      </c>
      <c r="Z57" s="133">
        <v>5236.2710000000025</v>
      </c>
      <c r="AA57" s="133">
        <v>7265.6919999999991</v>
      </c>
      <c r="AB57">
        <v>285.02499999999998</v>
      </c>
      <c r="AC57">
        <v>372.25000000000017</v>
      </c>
    </row>
    <row r="58" spans="17:29" x14ac:dyDescent="0.25">
      <c r="Q58">
        <v>2008</v>
      </c>
      <c r="R58" s="133">
        <f t="shared" si="51"/>
        <v>5444.2159999999994</v>
      </c>
      <c r="S58" s="133">
        <f t="shared" si="52"/>
        <v>2953.1210000000005</v>
      </c>
      <c r="T58" s="133">
        <f t="shared" si="53"/>
        <v>2490.3949999999995</v>
      </c>
      <c r="X58">
        <v>2020</v>
      </c>
      <c r="Y58" s="133">
        <v>13209.895</v>
      </c>
      <c r="Z58" s="133">
        <v>5252.3690000000015</v>
      </c>
      <c r="AA58" s="133">
        <v>7263.5110000000004</v>
      </c>
      <c r="AB58">
        <v>285.02499999999998</v>
      </c>
      <c r="AC58">
        <v>408.99000000000018</v>
      </c>
    </row>
    <row r="59" spans="17:29" x14ac:dyDescent="0.25">
      <c r="Q59">
        <v>2009</v>
      </c>
      <c r="R59" s="133">
        <f t="shared" si="51"/>
        <v>6246.4090000000006</v>
      </c>
      <c r="S59" s="133">
        <f t="shared" si="52"/>
        <v>3037.1620000000003</v>
      </c>
      <c r="T59" s="133">
        <f t="shared" si="53"/>
        <v>3208.547</v>
      </c>
      <c r="X59">
        <v>2021</v>
      </c>
      <c r="Y59" s="133">
        <v>13339.090000000006</v>
      </c>
      <c r="Z59" s="133">
        <v>5365.0870000000023</v>
      </c>
      <c r="AA59" s="133">
        <v>7279.7060000000019</v>
      </c>
      <c r="AB59">
        <v>285.30700000000002</v>
      </c>
      <c r="AC59">
        <v>408.99000000000018</v>
      </c>
    </row>
    <row r="60" spans="17:29" x14ac:dyDescent="0.25">
      <c r="Q60">
        <v>2010</v>
      </c>
      <c r="R60" s="133">
        <f t="shared" si="51"/>
        <v>6875.0380000000014</v>
      </c>
      <c r="S60" s="133">
        <f t="shared" si="52"/>
        <v>3237.3610000000008</v>
      </c>
      <c r="T60" s="133">
        <f t="shared" si="53"/>
        <v>3636.9770000000008</v>
      </c>
      <c r="X60">
        <v>2022</v>
      </c>
      <c r="Y60" s="133">
        <v>13698.288999999995</v>
      </c>
      <c r="Z60" s="133">
        <v>5376.8919999999971</v>
      </c>
      <c r="AA60" s="133">
        <v>7497.0999999999976</v>
      </c>
      <c r="AB60">
        <v>285.30700000000002</v>
      </c>
      <c r="AC60">
        <v>538.99</v>
      </c>
    </row>
    <row r="61" spans="17:29" x14ac:dyDescent="0.25">
      <c r="Q61">
        <v>2011</v>
      </c>
      <c r="R61" s="133">
        <f t="shared" si="51"/>
        <v>6867.8210000000008</v>
      </c>
      <c r="S61" s="133">
        <f t="shared" si="52"/>
        <v>3246.6250000000005</v>
      </c>
      <c r="T61" s="133">
        <f t="shared" si="53"/>
        <v>3620.4960000000005</v>
      </c>
    </row>
    <row r="62" spans="17:29" x14ac:dyDescent="0.25">
      <c r="Q62">
        <v>2012</v>
      </c>
      <c r="R62" s="133">
        <f t="shared" si="51"/>
        <v>7754.9049999999997</v>
      </c>
      <c r="S62" s="133">
        <f t="shared" si="52"/>
        <v>3270.5969999999998</v>
      </c>
      <c r="T62" s="133">
        <f t="shared" si="53"/>
        <v>4403.6080000000002</v>
      </c>
      <c r="U62">
        <f t="shared" ref="U62:U70" si="54">K24</f>
        <v>80</v>
      </c>
    </row>
    <row r="63" spans="17:29" x14ac:dyDescent="0.25">
      <c r="Q63">
        <v>2013</v>
      </c>
      <c r="R63" s="133">
        <f t="shared" si="51"/>
        <v>8680.4210000000003</v>
      </c>
      <c r="S63" s="133">
        <f t="shared" si="52"/>
        <v>3337.0359999999996</v>
      </c>
      <c r="T63" s="133">
        <f t="shared" si="53"/>
        <v>5262.6849999999995</v>
      </c>
      <c r="U63">
        <f t="shared" si="54"/>
        <v>80</v>
      </c>
    </row>
    <row r="64" spans="17:29" x14ac:dyDescent="0.25">
      <c r="Q64">
        <v>2014</v>
      </c>
      <c r="R64" s="133">
        <f t="shared" si="51"/>
        <v>9082.8000000000011</v>
      </c>
      <c r="S64" s="133">
        <f t="shared" si="52"/>
        <v>3435.9409999999998</v>
      </c>
      <c r="T64" s="133">
        <f t="shared" si="53"/>
        <v>5408.1590000000006</v>
      </c>
      <c r="U64">
        <f t="shared" si="54"/>
        <v>96</v>
      </c>
      <c r="V64">
        <f t="shared" ref="V64:V70" si="55">L26</f>
        <v>142.69999999999999</v>
      </c>
    </row>
    <row r="65" spans="17:27" x14ac:dyDescent="0.25">
      <c r="Q65">
        <v>2015</v>
      </c>
      <c r="R65" s="133">
        <f t="shared" si="51"/>
        <v>10028.283999999998</v>
      </c>
      <c r="S65" s="133">
        <f t="shared" si="52"/>
        <v>3928.0909999999994</v>
      </c>
      <c r="T65" s="133">
        <f t="shared" si="53"/>
        <v>5764.3929999999991</v>
      </c>
      <c r="U65">
        <f t="shared" si="54"/>
        <v>96</v>
      </c>
      <c r="V65">
        <f t="shared" si="55"/>
        <v>239.79999999999998</v>
      </c>
    </row>
    <row r="66" spans="17:27" x14ac:dyDescent="0.25">
      <c r="Q66">
        <v>2016</v>
      </c>
      <c r="R66" s="133">
        <f t="shared" si="51"/>
        <v>12450.708000000004</v>
      </c>
      <c r="S66" s="133">
        <f t="shared" si="52"/>
        <v>4983.9800000000023</v>
      </c>
      <c r="T66" s="133">
        <f t="shared" si="53"/>
        <v>7130.7780000000012</v>
      </c>
      <c r="U66">
        <f t="shared" si="54"/>
        <v>96</v>
      </c>
      <c r="V66">
        <f t="shared" si="55"/>
        <v>239.95</v>
      </c>
    </row>
    <row r="67" spans="17:27" x14ac:dyDescent="0.25">
      <c r="Q67">
        <v>2017</v>
      </c>
      <c r="R67" s="133">
        <f t="shared" si="51"/>
        <v>12631.25618</v>
      </c>
      <c r="S67" s="133">
        <f t="shared" si="52"/>
        <v>5041.6326800000006</v>
      </c>
      <c r="T67" s="133">
        <f t="shared" si="53"/>
        <v>7109.1894999999977</v>
      </c>
      <c r="U67">
        <f t="shared" si="54"/>
        <v>240.48400000000001</v>
      </c>
      <c r="V67">
        <f t="shared" si="55"/>
        <v>239.95000000000002</v>
      </c>
    </row>
    <row r="68" spans="17:27" x14ac:dyDescent="0.25">
      <c r="Q68">
        <v>2018</v>
      </c>
      <c r="R68" s="133">
        <f t="shared" si="51"/>
        <v>13145.596000000001</v>
      </c>
      <c r="S68" s="133">
        <f t="shared" si="52"/>
        <v>5174.4700000000012</v>
      </c>
      <c r="T68" s="133">
        <f t="shared" si="53"/>
        <v>7318.3919999999998</v>
      </c>
      <c r="U68">
        <f t="shared" si="54"/>
        <v>280.48400000000004</v>
      </c>
      <c r="V68">
        <f t="shared" si="55"/>
        <v>372.25000000000006</v>
      </c>
    </row>
    <row r="69" spans="17:27" x14ac:dyDescent="0.25">
      <c r="Q69">
        <v>2019</v>
      </c>
      <c r="R69" s="133">
        <f t="shared" si="51"/>
        <v>13159.238000000001</v>
      </c>
      <c r="S69" s="133">
        <f t="shared" si="52"/>
        <v>5236.2710000000025</v>
      </c>
      <c r="T69" s="133">
        <f t="shared" si="53"/>
        <v>7265.6919999999991</v>
      </c>
      <c r="U69">
        <f t="shared" si="54"/>
        <v>285.02499999999998</v>
      </c>
      <c r="V69">
        <f t="shared" si="55"/>
        <v>372.25000000000017</v>
      </c>
    </row>
    <row r="70" spans="17:27" x14ac:dyDescent="0.25">
      <c r="Q70">
        <v>2020</v>
      </c>
      <c r="R70" s="133">
        <f t="shared" si="51"/>
        <v>13209.895</v>
      </c>
      <c r="S70" s="133">
        <f t="shared" si="52"/>
        <v>5252.3690000000015</v>
      </c>
      <c r="T70" s="133">
        <f t="shared" si="53"/>
        <v>7263.5110000000004</v>
      </c>
      <c r="U70">
        <f t="shared" si="54"/>
        <v>285.02499999999998</v>
      </c>
      <c r="V70">
        <f t="shared" si="55"/>
        <v>408.99000000000018</v>
      </c>
    </row>
    <row r="71" spans="17:27" x14ac:dyDescent="0.25">
      <c r="Q71">
        <v>2021</v>
      </c>
      <c r="R71" s="133">
        <f t="shared" ref="R71:V71" si="56">H33</f>
        <v>13339.090000000006</v>
      </c>
      <c r="S71" s="133">
        <f t="shared" si="56"/>
        <v>5365.0870000000023</v>
      </c>
      <c r="T71" s="133">
        <f t="shared" si="56"/>
        <v>7279.7060000000019</v>
      </c>
      <c r="U71">
        <f t="shared" si="56"/>
        <v>285.30700000000002</v>
      </c>
      <c r="V71">
        <f t="shared" si="56"/>
        <v>408.99000000000018</v>
      </c>
    </row>
    <row r="72" spans="17:27" x14ac:dyDescent="0.25">
      <c r="Q72">
        <v>2022</v>
      </c>
      <c r="R72" s="133">
        <f t="shared" ref="R72:V72" si="57">H34</f>
        <v>13698.288999999995</v>
      </c>
      <c r="S72" s="133">
        <f t="shared" si="57"/>
        <v>5376.8919999999971</v>
      </c>
      <c r="T72" s="133">
        <f t="shared" si="57"/>
        <v>7497.0999999999976</v>
      </c>
      <c r="U72">
        <f t="shared" si="57"/>
        <v>285.30700000000002</v>
      </c>
      <c r="V72">
        <f t="shared" si="57"/>
        <v>538.99</v>
      </c>
    </row>
    <row r="73" spans="17:27" x14ac:dyDescent="0.25">
      <c r="R73" s="133"/>
      <c r="S73" s="133"/>
      <c r="T73" s="133"/>
      <c r="Y73" s="133"/>
      <c r="Z73" s="133"/>
      <c r="AA73" s="133"/>
    </row>
    <row r="75" spans="17:27" x14ac:dyDescent="0.25">
      <c r="R75" t="s">
        <v>79</v>
      </c>
      <c r="Y75" t="s">
        <v>79</v>
      </c>
    </row>
    <row r="76" spans="17:27" x14ac:dyDescent="0.25">
      <c r="R76" t="s">
        <v>53</v>
      </c>
      <c r="S76" t="s">
        <v>76</v>
      </c>
      <c r="T76" t="s">
        <v>77</v>
      </c>
      <c r="Y76" t="s">
        <v>53</v>
      </c>
      <c r="Z76" t="s">
        <v>76</v>
      </c>
      <c r="AA76" t="s">
        <v>77</v>
      </c>
    </row>
    <row r="77" spans="17:27" x14ac:dyDescent="0.25">
      <c r="Q77">
        <v>1995</v>
      </c>
      <c r="R77" s="133">
        <f t="shared" ref="R77:R102" si="58">M7</f>
        <v>880.01599999999996</v>
      </c>
      <c r="S77" s="133">
        <f t="shared" ref="S77:S102" si="59">N7</f>
        <v>268.97000000000003</v>
      </c>
      <c r="T77" s="133">
        <f t="shared" ref="T77:T102" si="60">O7</f>
        <v>611.04599999999994</v>
      </c>
      <c r="X77">
        <v>1995</v>
      </c>
      <c r="Y77" s="133">
        <v>880.01599999999996</v>
      </c>
      <c r="Z77" s="133">
        <v>268.97000000000003</v>
      </c>
      <c r="AA77" s="133">
        <v>611.04599999999994</v>
      </c>
    </row>
    <row r="78" spans="17:27" x14ac:dyDescent="0.25">
      <c r="Q78">
        <v>1996</v>
      </c>
      <c r="R78" s="133">
        <f t="shared" si="58"/>
        <v>1123.7</v>
      </c>
      <c r="S78" s="133">
        <f t="shared" si="59"/>
        <v>277.02600000000001</v>
      </c>
      <c r="T78" s="133">
        <f t="shared" si="60"/>
        <v>846.67400000000009</v>
      </c>
      <c r="X78">
        <v>2000</v>
      </c>
      <c r="Y78" s="133">
        <v>778.91100000000006</v>
      </c>
      <c r="Z78" s="133">
        <v>74.971000000000004</v>
      </c>
      <c r="AA78" s="133">
        <v>703.94</v>
      </c>
    </row>
    <row r="79" spans="17:27" x14ac:dyDescent="0.25">
      <c r="Q79">
        <v>1997</v>
      </c>
      <c r="R79" s="133">
        <f t="shared" si="58"/>
        <v>754.18599999999992</v>
      </c>
      <c r="S79" s="133">
        <f t="shared" si="59"/>
        <v>90.733000000000004</v>
      </c>
      <c r="T79" s="133">
        <f t="shared" si="60"/>
        <v>663.45299999999997</v>
      </c>
      <c r="X79">
        <v>2005</v>
      </c>
      <c r="Y79" s="133">
        <v>812.2620000000004</v>
      </c>
      <c r="Z79" s="133">
        <v>70.430000000000007</v>
      </c>
      <c r="AA79" s="133">
        <v>741.83200000000033</v>
      </c>
    </row>
    <row r="80" spans="17:27" x14ac:dyDescent="0.25">
      <c r="Q80">
        <v>1998</v>
      </c>
      <c r="R80" s="133">
        <f t="shared" si="58"/>
        <v>760.82999999999993</v>
      </c>
      <c r="S80" s="133">
        <f t="shared" si="59"/>
        <v>93.967000000000013</v>
      </c>
      <c r="T80" s="133">
        <f t="shared" si="60"/>
        <v>666.86299999999994</v>
      </c>
      <c r="X80" s="80">
        <v>2010</v>
      </c>
      <c r="Y80" s="133">
        <v>1125.3490000000004</v>
      </c>
      <c r="Z80" s="133">
        <v>80.084000000000003</v>
      </c>
      <c r="AA80" s="133">
        <v>1045.2650000000003</v>
      </c>
    </row>
    <row r="81" spans="17:27" x14ac:dyDescent="0.25">
      <c r="Q81">
        <v>1999</v>
      </c>
      <c r="R81" s="133">
        <f t="shared" si="58"/>
        <v>798.22699999999998</v>
      </c>
      <c r="S81" s="133">
        <f t="shared" si="59"/>
        <v>75.48299999999999</v>
      </c>
      <c r="T81" s="133">
        <f t="shared" si="60"/>
        <v>722.74400000000003</v>
      </c>
      <c r="X81">
        <v>2011</v>
      </c>
      <c r="Y81" s="133">
        <v>1177.712</v>
      </c>
      <c r="Z81" s="133">
        <v>81.998999999999995</v>
      </c>
      <c r="AA81" s="133">
        <v>1095.713</v>
      </c>
    </row>
    <row r="82" spans="17:27" x14ac:dyDescent="0.25">
      <c r="Q82">
        <v>2000</v>
      </c>
      <c r="R82" s="133">
        <f t="shared" si="58"/>
        <v>778.91100000000006</v>
      </c>
      <c r="S82" s="133">
        <f t="shared" si="59"/>
        <v>74.971000000000004</v>
      </c>
      <c r="T82" s="133">
        <f t="shared" si="60"/>
        <v>703.94</v>
      </c>
      <c r="X82" s="80">
        <v>2012</v>
      </c>
      <c r="Y82" s="133">
        <v>1184.3520000000001</v>
      </c>
      <c r="Z82" s="133">
        <v>89.539000000000016</v>
      </c>
      <c r="AA82" s="133">
        <v>1094.8130000000001</v>
      </c>
    </row>
    <row r="83" spans="17:27" x14ac:dyDescent="0.25">
      <c r="Q83">
        <v>2001</v>
      </c>
      <c r="R83" s="133">
        <f t="shared" si="58"/>
        <v>745.11300000000017</v>
      </c>
      <c r="S83" s="133">
        <f t="shared" si="59"/>
        <v>69.667999999999992</v>
      </c>
      <c r="T83" s="133">
        <f t="shared" si="60"/>
        <v>675.44500000000016</v>
      </c>
      <c r="X83" s="80">
        <v>2013</v>
      </c>
      <c r="Y83" s="133">
        <v>1204.8510000000001</v>
      </c>
      <c r="Z83" s="133">
        <v>77.372</v>
      </c>
      <c r="AA83" s="133">
        <v>1127.479</v>
      </c>
    </row>
    <row r="84" spans="17:27" x14ac:dyDescent="0.25">
      <c r="Q84" s="80">
        <v>2002</v>
      </c>
      <c r="R84" s="133">
        <f t="shared" si="58"/>
        <v>737.84200000000055</v>
      </c>
      <c r="S84" s="133">
        <f t="shared" si="59"/>
        <v>72.418999999999997</v>
      </c>
      <c r="T84" s="133">
        <f t="shared" si="60"/>
        <v>665.42300000000057</v>
      </c>
      <c r="X84" s="80">
        <v>2014</v>
      </c>
      <c r="Y84" s="133">
        <v>1186.5419999999997</v>
      </c>
      <c r="Z84" s="133">
        <v>91.347000000000008</v>
      </c>
      <c r="AA84" s="133">
        <v>1095.1949999999997</v>
      </c>
    </row>
    <row r="85" spans="17:27" x14ac:dyDescent="0.25">
      <c r="Q85">
        <v>2003</v>
      </c>
      <c r="R85" s="133">
        <f t="shared" si="58"/>
        <v>735.41300000000035</v>
      </c>
      <c r="S85" s="133">
        <f t="shared" si="59"/>
        <v>70.043999999999983</v>
      </c>
      <c r="T85" s="133">
        <f t="shared" si="60"/>
        <v>665.36900000000037</v>
      </c>
      <c r="X85" s="80">
        <v>2015</v>
      </c>
      <c r="Y85" s="133">
        <v>1202.1559999999999</v>
      </c>
      <c r="Z85" s="133">
        <v>91.727000000000004</v>
      </c>
      <c r="AA85" s="133">
        <v>1110.4289999999999</v>
      </c>
    </row>
    <row r="86" spans="17:27" x14ac:dyDescent="0.25">
      <c r="Q86">
        <v>2004</v>
      </c>
      <c r="R86" s="133">
        <f t="shared" si="58"/>
        <v>760.64400000000035</v>
      </c>
      <c r="S86" s="133">
        <f t="shared" si="59"/>
        <v>67.731999999999999</v>
      </c>
      <c r="T86" s="133">
        <f t="shared" si="60"/>
        <v>692.91200000000038</v>
      </c>
      <c r="X86" s="80">
        <v>2016</v>
      </c>
      <c r="Y86" s="133">
        <v>1191.7980999999997</v>
      </c>
      <c r="Z86" s="133">
        <v>102.35899999999999</v>
      </c>
      <c r="AA86" s="133">
        <v>1089.4390999999998</v>
      </c>
    </row>
    <row r="87" spans="17:27" x14ac:dyDescent="0.25">
      <c r="Q87">
        <v>2005</v>
      </c>
      <c r="R87" s="133">
        <f t="shared" si="58"/>
        <v>812.2620000000004</v>
      </c>
      <c r="S87" s="133">
        <f t="shared" si="59"/>
        <v>70.430000000000007</v>
      </c>
      <c r="T87" s="133">
        <f t="shared" si="60"/>
        <v>741.83200000000033</v>
      </c>
      <c r="X87" s="80">
        <v>2017</v>
      </c>
      <c r="Y87" s="133">
        <v>1220.8440999999998</v>
      </c>
      <c r="Z87" s="133">
        <v>116.578</v>
      </c>
      <c r="AA87" s="133">
        <v>1104.2660999999998</v>
      </c>
    </row>
    <row r="88" spans="17:27" x14ac:dyDescent="0.25">
      <c r="Q88">
        <v>2006</v>
      </c>
      <c r="R88" s="133">
        <f t="shared" si="58"/>
        <v>809.03800000000001</v>
      </c>
      <c r="S88" s="133">
        <f t="shared" si="59"/>
        <v>69.355999999999995</v>
      </c>
      <c r="T88" s="133">
        <f t="shared" si="60"/>
        <v>739.68200000000002</v>
      </c>
      <c r="X88" s="80">
        <v>2018</v>
      </c>
      <c r="Y88" s="133">
        <v>1220.6600999999998</v>
      </c>
      <c r="Z88" s="133">
        <v>117.364</v>
      </c>
      <c r="AA88" s="133">
        <v>1103.2960999999998</v>
      </c>
    </row>
    <row r="89" spans="17:27" x14ac:dyDescent="0.25">
      <c r="Q89" s="80">
        <v>2007</v>
      </c>
      <c r="R89" s="133">
        <f t="shared" si="58"/>
        <v>819.15900000000011</v>
      </c>
      <c r="S89" s="133">
        <f t="shared" si="59"/>
        <v>73.710999999999984</v>
      </c>
      <c r="T89" s="133">
        <f t="shared" si="60"/>
        <v>745.44800000000009</v>
      </c>
      <c r="X89" s="80">
        <v>2019</v>
      </c>
      <c r="Y89" s="133">
        <v>1219.6460999999999</v>
      </c>
      <c r="Z89" s="133">
        <v>118.38</v>
      </c>
      <c r="AA89" s="133">
        <v>1101.2660999999998</v>
      </c>
    </row>
    <row r="90" spans="17:27" x14ac:dyDescent="0.25">
      <c r="Q90">
        <v>2008</v>
      </c>
      <c r="R90" s="133">
        <f t="shared" si="58"/>
        <v>904.72799999999995</v>
      </c>
      <c r="S90" s="133">
        <f t="shared" si="59"/>
        <v>74.780999999999977</v>
      </c>
      <c r="T90" s="133">
        <f t="shared" si="60"/>
        <v>829.947</v>
      </c>
      <c r="X90" s="80">
        <v>2020</v>
      </c>
      <c r="Y90" s="133">
        <v>1222.0650999999998</v>
      </c>
      <c r="Z90" s="133">
        <v>118.35799999999998</v>
      </c>
      <c r="AA90" s="133">
        <v>1103.7070999999999</v>
      </c>
    </row>
    <row r="91" spans="17:27" x14ac:dyDescent="0.25">
      <c r="Q91">
        <v>2009</v>
      </c>
      <c r="R91" s="133">
        <f t="shared" si="58"/>
        <v>1009.9380000000001</v>
      </c>
      <c r="S91" s="133">
        <f t="shared" si="59"/>
        <v>78.605999999999995</v>
      </c>
      <c r="T91" s="133">
        <f t="shared" si="60"/>
        <v>931.33200000000011</v>
      </c>
      <c r="X91" s="80">
        <v>2021</v>
      </c>
      <c r="Y91" s="133">
        <v>1240.2920999999997</v>
      </c>
      <c r="Z91" s="133">
        <v>117.232</v>
      </c>
      <c r="AA91" s="133">
        <v>1123.0600999999997</v>
      </c>
    </row>
    <row r="92" spans="17:27" x14ac:dyDescent="0.25">
      <c r="Q92" s="80">
        <v>2010</v>
      </c>
      <c r="R92" s="133">
        <f t="shared" si="58"/>
        <v>1125.3490000000004</v>
      </c>
      <c r="S92" s="133">
        <f t="shared" si="59"/>
        <v>80.084000000000003</v>
      </c>
      <c r="T92" s="133">
        <f t="shared" si="60"/>
        <v>1045.2650000000003</v>
      </c>
      <c r="X92" s="80">
        <v>2022</v>
      </c>
      <c r="Y92" s="133">
        <v>1278.6921</v>
      </c>
      <c r="Z92" s="133">
        <v>116.396</v>
      </c>
      <c r="AA92" s="133">
        <v>1162.2961</v>
      </c>
    </row>
    <row r="93" spans="17:27" x14ac:dyDescent="0.25">
      <c r="Q93">
        <v>2011</v>
      </c>
      <c r="R93" s="133">
        <f t="shared" si="58"/>
        <v>1177.712</v>
      </c>
      <c r="S93" s="133">
        <f t="shared" si="59"/>
        <v>81.998999999999995</v>
      </c>
      <c r="T93" s="133">
        <f t="shared" si="60"/>
        <v>1095.713</v>
      </c>
    </row>
    <row r="94" spans="17:27" x14ac:dyDescent="0.25">
      <c r="Q94" s="80">
        <v>2012</v>
      </c>
      <c r="R94" s="133">
        <f t="shared" si="58"/>
        <v>1184.3520000000001</v>
      </c>
      <c r="S94" s="133">
        <f t="shared" si="59"/>
        <v>89.539000000000016</v>
      </c>
      <c r="T94" s="133">
        <f t="shared" si="60"/>
        <v>1094.8130000000001</v>
      </c>
    </row>
    <row r="95" spans="17:27" x14ac:dyDescent="0.25">
      <c r="Q95" s="80">
        <v>2013</v>
      </c>
      <c r="R95" s="133">
        <f t="shared" si="58"/>
        <v>1204.8510000000001</v>
      </c>
      <c r="S95" s="133">
        <f t="shared" si="59"/>
        <v>77.372</v>
      </c>
      <c r="T95" s="133">
        <f t="shared" si="60"/>
        <v>1127.479</v>
      </c>
    </row>
    <row r="96" spans="17:27" x14ac:dyDescent="0.25">
      <c r="Q96" s="80">
        <v>2014</v>
      </c>
      <c r="R96" s="133">
        <f t="shared" si="58"/>
        <v>1186.5419999999997</v>
      </c>
      <c r="S96" s="133">
        <f t="shared" si="59"/>
        <v>91.347000000000008</v>
      </c>
      <c r="T96" s="133">
        <f t="shared" si="60"/>
        <v>1095.1949999999997</v>
      </c>
    </row>
    <row r="97" spans="17:20" x14ac:dyDescent="0.25">
      <c r="Q97" s="80">
        <v>2015</v>
      </c>
      <c r="R97" s="133">
        <f t="shared" si="58"/>
        <v>1202.1559999999999</v>
      </c>
      <c r="S97" s="133">
        <f t="shared" si="59"/>
        <v>91.727000000000004</v>
      </c>
      <c r="T97" s="133">
        <f t="shared" si="60"/>
        <v>1110.4289999999999</v>
      </c>
    </row>
    <row r="98" spans="17:20" x14ac:dyDescent="0.25">
      <c r="Q98" s="80">
        <v>2016</v>
      </c>
      <c r="R98" s="133">
        <f t="shared" si="58"/>
        <v>1191.7980999999997</v>
      </c>
      <c r="S98" s="133">
        <f t="shared" si="59"/>
        <v>102.35899999999999</v>
      </c>
      <c r="T98" s="133">
        <f t="shared" si="60"/>
        <v>1089.4390999999998</v>
      </c>
    </row>
    <row r="99" spans="17:20" x14ac:dyDescent="0.25">
      <c r="Q99" s="80">
        <v>2017</v>
      </c>
      <c r="R99" s="133">
        <f t="shared" si="58"/>
        <v>1220.8440999999998</v>
      </c>
      <c r="S99" s="133">
        <f t="shared" si="59"/>
        <v>116.578</v>
      </c>
      <c r="T99" s="133">
        <f t="shared" si="60"/>
        <v>1104.2660999999998</v>
      </c>
    </row>
    <row r="100" spans="17:20" x14ac:dyDescent="0.25">
      <c r="Q100" s="80">
        <v>2018</v>
      </c>
      <c r="R100" s="133">
        <f t="shared" si="58"/>
        <v>1220.6600999999998</v>
      </c>
      <c r="S100" s="133">
        <f t="shared" si="59"/>
        <v>117.364</v>
      </c>
      <c r="T100" s="133">
        <f t="shared" si="60"/>
        <v>1103.2960999999998</v>
      </c>
    </row>
    <row r="101" spans="17:20" x14ac:dyDescent="0.25">
      <c r="Q101" s="80">
        <v>2019</v>
      </c>
      <c r="R101" s="133">
        <f t="shared" si="58"/>
        <v>1219.6460999999999</v>
      </c>
      <c r="S101" s="133">
        <f t="shared" si="59"/>
        <v>118.38</v>
      </c>
      <c r="T101" s="133">
        <f t="shared" si="60"/>
        <v>1101.2660999999998</v>
      </c>
    </row>
    <row r="102" spans="17:20" x14ac:dyDescent="0.25">
      <c r="Q102" s="80">
        <v>2020</v>
      </c>
      <c r="R102" s="133">
        <f t="shared" si="58"/>
        <v>1222.0650999999998</v>
      </c>
      <c r="S102" s="133">
        <f t="shared" si="59"/>
        <v>118.35799999999998</v>
      </c>
      <c r="T102" s="133">
        <f t="shared" si="60"/>
        <v>1103.7070999999999</v>
      </c>
    </row>
    <row r="103" spans="17:20" x14ac:dyDescent="0.25">
      <c r="Q103" s="80">
        <v>2021</v>
      </c>
      <c r="R103" s="133">
        <f t="shared" ref="R103:T103" si="61">M33</f>
        <v>1240.2920999999997</v>
      </c>
      <c r="S103" s="133">
        <f t="shared" si="61"/>
        <v>117.232</v>
      </c>
      <c r="T103" s="133">
        <f t="shared" si="61"/>
        <v>1123.0600999999997</v>
      </c>
    </row>
    <row r="104" spans="17:20" x14ac:dyDescent="0.25">
      <c r="Q104" s="80">
        <v>2022</v>
      </c>
      <c r="R104" s="133">
        <f t="shared" ref="R104:T104" si="62">M34</f>
        <v>1278.6921</v>
      </c>
      <c r="S104" s="133">
        <f t="shared" si="62"/>
        <v>116.396</v>
      </c>
      <c r="T104" s="133">
        <f t="shared" si="62"/>
        <v>1162.2961</v>
      </c>
    </row>
    <row r="105" spans="17:20" x14ac:dyDescent="0.25">
      <c r="Q105" s="80"/>
    </row>
  </sheetData>
  <mergeCells count="2">
    <mergeCell ref="B5:B6"/>
    <mergeCell ref="C5:G5"/>
  </mergeCells>
  <printOptions horizontalCentered="1" verticalCentered="1"/>
  <pageMargins left="0.51181102362204722" right="0.39370078740157483" top="0.39370078740157483" bottom="0.31496062992125984" header="0" footer="0"/>
  <pageSetup paperSize="9" scale="5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106"/>
  <sheetViews>
    <sheetView showGridLines="0" view="pageBreakPreview" zoomScale="90" zoomScaleNormal="90" zoomScaleSheetLayoutView="90" workbookViewId="0">
      <selection activeCell="O49" sqref="O49"/>
    </sheetView>
  </sheetViews>
  <sheetFormatPr baseColWidth="10" defaultRowHeight="12.5" x14ac:dyDescent="0.25"/>
  <cols>
    <col min="1" max="1" width="5.7265625" customWidth="1"/>
    <col min="2" max="2" width="21.7265625" customWidth="1"/>
    <col min="3" max="3" width="11.81640625" customWidth="1"/>
    <col min="4" max="14" width="10.453125" customWidth="1"/>
  </cols>
  <sheetData>
    <row r="1" spans="2:24" ht="14" x14ac:dyDescent="0.3">
      <c r="C1" s="112"/>
      <c r="D1" s="112"/>
      <c r="E1" s="112"/>
      <c r="F1" s="112"/>
      <c r="G1" s="112"/>
      <c r="H1" s="112"/>
      <c r="I1" s="112"/>
      <c r="J1" s="113"/>
      <c r="K1" s="113"/>
      <c r="L1" s="113"/>
      <c r="M1" s="113"/>
      <c r="N1" s="113"/>
    </row>
    <row r="2" spans="2:24" ht="15.5" x14ac:dyDescent="0.35">
      <c r="B2" s="70" t="s">
        <v>197</v>
      </c>
      <c r="C2" s="173"/>
      <c r="D2" s="173"/>
      <c r="E2" s="173"/>
      <c r="F2" s="173"/>
      <c r="G2" s="173"/>
    </row>
    <row r="3" spans="2:24" ht="13" thickBot="1" x14ac:dyDescent="0.3"/>
    <row r="4" spans="2:24" s="94" customFormat="1" ht="15.75" customHeight="1" x14ac:dyDescent="0.25">
      <c r="B4" s="1454" t="s">
        <v>39</v>
      </c>
      <c r="C4" s="1456" t="s">
        <v>167</v>
      </c>
      <c r="D4" s="1457"/>
      <c r="E4" s="1457"/>
      <c r="F4" s="1494"/>
      <c r="G4" s="1052" t="s">
        <v>70</v>
      </c>
      <c r="H4" s="1038"/>
      <c r="I4" s="1038"/>
      <c r="J4" s="1041"/>
      <c r="K4" s="1052" t="s">
        <v>71</v>
      </c>
      <c r="L4" s="1040"/>
      <c r="M4" s="1040"/>
      <c r="N4" s="1041"/>
      <c r="Q4" s="94" t="s">
        <v>53</v>
      </c>
      <c r="R4" s="251" t="s">
        <v>81</v>
      </c>
      <c r="S4" s="251" t="s">
        <v>84</v>
      </c>
      <c r="U4"/>
      <c r="V4" s="115" t="s">
        <v>53</v>
      </c>
      <c r="W4" s="115" t="s">
        <v>81</v>
      </c>
      <c r="X4" s="115" t="s">
        <v>84</v>
      </c>
    </row>
    <row r="5" spans="2:24" s="94" customFormat="1" ht="13" thickBot="1" x14ac:dyDescent="0.3">
      <c r="B5" s="1455"/>
      <c r="C5" s="1262" t="s">
        <v>53</v>
      </c>
      <c r="D5" s="1042" t="s">
        <v>82</v>
      </c>
      <c r="E5" s="1042" t="s">
        <v>83</v>
      </c>
      <c r="F5" s="1046" t="s">
        <v>84</v>
      </c>
      <c r="G5" s="1053" t="s">
        <v>53</v>
      </c>
      <c r="H5" s="1042" t="s">
        <v>82</v>
      </c>
      <c r="I5" s="1042" t="s">
        <v>83</v>
      </c>
      <c r="J5" s="1046" t="s">
        <v>84</v>
      </c>
      <c r="K5" s="1053" t="s">
        <v>53</v>
      </c>
      <c r="L5" s="1045" t="s">
        <v>82</v>
      </c>
      <c r="M5" s="1045" t="s">
        <v>83</v>
      </c>
      <c r="N5" s="1046" t="s">
        <v>84</v>
      </c>
      <c r="P5" s="94">
        <v>1995</v>
      </c>
      <c r="Q5" s="822">
        <f t="shared" ref="Q5:Q10" si="0">C6</f>
        <v>4075.4080000000004</v>
      </c>
      <c r="R5" s="822">
        <f>+D6+E6</f>
        <v>3471.2060000000001</v>
      </c>
      <c r="S5" s="822">
        <f t="shared" ref="S5:S10" si="1">F6</f>
        <v>604.202</v>
      </c>
      <c r="U5" s="94">
        <f>+P5</f>
        <v>1995</v>
      </c>
      <c r="V5" s="822">
        <f t="shared" ref="V5:X5" si="2">+Q5</f>
        <v>4075.4080000000004</v>
      </c>
      <c r="W5" s="822">
        <f t="shared" si="2"/>
        <v>3471.2060000000001</v>
      </c>
      <c r="X5" s="822">
        <f t="shared" si="2"/>
        <v>604.202</v>
      </c>
    </row>
    <row r="6" spans="2:24" ht="13" x14ac:dyDescent="0.3">
      <c r="B6" s="1395">
        <v>1995</v>
      </c>
      <c r="C6" s="1263">
        <f t="shared" ref="C6:C11" si="3">SUM(D6:F6)</f>
        <v>4075.4080000000004</v>
      </c>
      <c r="D6" s="276">
        <f t="shared" ref="D6:F11" si="4">SUM(H6,L6)</f>
        <v>2838.1959999999999</v>
      </c>
      <c r="E6" s="269">
        <f t="shared" si="4"/>
        <v>633.01</v>
      </c>
      <c r="F6" s="295">
        <f t="shared" si="4"/>
        <v>604.202</v>
      </c>
      <c r="G6" s="291">
        <f t="shared" ref="G6:G11" si="5">SUM(H6:J6)</f>
        <v>3195.3919999999998</v>
      </c>
      <c r="H6" s="265">
        <f>+'3.3 y 3.4'!C7</f>
        <v>2458.1259999999997</v>
      </c>
      <c r="I6" s="276">
        <f>+'3.3 y 3.4'!H7</f>
        <v>402.99</v>
      </c>
      <c r="J6" s="292">
        <f>+'3.3 y 3.4'!K7</f>
        <v>334.27599999999995</v>
      </c>
      <c r="K6" s="291">
        <f t="shared" ref="K6:K11" si="6">SUM(L6:N6)</f>
        <v>880.01600000000008</v>
      </c>
      <c r="L6" s="266">
        <f>+'3.3 y 3.4'!C75</f>
        <v>380.07</v>
      </c>
      <c r="M6" s="266">
        <f>+'3.3 y 3.4'!F75</f>
        <v>230.02</v>
      </c>
      <c r="N6" s="270">
        <f>+'3.3 y 3.4'!I75</f>
        <v>269.92599999999999</v>
      </c>
      <c r="P6">
        <v>1996</v>
      </c>
      <c r="Q6" s="132">
        <f t="shared" si="0"/>
        <v>4003.201</v>
      </c>
      <c r="R6" s="822">
        <f t="shared" ref="R6:R10" si="7">+D7+E7</f>
        <v>3499.3870000000002</v>
      </c>
      <c r="S6" s="132">
        <f t="shared" si="1"/>
        <v>503.81400000000002</v>
      </c>
      <c r="U6">
        <f>+P10</f>
        <v>2000</v>
      </c>
      <c r="V6" s="132">
        <f t="shared" ref="V6:X6" si="8">+Q10</f>
        <v>5554.8460000000005</v>
      </c>
      <c r="W6" s="132">
        <f t="shared" si="8"/>
        <v>4591.2660000000005</v>
      </c>
      <c r="X6" s="132">
        <f t="shared" si="8"/>
        <v>963.58000000000015</v>
      </c>
    </row>
    <row r="7" spans="2:24" ht="13" x14ac:dyDescent="0.3">
      <c r="B7" s="1396">
        <v>1996</v>
      </c>
      <c r="C7" s="1264">
        <f t="shared" si="3"/>
        <v>4003.201</v>
      </c>
      <c r="D7" s="268">
        <f t="shared" si="4"/>
        <v>2532.5950000000003</v>
      </c>
      <c r="E7" s="272">
        <f t="shared" si="4"/>
        <v>966.79199999999992</v>
      </c>
      <c r="F7" s="296">
        <f t="shared" si="4"/>
        <v>503.81400000000002</v>
      </c>
      <c r="G7" s="293">
        <f t="shared" si="5"/>
        <v>2879.5010000000002</v>
      </c>
      <c r="H7" s="272">
        <f>+'3.3 y 3.4'!C8</f>
        <v>2212.6770000000001</v>
      </c>
      <c r="I7" s="268">
        <f>+'3.3 y 3.4'!H8</f>
        <v>405.86799999999994</v>
      </c>
      <c r="J7" s="294">
        <f>+'3.3 y 3.4'!K8</f>
        <v>260.95600000000002</v>
      </c>
      <c r="K7" s="293">
        <f t="shared" si="6"/>
        <v>1123.7</v>
      </c>
      <c r="L7" s="274">
        <f>+'3.3 y 3.4'!C76</f>
        <v>319.91800000000001</v>
      </c>
      <c r="M7" s="274">
        <f>+'3.3 y 3.4'!F76</f>
        <v>560.92399999999998</v>
      </c>
      <c r="N7" s="275">
        <f>+'3.3 y 3.4'!I76</f>
        <v>242.858</v>
      </c>
      <c r="P7">
        <v>1997</v>
      </c>
      <c r="Q7" s="132">
        <f t="shared" si="0"/>
        <v>4581.0189999999993</v>
      </c>
      <c r="R7" s="822">
        <f t="shared" si="7"/>
        <v>3704.9979999999996</v>
      </c>
      <c r="S7" s="132">
        <f t="shared" si="1"/>
        <v>876.02099999999996</v>
      </c>
      <c r="U7">
        <f>+P15</f>
        <v>2005</v>
      </c>
      <c r="V7" s="132">
        <f t="shared" ref="V7:X7" si="9">+Q15</f>
        <v>5610.9249999999993</v>
      </c>
      <c r="W7" s="132">
        <f t="shared" si="9"/>
        <v>4746.7159999999994</v>
      </c>
      <c r="X7" s="132">
        <f t="shared" si="9"/>
        <v>864.20900000000029</v>
      </c>
    </row>
    <row r="8" spans="2:24" ht="13" x14ac:dyDescent="0.3">
      <c r="B8" s="1395">
        <v>1997</v>
      </c>
      <c r="C8" s="1263">
        <f t="shared" si="3"/>
        <v>4581.0189999999993</v>
      </c>
      <c r="D8" s="276">
        <f t="shared" si="4"/>
        <v>3011.0179999999996</v>
      </c>
      <c r="E8" s="265">
        <f t="shared" si="4"/>
        <v>693.98</v>
      </c>
      <c r="F8" s="295">
        <f t="shared" si="4"/>
        <v>876.02099999999996</v>
      </c>
      <c r="G8" s="291">
        <f t="shared" si="5"/>
        <v>3826.8329999999996</v>
      </c>
      <c r="H8" s="265">
        <f>+'3.3 y 3.4'!C9</f>
        <v>2888.4399999999996</v>
      </c>
      <c r="I8" s="265">
        <f>+'3.3 y 3.4'!H9</f>
        <v>629.43000000000006</v>
      </c>
      <c r="J8" s="295">
        <f>+'3.3 y 3.4'!K9</f>
        <v>308.96299999999997</v>
      </c>
      <c r="K8" s="291">
        <f t="shared" si="6"/>
        <v>754.18599999999992</v>
      </c>
      <c r="L8" s="266">
        <f>+'3.3 y 3.4'!C77</f>
        <v>122.578</v>
      </c>
      <c r="M8" s="266">
        <f>+'3.3 y 3.4'!F77</f>
        <v>64.55</v>
      </c>
      <c r="N8" s="270">
        <f>+'3.3 y 3.4'!I77</f>
        <v>567.05799999999999</v>
      </c>
      <c r="P8">
        <v>1998</v>
      </c>
      <c r="Q8" s="132">
        <f t="shared" si="0"/>
        <v>4781.6309999999994</v>
      </c>
      <c r="R8" s="822">
        <f t="shared" si="7"/>
        <v>3832.8389999999999</v>
      </c>
      <c r="S8" s="132">
        <f t="shared" si="1"/>
        <v>948.79199999999992</v>
      </c>
      <c r="U8">
        <f>+P20</f>
        <v>2010</v>
      </c>
      <c r="V8" s="132">
        <f t="shared" ref="V8:X20" si="10">+Q20</f>
        <v>8000.3870000000015</v>
      </c>
      <c r="W8" s="132">
        <f t="shared" si="10"/>
        <v>6887.6360000000013</v>
      </c>
      <c r="X8" s="132">
        <f t="shared" si="10"/>
        <v>1112.7510000000002</v>
      </c>
    </row>
    <row r="9" spans="2:24" ht="13" x14ac:dyDescent="0.3">
      <c r="B9" s="1396">
        <v>1998</v>
      </c>
      <c r="C9" s="1264">
        <f t="shared" si="3"/>
        <v>4781.6309999999994</v>
      </c>
      <c r="D9" s="268">
        <f t="shared" si="4"/>
        <v>3190.4989999999998</v>
      </c>
      <c r="E9" s="272">
        <f t="shared" si="4"/>
        <v>642.34</v>
      </c>
      <c r="F9" s="296">
        <f t="shared" si="4"/>
        <v>948.79199999999992</v>
      </c>
      <c r="G9" s="293">
        <f t="shared" si="5"/>
        <v>4020.8009999999995</v>
      </c>
      <c r="H9" s="272">
        <f>+'3.3 y 3.4'!C10</f>
        <v>3090.3449999999998</v>
      </c>
      <c r="I9" s="278">
        <f>+'3.3 y 3.4'!H10</f>
        <v>596.01</v>
      </c>
      <c r="J9" s="296">
        <f>+'3.3 y 3.4'!K10</f>
        <v>334.44599999999997</v>
      </c>
      <c r="K9" s="293">
        <f t="shared" si="6"/>
        <v>760.82999999999993</v>
      </c>
      <c r="L9" s="274">
        <f>+'3.3 y 3.4'!C78</f>
        <v>100.154</v>
      </c>
      <c r="M9" s="274">
        <f>+'3.3 y 3.4'!F78</f>
        <v>46.33</v>
      </c>
      <c r="N9" s="275">
        <f>+'3.3 y 3.4'!I78</f>
        <v>614.346</v>
      </c>
      <c r="P9">
        <v>1999</v>
      </c>
      <c r="Q9" s="132">
        <f t="shared" si="0"/>
        <v>5116.1560000000009</v>
      </c>
      <c r="R9" s="822">
        <f t="shared" si="7"/>
        <v>4131.1280000000006</v>
      </c>
      <c r="S9" s="132">
        <f t="shared" si="1"/>
        <v>985.02800000000002</v>
      </c>
      <c r="U9">
        <f t="shared" ref="U9:U20" si="11">+P21</f>
        <v>2011</v>
      </c>
      <c r="V9" s="132">
        <f t="shared" si="10"/>
        <v>8045.5330000000004</v>
      </c>
      <c r="W9" s="132">
        <f t="shared" si="10"/>
        <v>6888.4620000000004</v>
      </c>
      <c r="X9" s="132">
        <f t="shared" si="10"/>
        <v>1157.0709999999999</v>
      </c>
    </row>
    <row r="10" spans="2:24" ht="13" x14ac:dyDescent="0.3">
      <c r="B10" s="1395">
        <v>1999</v>
      </c>
      <c r="C10" s="1263">
        <f t="shared" si="3"/>
        <v>5116.1560000000009</v>
      </c>
      <c r="D10" s="276">
        <f t="shared" si="4"/>
        <v>3375.4040000000005</v>
      </c>
      <c r="E10" s="265">
        <f t="shared" si="4"/>
        <v>755.72400000000005</v>
      </c>
      <c r="F10" s="295">
        <f t="shared" si="4"/>
        <v>985.02800000000002</v>
      </c>
      <c r="G10" s="291">
        <f t="shared" si="5"/>
        <v>4317.9290000000001</v>
      </c>
      <c r="H10" s="265">
        <f>+'3.3 y 3.4'!C11</f>
        <v>3317.0060000000003</v>
      </c>
      <c r="I10" s="269">
        <f>+'3.3 y 3.4'!H11</f>
        <v>712.75800000000004</v>
      </c>
      <c r="J10" s="295">
        <f>+'3.3 y 3.4'!K11</f>
        <v>288.16500000000002</v>
      </c>
      <c r="K10" s="291">
        <f t="shared" si="6"/>
        <v>798.22700000000009</v>
      </c>
      <c r="L10" s="266">
        <f>+'3.3 y 3.4'!C79</f>
        <v>58.398000000000003</v>
      </c>
      <c r="M10" s="266">
        <f>+'3.3 y 3.4'!F79</f>
        <v>42.965999999999994</v>
      </c>
      <c r="N10" s="270">
        <f>+'3.3 y 3.4'!I79</f>
        <v>696.86300000000006</v>
      </c>
      <c r="P10">
        <v>2000</v>
      </c>
      <c r="Q10" s="132">
        <f t="shared" si="0"/>
        <v>5554.8460000000005</v>
      </c>
      <c r="R10" s="822">
        <f t="shared" si="7"/>
        <v>4591.2660000000005</v>
      </c>
      <c r="S10" s="132">
        <f t="shared" si="1"/>
        <v>963.58000000000015</v>
      </c>
      <c r="U10">
        <f t="shared" si="11"/>
        <v>2012</v>
      </c>
      <c r="V10" s="132">
        <f t="shared" si="10"/>
        <v>8939.2569999999996</v>
      </c>
      <c r="W10" s="132">
        <f t="shared" si="10"/>
        <v>7777.549</v>
      </c>
      <c r="X10" s="132">
        <f t="shared" si="10"/>
        <v>1161.7080000000001</v>
      </c>
    </row>
    <row r="11" spans="2:24" ht="13" x14ac:dyDescent="0.3">
      <c r="B11" s="1396">
        <v>2000</v>
      </c>
      <c r="C11" s="1264">
        <f t="shared" si="3"/>
        <v>5554.8460000000005</v>
      </c>
      <c r="D11" s="268">
        <f t="shared" si="4"/>
        <v>3635.5080000000007</v>
      </c>
      <c r="E11" s="272">
        <f t="shared" si="4"/>
        <v>955.75800000000004</v>
      </c>
      <c r="F11" s="296">
        <f t="shared" si="4"/>
        <v>963.58000000000015</v>
      </c>
      <c r="G11" s="293">
        <f t="shared" si="5"/>
        <v>4775.9350000000004</v>
      </c>
      <c r="H11" s="272">
        <f>+'3.3 y 3.4'!C12</f>
        <v>3595.0750000000007</v>
      </c>
      <c r="I11" s="278">
        <f>+'3.3 y 3.4'!H12</f>
        <v>906.31200000000001</v>
      </c>
      <c r="J11" s="296">
        <f>+'3.3 y 3.4'!K12</f>
        <v>274.54799999999994</v>
      </c>
      <c r="K11" s="293">
        <f t="shared" si="6"/>
        <v>778.91100000000017</v>
      </c>
      <c r="L11" s="274">
        <f>+'3.3 y 3.4'!C80</f>
        <v>40.433</v>
      </c>
      <c r="M11" s="274">
        <f>+'3.3 y 3.4'!F80</f>
        <v>49.445999999999998</v>
      </c>
      <c r="N11" s="275">
        <f>+'3.3 y 3.4'!I80</f>
        <v>689.03200000000015</v>
      </c>
      <c r="P11">
        <v>2001</v>
      </c>
      <c r="Q11" s="132">
        <f t="shared" ref="Q11:Q32" si="12">C13</f>
        <v>5387.1769999999997</v>
      </c>
      <c r="R11" s="132">
        <f t="shared" ref="R11:R32" si="13">D13</f>
        <v>4519.9249999999993</v>
      </c>
      <c r="S11" s="132">
        <f t="shared" ref="S11:S32" si="14">F13</f>
        <v>867.25200000000007</v>
      </c>
      <c r="U11">
        <f t="shared" si="11"/>
        <v>2013</v>
      </c>
      <c r="V11" s="132">
        <f t="shared" si="10"/>
        <v>9885.271999999999</v>
      </c>
      <c r="W11" s="132">
        <f t="shared" si="10"/>
        <v>8677.6899999999987</v>
      </c>
      <c r="X11" s="132">
        <f t="shared" si="10"/>
        <v>1207.5820000000001</v>
      </c>
    </row>
    <row r="12" spans="2:24" ht="13" x14ac:dyDescent="0.3">
      <c r="B12" s="1391"/>
      <c r="C12" s="221"/>
      <c r="D12" s="1459" t="s">
        <v>93</v>
      </c>
      <c r="E12" s="1460"/>
      <c r="F12" s="179"/>
      <c r="G12" s="1268"/>
      <c r="H12" s="1459" t="s">
        <v>93</v>
      </c>
      <c r="I12" s="1471"/>
      <c r="J12" s="1269"/>
      <c r="K12" s="1268"/>
      <c r="L12" s="1459" t="s">
        <v>93</v>
      </c>
      <c r="M12" s="1471"/>
      <c r="N12" s="179"/>
      <c r="P12" s="80">
        <v>2002</v>
      </c>
      <c r="Q12" s="132">
        <f t="shared" si="12"/>
        <v>5395.6689999999999</v>
      </c>
      <c r="R12" s="132">
        <f t="shared" si="13"/>
        <v>4572.4929999999995</v>
      </c>
      <c r="S12" s="132">
        <f t="shared" si="14"/>
        <v>823.17600000000061</v>
      </c>
      <c r="U12">
        <f t="shared" si="11"/>
        <v>2014</v>
      </c>
      <c r="V12" s="132">
        <f t="shared" si="10"/>
        <v>10269.342000000001</v>
      </c>
      <c r="W12" s="132">
        <f t="shared" si="10"/>
        <v>9049.6930000000011</v>
      </c>
      <c r="X12" s="132">
        <f t="shared" si="10"/>
        <v>1219.6489999999999</v>
      </c>
    </row>
    <row r="13" spans="2:24" ht="13" x14ac:dyDescent="0.3">
      <c r="B13" s="1390" t="s">
        <v>59</v>
      </c>
      <c r="C13" s="1263">
        <f t="shared" ref="C13:C34" si="15">SUM(D13:F13)</f>
        <v>5387.1769999999997</v>
      </c>
      <c r="D13" s="1465">
        <f t="shared" ref="D13:D34" si="16">SUM(H13,L13)</f>
        <v>4519.9249999999993</v>
      </c>
      <c r="E13" s="1466"/>
      <c r="F13" s="295">
        <f t="shared" ref="F13:F34" si="17">SUM(J13,N13)</f>
        <v>867.25200000000007</v>
      </c>
      <c r="G13" s="291">
        <f t="shared" ref="G13:G34" si="18">SUM(H13:J13)</f>
        <v>4642.0639999999994</v>
      </c>
      <c r="H13" s="1465">
        <f>+'3.3 y 3.4'!C14</f>
        <v>4418.8459999999995</v>
      </c>
      <c r="I13" s="1466"/>
      <c r="J13" s="295">
        <f>+'3.3 y 3.4'!K14</f>
        <v>223.21799999999993</v>
      </c>
      <c r="K13" s="291">
        <f t="shared" ref="K13:K34" si="19">SUM(L13:N13)</f>
        <v>745.11300000000006</v>
      </c>
      <c r="L13" s="1465">
        <f>+'3.3 y 3.4'!C82</f>
        <v>101.07900000000001</v>
      </c>
      <c r="M13" s="1466"/>
      <c r="N13" s="270">
        <f>+'3.3 y 3.4'!I82</f>
        <v>644.03400000000011</v>
      </c>
      <c r="P13">
        <v>2003</v>
      </c>
      <c r="Q13" s="132">
        <f t="shared" si="12"/>
        <v>5421.8070000000016</v>
      </c>
      <c r="R13" s="132">
        <f t="shared" si="13"/>
        <v>4597.9300000000012</v>
      </c>
      <c r="S13" s="132">
        <f t="shared" si="14"/>
        <v>823.87700000000029</v>
      </c>
      <c r="U13">
        <f t="shared" si="11"/>
        <v>2015</v>
      </c>
      <c r="V13" s="132">
        <f t="shared" si="10"/>
        <v>11230.439999999999</v>
      </c>
      <c r="W13" s="132">
        <f t="shared" si="10"/>
        <v>10113.788999999999</v>
      </c>
      <c r="X13" s="132">
        <f t="shared" si="10"/>
        <v>1116.6509999999998</v>
      </c>
    </row>
    <row r="14" spans="2:24" ht="13" x14ac:dyDescent="0.3">
      <c r="B14" s="1396">
        <v>2002</v>
      </c>
      <c r="C14" s="1264">
        <f t="shared" si="15"/>
        <v>5395.6689999999999</v>
      </c>
      <c r="D14" s="1461">
        <f t="shared" si="16"/>
        <v>4572.4929999999995</v>
      </c>
      <c r="E14" s="1462"/>
      <c r="F14" s="296">
        <f t="shared" si="17"/>
        <v>823.17600000000061</v>
      </c>
      <c r="G14" s="293">
        <f t="shared" si="18"/>
        <v>4657.8269999999993</v>
      </c>
      <c r="H14" s="1461">
        <f>+'3.3 y 3.4'!C15</f>
        <v>4491.7919999999995</v>
      </c>
      <c r="I14" s="1462"/>
      <c r="J14" s="296">
        <f>+'3.3 y 3.4'!K15</f>
        <v>166.035</v>
      </c>
      <c r="K14" s="293">
        <f t="shared" si="19"/>
        <v>737.84200000000067</v>
      </c>
      <c r="L14" s="1461">
        <f>+'3.3 y 3.4'!C83</f>
        <v>80.701000000000008</v>
      </c>
      <c r="M14" s="1462"/>
      <c r="N14" s="275">
        <f>+'3.3 y 3.4'!I83</f>
        <v>657.14100000000064</v>
      </c>
      <c r="P14">
        <v>2004</v>
      </c>
      <c r="Q14" s="132">
        <f t="shared" si="12"/>
        <v>5417.9590700000017</v>
      </c>
      <c r="R14" s="132">
        <f t="shared" si="13"/>
        <v>4607.7060700000011</v>
      </c>
      <c r="S14" s="132">
        <f t="shared" si="14"/>
        <v>810.25300000000038</v>
      </c>
      <c r="U14">
        <f t="shared" si="11"/>
        <v>2016</v>
      </c>
      <c r="V14" s="132">
        <f t="shared" si="10"/>
        <v>13642.506100000002</v>
      </c>
      <c r="W14" s="132">
        <f t="shared" si="10"/>
        <v>12518.377000000002</v>
      </c>
      <c r="X14" s="132">
        <f t="shared" si="10"/>
        <v>1124.1290999999999</v>
      </c>
    </row>
    <row r="15" spans="2:24" ht="13" x14ac:dyDescent="0.3">
      <c r="B15" s="1395">
        <v>2003</v>
      </c>
      <c r="C15" s="1263">
        <f t="shared" si="15"/>
        <v>5421.8070000000016</v>
      </c>
      <c r="D15" s="1463">
        <f t="shared" si="16"/>
        <v>4597.9300000000012</v>
      </c>
      <c r="E15" s="1464"/>
      <c r="F15" s="295">
        <f t="shared" si="17"/>
        <v>823.87700000000029</v>
      </c>
      <c r="G15" s="291">
        <f t="shared" si="18"/>
        <v>4686.3940000000011</v>
      </c>
      <c r="H15" s="1463">
        <f>+'3.3 y 3.4'!C16</f>
        <v>4517.7180000000008</v>
      </c>
      <c r="I15" s="1464"/>
      <c r="J15" s="295">
        <f>+'3.3 y 3.4'!K16</f>
        <v>168.67599999999996</v>
      </c>
      <c r="K15" s="291">
        <f t="shared" si="19"/>
        <v>735.41300000000035</v>
      </c>
      <c r="L15" s="1463">
        <f>+'3.3 y 3.4'!C84</f>
        <v>80.212000000000018</v>
      </c>
      <c r="M15" s="1464"/>
      <c r="N15" s="270">
        <f>+'3.3 y 3.4'!I84</f>
        <v>655.20100000000036</v>
      </c>
      <c r="P15">
        <v>2005</v>
      </c>
      <c r="Q15" s="132">
        <f t="shared" si="12"/>
        <v>5610.9249999999993</v>
      </c>
      <c r="R15" s="132">
        <f t="shared" si="13"/>
        <v>4746.7159999999994</v>
      </c>
      <c r="S15" s="132">
        <f t="shared" si="14"/>
        <v>864.20900000000029</v>
      </c>
      <c r="U15">
        <f t="shared" si="11"/>
        <v>2017</v>
      </c>
      <c r="V15" s="132">
        <f t="shared" si="10"/>
        <v>13852.100279999999</v>
      </c>
      <c r="W15" s="132">
        <f t="shared" si="10"/>
        <v>12637.361096666666</v>
      </c>
      <c r="X15" s="132">
        <f t="shared" si="10"/>
        <v>1214.7391833333331</v>
      </c>
    </row>
    <row r="16" spans="2:24" ht="13" x14ac:dyDescent="0.3">
      <c r="B16" s="1396">
        <v>2004</v>
      </c>
      <c r="C16" s="1264">
        <f t="shared" si="15"/>
        <v>5417.9590700000017</v>
      </c>
      <c r="D16" s="1461">
        <f t="shared" si="16"/>
        <v>4607.7060700000011</v>
      </c>
      <c r="E16" s="1462"/>
      <c r="F16" s="296">
        <f t="shared" si="17"/>
        <v>810.25300000000038</v>
      </c>
      <c r="G16" s="293">
        <f t="shared" si="18"/>
        <v>4657.3150700000006</v>
      </c>
      <c r="H16" s="1461">
        <f>+'3.3 y 3.4'!C17</f>
        <v>4493.808070000001</v>
      </c>
      <c r="I16" s="1462"/>
      <c r="J16" s="296">
        <f>+'3.3 y 3.4'!K17</f>
        <v>163.50700000000006</v>
      </c>
      <c r="K16" s="293">
        <f t="shared" si="19"/>
        <v>760.64400000000035</v>
      </c>
      <c r="L16" s="1461">
        <f>+'3.3 y 3.4'!C85</f>
        <v>113.89800000000001</v>
      </c>
      <c r="M16" s="1462"/>
      <c r="N16" s="275">
        <f>+'3.3 y 3.4'!I85</f>
        <v>646.74600000000032</v>
      </c>
      <c r="P16">
        <v>2006</v>
      </c>
      <c r="Q16" s="132">
        <f t="shared" si="12"/>
        <v>5873.4</v>
      </c>
      <c r="R16" s="132">
        <f t="shared" si="13"/>
        <v>5000.5540000000001</v>
      </c>
      <c r="S16" s="132">
        <f t="shared" si="14"/>
        <v>872.846</v>
      </c>
      <c r="U16">
        <f t="shared" si="11"/>
        <v>2018</v>
      </c>
      <c r="V16" s="132">
        <f t="shared" si="10"/>
        <v>14366.256100000001</v>
      </c>
      <c r="W16" s="132">
        <f t="shared" si="10"/>
        <v>13156.41</v>
      </c>
      <c r="X16" s="132">
        <f t="shared" si="10"/>
        <v>1209.8461</v>
      </c>
    </row>
    <row r="17" spans="2:24" ht="13" x14ac:dyDescent="0.3">
      <c r="B17" s="1395">
        <v>2005</v>
      </c>
      <c r="C17" s="1263">
        <f t="shared" si="15"/>
        <v>5610.9249999999993</v>
      </c>
      <c r="D17" s="1463">
        <f t="shared" si="16"/>
        <v>4746.7159999999994</v>
      </c>
      <c r="E17" s="1464"/>
      <c r="F17" s="295">
        <f t="shared" si="17"/>
        <v>864.20900000000029</v>
      </c>
      <c r="G17" s="291">
        <f t="shared" si="18"/>
        <v>4798.6629999999996</v>
      </c>
      <c r="H17" s="1463">
        <f>+'3.3 y 3.4'!C18</f>
        <v>4619.7579999999998</v>
      </c>
      <c r="I17" s="1464"/>
      <c r="J17" s="295">
        <f>+'3.3 y 3.4'!K18</f>
        <v>178.90499999999992</v>
      </c>
      <c r="K17" s="291">
        <f t="shared" si="19"/>
        <v>812.26200000000028</v>
      </c>
      <c r="L17" s="1463">
        <f>+'3.3 y 3.4'!C86</f>
        <v>126.95800000000001</v>
      </c>
      <c r="M17" s="1464"/>
      <c r="N17" s="270">
        <f>+'3.3 y 3.4'!I86</f>
        <v>685.30400000000031</v>
      </c>
      <c r="P17" s="80">
        <v>2007</v>
      </c>
      <c r="Q17" s="132">
        <f t="shared" si="12"/>
        <v>6352.0139999999983</v>
      </c>
      <c r="R17" s="132">
        <f t="shared" si="13"/>
        <v>5473.9199999999983</v>
      </c>
      <c r="S17" s="132">
        <f t="shared" si="14"/>
        <v>878.09400000000005</v>
      </c>
      <c r="U17">
        <f t="shared" si="11"/>
        <v>2019</v>
      </c>
      <c r="V17" s="132">
        <f t="shared" si="10"/>
        <v>14378.893100000001</v>
      </c>
      <c r="W17" s="132">
        <f t="shared" si="10"/>
        <v>13176.357000000002</v>
      </c>
      <c r="X17" s="132">
        <f t="shared" si="10"/>
        <v>1202.5361</v>
      </c>
    </row>
    <row r="18" spans="2:24" ht="13" x14ac:dyDescent="0.3">
      <c r="B18" s="1396">
        <v>2006</v>
      </c>
      <c r="C18" s="1264">
        <f t="shared" si="15"/>
        <v>5873.4</v>
      </c>
      <c r="D18" s="1461">
        <f t="shared" si="16"/>
        <v>5000.5540000000001</v>
      </c>
      <c r="E18" s="1462"/>
      <c r="F18" s="296">
        <f t="shared" si="17"/>
        <v>872.846</v>
      </c>
      <c r="G18" s="293">
        <f t="shared" si="18"/>
        <v>5064.3620000000001</v>
      </c>
      <c r="H18" s="1461">
        <f>+'3.3 y 3.4'!C19</f>
        <v>4891.5619999999999</v>
      </c>
      <c r="I18" s="1462"/>
      <c r="J18" s="296">
        <f>+'3.3 y 3.4'!K19</f>
        <v>172.8</v>
      </c>
      <c r="K18" s="293">
        <f t="shared" si="19"/>
        <v>809.03800000000001</v>
      </c>
      <c r="L18" s="1461">
        <f>+'3.3 y 3.4'!C87</f>
        <v>108.992</v>
      </c>
      <c r="M18" s="1462"/>
      <c r="N18" s="275">
        <f>+'3.3 y 3.4'!I87</f>
        <v>700.04600000000005</v>
      </c>
      <c r="P18">
        <v>2008</v>
      </c>
      <c r="Q18" s="132">
        <f t="shared" si="12"/>
        <v>6348.9440000000004</v>
      </c>
      <c r="R18" s="132">
        <f t="shared" si="13"/>
        <v>5356.4100000000008</v>
      </c>
      <c r="S18" s="132">
        <f t="shared" si="14"/>
        <v>992.53399999999988</v>
      </c>
      <c r="U18">
        <f t="shared" si="11"/>
        <v>2020</v>
      </c>
      <c r="V18" s="132">
        <f t="shared" si="10"/>
        <v>14431.969100000002</v>
      </c>
      <c r="W18" s="132">
        <f t="shared" si="10"/>
        <v>13233.145000000002</v>
      </c>
      <c r="X18" s="132">
        <f t="shared" si="10"/>
        <v>1198.8240999999998</v>
      </c>
    </row>
    <row r="19" spans="2:24" ht="13" x14ac:dyDescent="0.3">
      <c r="B19" s="1395">
        <v>2007</v>
      </c>
      <c r="C19" s="1263">
        <f t="shared" si="15"/>
        <v>6352.0139999999983</v>
      </c>
      <c r="D19" s="1463">
        <f t="shared" si="16"/>
        <v>5473.9199999999983</v>
      </c>
      <c r="E19" s="1464"/>
      <c r="F19" s="295">
        <f t="shared" si="17"/>
        <v>878.09400000000005</v>
      </c>
      <c r="G19" s="291">
        <f t="shared" si="18"/>
        <v>5532.8549999999987</v>
      </c>
      <c r="H19" s="1463">
        <f>+'3.3 y 3.4'!C20</f>
        <v>5363.3939999999984</v>
      </c>
      <c r="I19" s="1464"/>
      <c r="J19" s="295">
        <f>+'3.3 y 3.4'!K20</f>
        <v>169.46100000000004</v>
      </c>
      <c r="K19" s="291">
        <f t="shared" si="19"/>
        <v>819.15900000000011</v>
      </c>
      <c r="L19" s="1463">
        <f>+'3.3 y 3.4'!C88</f>
        <v>110.52600000000004</v>
      </c>
      <c r="M19" s="1464"/>
      <c r="N19" s="270">
        <f>+'3.3 y 3.4'!I88</f>
        <v>708.63300000000004</v>
      </c>
      <c r="P19">
        <v>2009</v>
      </c>
      <c r="Q19" s="132">
        <f t="shared" si="12"/>
        <v>7256.3470000000016</v>
      </c>
      <c r="R19" s="132">
        <f t="shared" si="13"/>
        <v>6188.6830000000009</v>
      </c>
      <c r="S19" s="132">
        <f t="shared" si="14"/>
        <v>1067.6640000000002</v>
      </c>
      <c r="U19">
        <f t="shared" si="11"/>
        <v>2021</v>
      </c>
      <c r="V19" s="132">
        <f t="shared" si="10"/>
        <v>14579.392100000005</v>
      </c>
      <c r="W19" s="132">
        <f t="shared" si="10"/>
        <v>13369.490000000005</v>
      </c>
      <c r="X19" s="132">
        <f t="shared" si="10"/>
        <v>1209.9020999999996</v>
      </c>
    </row>
    <row r="20" spans="2:24" ht="13" x14ac:dyDescent="0.3">
      <c r="B20" s="1396">
        <v>2008</v>
      </c>
      <c r="C20" s="1264">
        <f t="shared" si="15"/>
        <v>6348.9440000000004</v>
      </c>
      <c r="D20" s="1461">
        <f t="shared" si="16"/>
        <v>5356.4100000000008</v>
      </c>
      <c r="E20" s="1462"/>
      <c r="F20" s="296">
        <f t="shared" si="17"/>
        <v>992.53399999999988</v>
      </c>
      <c r="G20" s="293">
        <f t="shared" si="18"/>
        <v>5444.2160000000003</v>
      </c>
      <c r="H20" s="1461">
        <f>+'3.3 y 3.4'!C21</f>
        <v>5248.7000000000007</v>
      </c>
      <c r="I20" s="1462"/>
      <c r="J20" s="296">
        <f>+'3.3 y 3.4'!K21</f>
        <v>195.51599999999991</v>
      </c>
      <c r="K20" s="293">
        <f t="shared" si="19"/>
        <v>904.72799999999995</v>
      </c>
      <c r="L20" s="1461">
        <f>+'3.3 y 3.4'!C89</f>
        <v>107.71000000000001</v>
      </c>
      <c r="M20" s="1462"/>
      <c r="N20" s="275">
        <f>+'3.3 y 3.4'!I89</f>
        <v>797.01799999999992</v>
      </c>
      <c r="P20">
        <v>2010</v>
      </c>
      <c r="Q20" s="132">
        <f t="shared" si="12"/>
        <v>8000.3870000000015</v>
      </c>
      <c r="R20" s="132">
        <f t="shared" si="13"/>
        <v>6887.6360000000013</v>
      </c>
      <c r="S20" s="132">
        <f t="shared" si="14"/>
        <v>1112.7510000000002</v>
      </c>
      <c r="U20">
        <f t="shared" si="11"/>
        <v>2022</v>
      </c>
      <c r="V20" s="132">
        <f t="shared" si="10"/>
        <v>14976.991099999996</v>
      </c>
      <c r="W20" s="132">
        <f t="shared" si="10"/>
        <v>13729.009999999997</v>
      </c>
      <c r="X20" s="132">
        <f t="shared" si="10"/>
        <v>1247.9811</v>
      </c>
    </row>
    <row r="21" spans="2:24" ht="13" x14ac:dyDescent="0.3">
      <c r="B21" s="1395">
        <v>2009</v>
      </c>
      <c r="C21" s="1263">
        <f t="shared" si="15"/>
        <v>7256.3470000000016</v>
      </c>
      <c r="D21" s="1463">
        <f t="shared" si="16"/>
        <v>6188.6830000000009</v>
      </c>
      <c r="E21" s="1464"/>
      <c r="F21" s="295">
        <f t="shared" si="17"/>
        <v>1067.6640000000002</v>
      </c>
      <c r="G21" s="291">
        <f t="shared" si="18"/>
        <v>6246.4090000000006</v>
      </c>
      <c r="H21" s="1463">
        <f>+'3.3 y 3.4'!C22</f>
        <v>6064.4620000000004</v>
      </c>
      <c r="I21" s="1464"/>
      <c r="J21" s="295">
        <f>+'3.3 y 3.4'!K22</f>
        <v>181.947</v>
      </c>
      <c r="K21" s="291">
        <f t="shared" si="19"/>
        <v>1009.9380000000001</v>
      </c>
      <c r="L21" s="1463">
        <f>+'3.3 y 3.4'!C90</f>
        <v>124.221</v>
      </c>
      <c r="M21" s="1464"/>
      <c r="N21" s="270">
        <f>+'3.3 y 3.4'!I90</f>
        <v>885.7170000000001</v>
      </c>
      <c r="P21">
        <v>2011</v>
      </c>
      <c r="Q21" s="132">
        <f t="shared" si="12"/>
        <v>8045.5330000000004</v>
      </c>
      <c r="R21" s="132">
        <f t="shared" si="13"/>
        <v>6888.4620000000004</v>
      </c>
      <c r="S21" s="132">
        <f t="shared" si="14"/>
        <v>1157.0709999999999</v>
      </c>
      <c r="U21" s="284"/>
    </row>
    <row r="22" spans="2:24" ht="13" x14ac:dyDescent="0.3">
      <c r="B22" s="1396">
        <v>2010</v>
      </c>
      <c r="C22" s="1265">
        <f t="shared" si="15"/>
        <v>8000.3870000000015</v>
      </c>
      <c r="D22" s="1461">
        <f t="shared" si="16"/>
        <v>6887.6360000000013</v>
      </c>
      <c r="E22" s="1462"/>
      <c r="F22" s="296">
        <f t="shared" si="17"/>
        <v>1112.7510000000002</v>
      </c>
      <c r="G22" s="297">
        <f t="shared" si="18"/>
        <v>6875.0380000000014</v>
      </c>
      <c r="H22" s="1461">
        <f>+'3.3 y 3.4'!C23</f>
        <v>6727.0620000000017</v>
      </c>
      <c r="I22" s="1462"/>
      <c r="J22" s="298">
        <f>+'3.3 y 3.4'!K23</f>
        <v>147.976</v>
      </c>
      <c r="K22" s="297">
        <f t="shared" si="19"/>
        <v>1125.3490000000004</v>
      </c>
      <c r="L22" s="1461">
        <f>+'3.3 y 3.4'!C91</f>
        <v>160.57400000000001</v>
      </c>
      <c r="M22" s="1462"/>
      <c r="N22" s="283">
        <f>+'3.3 y 3.4'!I91</f>
        <v>964.77500000000032</v>
      </c>
      <c r="P22">
        <v>2012</v>
      </c>
      <c r="Q22" s="132">
        <f t="shared" si="12"/>
        <v>8939.2569999999996</v>
      </c>
      <c r="R22" s="132">
        <f t="shared" si="13"/>
        <v>7777.549</v>
      </c>
      <c r="S22" s="132">
        <f t="shared" si="14"/>
        <v>1161.7080000000001</v>
      </c>
      <c r="U22" s="284"/>
    </row>
    <row r="23" spans="2:24" ht="13" x14ac:dyDescent="0.3">
      <c r="B23" s="1395">
        <v>2011</v>
      </c>
      <c r="C23" s="1263">
        <f t="shared" si="15"/>
        <v>8045.5330000000004</v>
      </c>
      <c r="D23" s="1463">
        <f t="shared" si="16"/>
        <v>6888.4620000000004</v>
      </c>
      <c r="E23" s="1464"/>
      <c r="F23" s="295">
        <f t="shared" si="17"/>
        <v>1157.0709999999999</v>
      </c>
      <c r="G23" s="291">
        <f t="shared" si="18"/>
        <v>6867.8209999999999</v>
      </c>
      <c r="H23" s="1463">
        <f>+'3.3 y 3.4'!C24</f>
        <v>6729.8410000000003</v>
      </c>
      <c r="I23" s="1464"/>
      <c r="J23" s="295">
        <f>+'3.3 y 3.4'!K24</f>
        <v>137.97999999999999</v>
      </c>
      <c r="K23" s="291">
        <f t="shared" si="19"/>
        <v>1177.712</v>
      </c>
      <c r="L23" s="1463">
        <f>+'3.3 y 3.4'!C92</f>
        <v>158.62100000000001</v>
      </c>
      <c r="M23" s="1464"/>
      <c r="N23" s="270">
        <f>+'3.3 y 3.4'!I92</f>
        <v>1019.0909999999999</v>
      </c>
      <c r="P23">
        <v>2013</v>
      </c>
      <c r="Q23" s="132">
        <f t="shared" si="12"/>
        <v>9885.271999999999</v>
      </c>
      <c r="R23" s="132">
        <f t="shared" si="13"/>
        <v>8677.6899999999987</v>
      </c>
      <c r="S23" s="132">
        <f t="shared" si="14"/>
        <v>1207.5820000000001</v>
      </c>
      <c r="U23" s="284"/>
    </row>
    <row r="24" spans="2:24" ht="13" x14ac:dyDescent="0.3">
      <c r="B24" s="1392">
        <v>2012</v>
      </c>
      <c r="C24" s="1265">
        <f t="shared" si="15"/>
        <v>8939.2569999999996</v>
      </c>
      <c r="D24" s="1461">
        <f t="shared" si="16"/>
        <v>7777.549</v>
      </c>
      <c r="E24" s="1462"/>
      <c r="F24" s="296">
        <f t="shared" si="17"/>
        <v>1161.7080000000001</v>
      </c>
      <c r="G24" s="297">
        <f t="shared" si="18"/>
        <v>7754.9049999999997</v>
      </c>
      <c r="H24" s="1461">
        <f>+'3.3 y 3.4'!C25</f>
        <v>7617.5529999999999</v>
      </c>
      <c r="I24" s="1462"/>
      <c r="J24" s="298">
        <f>+'3.3 y 3.4'!K25</f>
        <v>137.352</v>
      </c>
      <c r="K24" s="297">
        <f t="shared" si="19"/>
        <v>1184.3520000000001</v>
      </c>
      <c r="L24" s="1461">
        <f>+'3.3 y 3.4'!C93</f>
        <v>159.99600000000001</v>
      </c>
      <c r="M24" s="1462"/>
      <c r="N24" s="283">
        <f>+'3.3 y 3.4'!I93</f>
        <v>1024.356</v>
      </c>
      <c r="P24">
        <v>2014</v>
      </c>
      <c r="Q24" s="132">
        <f t="shared" si="12"/>
        <v>10269.342000000001</v>
      </c>
      <c r="R24" s="132">
        <f t="shared" si="13"/>
        <v>9049.6930000000011</v>
      </c>
      <c r="S24" s="132">
        <f t="shared" si="14"/>
        <v>1219.6489999999999</v>
      </c>
      <c r="U24" s="284"/>
    </row>
    <row r="25" spans="2:24" ht="13" x14ac:dyDescent="0.3">
      <c r="B25" s="1395">
        <v>2013</v>
      </c>
      <c r="C25" s="1263">
        <f t="shared" si="15"/>
        <v>9885.271999999999</v>
      </c>
      <c r="D25" s="1463">
        <f t="shared" si="16"/>
        <v>8677.6899999999987</v>
      </c>
      <c r="E25" s="1464"/>
      <c r="F25" s="295">
        <f t="shared" si="17"/>
        <v>1207.5820000000001</v>
      </c>
      <c r="G25" s="291">
        <f t="shared" si="18"/>
        <v>8680.4209999999985</v>
      </c>
      <c r="H25" s="1463">
        <f>+'3.3 y 3.4'!C26</f>
        <v>8521.0119999999988</v>
      </c>
      <c r="I25" s="1464"/>
      <c r="J25" s="295">
        <f>+'3.3 y 3.4'!K26</f>
        <v>159.40900000000005</v>
      </c>
      <c r="K25" s="291">
        <f t="shared" si="19"/>
        <v>1204.8510000000001</v>
      </c>
      <c r="L25" s="1463">
        <f>+'3.3 y 3.4'!C94</f>
        <v>156.67800000000003</v>
      </c>
      <c r="M25" s="1464"/>
      <c r="N25" s="270">
        <f>+'3.3 y 3.4'!I94</f>
        <v>1048.173</v>
      </c>
      <c r="P25">
        <v>2015</v>
      </c>
      <c r="Q25" s="132">
        <f t="shared" si="12"/>
        <v>11230.439999999999</v>
      </c>
      <c r="R25" s="132">
        <f t="shared" si="13"/>
        <v>10113.788999999999</v>
      </c>
      <c r="S25" s="132">
        <f t="shared" si="14"/>
        <v>1116.6509999999998</v>
      </c>
      <c r="U25" s="284"/>
    </row>
    <row r="26" spans="2:24" ht="13" x14ac:dyDescent="0.3">
      <c r="B26" s="1392">
        <v>2014</v>
      </c>
      <c r="C26" s="1265">
        <f t="shared" si="15"/>
        <v>10269.342000000001</v>
      </c>
      <c r="D26" s="1461">
        <f t="shared" si="16"/>
        <v>9049.6930000000011</v>
      </c>
      <c r="E26" s="1462"/>
      <c r="F26" s="296">
        <f t="shared" si="17"/>
        <v>1219.6489999999999</v>
      </c>
      <c r="G26" s="297">
        <f t="shared" si="18"/>
        <v>9082.8000000000011</v>
      </c>
      <c r="H26" s="1461">
        <f>'3.3 y 3.4'!C27</f>
        <v>8908.4320000000007</v>
      </c>
      <c r="I26" s="1462"/>
      <c r="J26" s="298">
        <f>'3.3 y 3.4'!K27</f>
        <v>174.36800000000002</v>
      </c>
      <c r="K26" s="297">
        <f t="shared" si="19"/>
        <v>1186.5419999999999</v>
      </c>
      <c r="L26" s="1461">
        <f>'3.3 y 3.4'!C95</f>
        <v>141.261</v>
      </c>
      <c r="M26" s="1462"/>
      <c r="N26" s="283">
        <f>'3.3 y 3.4'!I95</f>
        <v>1045.2809999999999</v>
      </c>
      <c r="P26">
        <v>2016</v>
      </c>
      <c r="Q26" s="132">
        <f t="shared" si="12"/>
        <v>13642.506100000002</v>
      </c>
      <c r="R26" s="132">
        <f t="shared" si="13"/>
        <v>12518.377000000002</v>
      </c>
      <c r="S26" s="132">
        <f t="shared" si="14"/>
        <v>1124.1290999999999</v>
      </c>
      <c r="U26" s="284"/>
    </row>
    <row r="27" spans="2:24" ht="13" x14ac:dyDescent="0.3">
      <c r="B27" s="1395">
        <v>2015</v>
      </c>
      <c r="C27" s="1263">
        <f t="shared" si="15"/>
        <v>11230.439999999999</v>
      </c>
      <c r="D27" s="1463">
        <f t="shared" si="16"/>
        <v>10113.788999999999</v>
      </c>
      <c r="E27" s="1464"/>
      <c r="F27" s="295">
        <f t="shared" si="17"/>
        <v>1116.6509999999998</v>
      </c>
      <c r="G27" s="291">
        <f t="shared" si="18"/>
        <v>10028.284</v>
      </c>
      <c r="H27" s="1463">
        <f>'3.3 y 3.4'!C28</f>
        <v>9845.1579999999994</v>
      </c>
      <c r="I27" s="1464"/>
      <c r="J27" s="295">
        <f>'3.3 y 3.4'!K28</f>
        <v>183.12599999999998</v>
      </c>
      <c r="K27" s="291">
        <f t="shared" si="19"/>
        <v>1202.1559999999999</v>
      </c>
      <c r="L27" s="1463">
        <f>'3.3 y 3.4'!C96</f>
        <v>268.63100000000003</v>
      </c>
      <c r="M27" s="1464"/>
      <c r="N27" s="270">
        <f>'3.3 y 3.4'!I96</f>
        <v>933.52499999999986</v>
      </c>
      <c r="P27">
        <v>2017</v>
      </c>
      <c r="Q27" s="132">
        <f t="shared" si="12"/>
        <v>13852.100279999999</v>
      </c>
      <c r="R27" s="132">
        <f t="shared" si="13"/>
        <v>12637.361096666666</v>
      </c>
      <c r="S27" s="132">
        <f t="shared" si="14"/>
        <v>1214.7391833333331</v>
      </c>
      <c r="U27" s="284"/>
    </row>
    <row r="28" spans="2:24" ht="13" x14ac:dyDescent="0.3">
      <c r="B28" s="1392">
        <v>2016</v>
      </c>
      <c r="C28" s="1265">
        <f t="shared" si="15"/>
        <v>13642.506100000002</v>
      </c>
      <c r="D28" s="1461">
        <f t="shared" si="16"/>
        <v>12518.377000000002</v>
      </c>
      <c r="E28" s="1462"/>
      <c r="F28" s="296">
        <f t="shared" si="17"/>
        <v>1124.1290999999999</v>
      </c>
      <c r="G28" s="297">
        <f t="shared" si="18"/>
        <v>12450.708000000002</v>
      </c>
      <c r="H28" s="1461">
        <f>'3.3 y 3.4'!C29</f>
        <v>12265.121000000003</v>
      </c>
      <c r="I28" s="1462"/>
      <c r="J28" s="298">
        <f>'3.3 y 3.4'!K29</f>
        <v>185.58700000000005</v>
      </c>
      <c r="K28" s="297">
        <f t="shared" si="19"/>
        <v>1191.7980999999997</v>
      </c>
      <c r="L28" s="1461">
        <f>'3.3 y 3.4'!C97</f>
        <v>253.25599999999997</v>
      </c>
      <c r="M28" s="1462"/>
      <c r="N28" s="283">
        <f>'3.3 y 3.4'!I97</f>
        <v>938.54209999999978</v>
      </c>
      <c r="P28">
        <v>2018</v>
      </c>
      <c r="Q28" s="132">
        <f t="shared" si="12"/>
        <v>14366.256100000001</v>
      </c>
      <c r="R28" s="132">
        <f t="shared" si="13"/>
        <v>13156.41</v>
      </c>
      <c r="S28" s="132">
        <f t="shared" si="14"/>
        <v>1209.8461</v>
      </c>
      <c r="U28" s="284"/>
    </row>
    <row r="29" spans="2:24" ht="13" x14ac:dyDescent="0.3">
      <c r="B29" s="1395">
        <v>2017</v>
      </c>
      <c r="C29" s="1263">
        <f t="shared" si="15"/>
        <v>13852.100279999999</v>
      </c>
      <c r="D29" s="1463">
        <f t="shared" si="16"/>
        <v>12637.361096666666</v>
      </c>
      <c r="E29" s="1464"/>
      <c r="F29" s="295">
        <f t="shared" si="17"/>
        <v>1214.7391833333331</v>
      </c>
      <c r="G29" s="291">
        <f t="shared" si="18"/>
        <v>12631.256179999998</v>
      </c>
      <c r="H29" s="1463">
        <f>'3.3 y 3.4'!C30</f>
        <v>12430.616096666665</v>
      </c>
      <c r="I29" s="1464"/>
      <c r="J29" s="295">
        <f>'3.3 y 3.4'!K30</f>
        <v>200.64008333333337</v>
      </c>
      <c r="K29" s="291">
        <f t="shared" si="19"/>
        <v>1220.8440999999998</v>
      </c>
      <c r="L29" s="1463">
        <f>'3.3 y 3.4'!C98</f>
        <v>206.74499999999995</v>
      </c>
      <c r="M29" s="1464"/>
      <c r="N29" s="270">
        <f>'3.3 y 3.4'!I98</f>
        <v>1014.0990999999998</v>
      </c>
      <c r="P29">
        <v>2019</v>
      </c>
      <c r="Q29" s="132">
        <f t="shared" si="12"/>
        <v>14378.893100000001</v>
      </c>
      <c r="R29" s="132">
        <f t="shared" si="13"/>
        <v>13176.357000000002</v>
      </c>
      <c r="S29" s="132">
        <f t="shared" si="14"/>
        <v>1202.5361</v>
      </c>
      <c r="U29" s="284"/>
    </row>
    <row r="30" spans="2:24" ht="13" x14ac:dyDescent="0.3">
      <c r="B30" s="1392">
        <v>2018</v>
      </c>
      <c r="C30" s="1265">
        <f t="shared" si="15"/>
        <v>14366.256100000001</v>
      </c>
      <c r="D30" s="1461">
        <f t="shared" si="16"/>
        <v>13156.41</v>
      </c>
      <c r="E30" s="1462"/>
      <c r="F30" s="296">
        <f t="shared" si="17"/>
        <v>1209.8461</v>
      </c>
      <c r="G30" s="297">
        <f t="shared" si="18"/>
        <v>13145.596</v>
      </c>
      <c r="H30" s="1461">
        <f>'3.3 y 3.4'!C31</f>
        <v>12951.207</v>
      </c>
      <c r="I30" s="1462"/>
      <c r="J30" s="298">
        <f>'3.3 y 3.4'!K31</f>
        <v>194.38900000000004</v>
      </c>
      <c r="K30" s="297">
        <f t="shared" si="19"/>
        <v>1220.6600999999998</v>
      </c>
      <c r="L30" s="1461">
        <f>'3.3 y 3.4'!C99</f>
        <v>205.20299999999997</v>
      </c>
      <c r="M30" s="1462"/>
      <c r="N30" s="283">
        <f>'3.3 y 3.4'!I99</f>
        <v>1015.4570999999999</v>
      </c>
      <c r="P30">
        <v>2020</v>
      </c>
      <c r="Q30" s="132">
        <f t="shared" si="12"/>
        <v>14431.969100000002</v>
      </c>
      <c r="R30" s="132">
        <f t="shared" si="13"/>
        <v>13233.145000000002</v>
      </c>
      <c r="S30" s="132">
        <f t="shared" si="14"/>
        <v>1198.8240999999998</v>
      </c>
      <c r="U30" s="284"/>
    </row>
    <row r="31" spans="2:24" ht="13" x14ac:dyDescent="0.3">
      <c r="B31" s="1395">
        <v>2019</v>
      </c>
      <c r="C31" s="1263">
        <f t="shared" si="15"/>
        <v>14378.893100000001</v>
      </c>
      <c r="D31" s="1463">
        <f t="shared" si="16"/>
        <v>13176.357000000002</v>
      </c>
      <c r="E31" s="1464"/>
      <c r="F31" s="295">
        <f t="shared" si="17"/>
        <v>1202.5361</v>
      </c>
      <c r="G31" s="291">
        <f t="shared" si="18"/>
        <v>13159.247000000003</v>
      </c>
      <c r="H31" s="1463">
        <f>'3.3 y 3.4'!C32</f>
        <v>12968.243000000002</v>
      </c>
      <c r="I31" s="1464"/>
      <c r="J31" s="295">
        <f>'3.3 y 3.4'!K32</f>
        <v>191.00400000000008</v>
      </c>
      <c r="K31" s="291">
        <f t="shared" si="19"/>
        <v>1219.6460999999999</v>
      </c>
      <c r="L31" s="1463">
        <f>'3.3 y 3.4'!C100</f>
        <v>208.11399999999998</v>
      </c>
      <c r="M31" s="1464"/>
      <c r="N31" s="270">
        <f>'3.3 y 3.4'!I100</f>
        <v>1011.5320999999999</v>
      </c>
      <c r="P31">
        <v>2021</v>
      </c>
      <c r="Q31" s="132">
        <f t="shared" si="12"/>
        <v>14579.392100000005</v>
      </c>
      <c r="R31" s="132">
        <f t="shared" si="13"/>
        <v>13369.490000000005</v>
      </c>
      <c r="S31" s="132">
        <f t="shared" si="14"/>
        <v>1209.9020999999996</v>
      </c>
      <c r="U31" s="284"/>
    </row>
    <row r="32" spans="2:24" ht="13" x14ac:dyDescent="0.3">
      <c r="B32" s="1392">
        <v>2020</v>
      </c>
      <c r="C32" s="1265">
        <f t="shared" si="15"/>
        <v>14431.969100000002</v>
      </c>
      <c r="D32" s="1461">
        <f t="shared" si="16"/>
        <v>13233.145000000002</v>
      </c>
      <c r="E32" s="1462"/>
      <c r="F32" s="296">
        <f t="shared" si="17"/>
        <v>1198.8240999999998</v>
      </c>
      <c r="G32" s="297">
        <f t="shared" si="18"/>
        <v>13209.904000000002</v>
      </c>
      <c r="H32" s="1461">
        <f>'3.3 y 3.4'!C33</f>
        <v>13021.619000000002</v>
      </c>
      <c r="I32" s="1462"/>
      <c r="J32" s="298">
        <f>'3.3 y 3.4'!K33</f>
        <v>188.28499999999997</v>
      </c>
      <c r="K32" s="297">
        <f t="shared" si="19"/>
        <v>1222.0650999999998</v>
      </c>
      <c r="L32" s="1461">
        <f>'3.3 y 3.4'!C101</f>
        <v>211.52599999999995</v>
      </c>
      <c r="M32" s="1462"/>
      <c r="N32" s="283">
        <f>'3.3 y 3.4'!I101</f>
        <v>1010.5390999999998</v>
      </c>
      <c r="P32">
        <v>2022</v>
      </c>
      <c r="Q32" s="132">
        <f t="shared" si="12"/>
        <v>14976.991099999996</v>
      </c>
      <c r="R32" s="132">
        <f t="shared" si="13"/>
        <v>13729.009999999997</v>
      </c>
      <c r="S32" s="132">
        <f t="shared" si="14"/>
        <v>1247.9811</v>
      </c>
      <c r="U32" s="284"/>
    </row>
    <row r="33" spans="2:24" ht="13" x14ac:dyDescent="0.3">
      <c r="B33" s="1395">
        <v>2021</v>
      </c>
      <c r="C33" s="1263">
        <f t="shared" si="15"/>
        <v>14579.392100000005</v>
      </c>
      <c r="D33" s="1463">
        <f t="shared" si="16"/>
        <v>13369.490000000005</v>
      </c>
      <c r="E33" s="1464"/>
      <c r="F33" s="295">
        <f t="shared" si="17"/>
        <v>1209.9020999999996</v>
      </c>
      <c r="G33" s="291">
        <f t="shared" si="18"/>
        <v>13339.100000000004</v>
      </c>
      <c r="H33" s="1463">
        <f>'3.3 y 3.4'!C34</f>
        <v>13154.703000000005</v>
      </c>
      <c r="I33" s="1464"/>
      <c r="J33" s="295">
        <f>'3.3 y 3.4'!K34</f>
        <v>184.39699999999991</v>
      </c>
      <c r="K33" s="291">
        <f t="shared" si="19"/>
        <v>1240.2920999999997</v>
      </c>
      <c r="L33" s="1463">
        <f>'3.3 y 3.4'!C102</f>
        <v>214.78699999999995</v>
      </c>
      <c r="M33" s="1464"/>
      <c r="N33" s="270">
        <f>'3.3 y 3.4'!I102</f>
        <v>1025.5050999999996</v>
      </c>
      <c r="U33" s="284"/>
    </row>
    <row r="34" spans="2:24" ht="13.5" thickBot="1" x14ac:dyDescent="0.35">
      <c r="B34" s="1392">
        <v>2022</v>
      </c>
      <c r="C34" s="1266">
        <f t="shared" si="15"/>
        <v>14976.991099999996</v>
      </c>
      <c r="D34" s="1489">
        <f t="shared" si="16"/>
        <v>13729.009999999997</v>
      </c>
      <c r="E34" s="1490"/>
      <c r="F34" s="1267">
        <f t="shared" si="17"/>
        <v>1247.9811</v>
      </c>
      <c r="G34" s="1270">
        <f t="shared" si="18"/>
        <v>13698.298999999997</v>
      </c>
      <c r="H34" s="1489">
        <f>'3.3 y 3.4'!C35</f>
        <v>13507.625999999997</v>
      </c>
      <c r="I34" s="1490"/>
      <c r="J34" s="1271">
        <f>'3.3 y 3.4'!K35</f>
        <v>190.673</v>
      </c>
      <c r="K34" s="1270">
        <f t="shared" si="19"/>
        <v>1278.6921</v>
      </c>
      <c r="L34" s="1489">
        <f>'3.3 y 3.4'!C103</f>
        <v>221.38400000000001</v>
      </c>
      <c r="M34" s="1490"/>
      <c r="N34" s="1272">
        <f>'3.3 y 3.4'!I103</f>
        <v>1057.3081</v>
      </c>
      <c r="Q34" s="133"/>
      <c r="R34" s="133"/>
      <c r="S34" s="133"/>
      <c r="U34" s="284"/>
    </row>
    <row r="35" spans="2:24" s="94" customFormat="1" ht="16.5" customHeight="1" x14ac:dyDescent="0.25">
      <c r="B35" s="803" t="s">
        <v>161</v>
      </c>
      <c r="C35" s="833">
        <f>(C34/C33)-1</f>
        <v>2.7271301661472735E-2</v>
      </c>
      <c r="D35" s="1488">
        <f>(D34/D33)-1</f>
        <v>2.689107811891045E-2</v>
      </c>
      <c r="E35" s="1488"/>
      <c r="F35" s="832">
        <f>(F34/F33)-1</f>
        <v>3.147279436906536E-2</v>
      </c>
      <c r="G35" s="832">
        <f>(G34/G33)-1</f>
        <v>2.6928278519539717E-2</v>
      </c>
      <c r="H35" s="1488">
        <f>(H34/H33)-1</f>
        <v>2.6828655880713592E-2</v>
      </c>
      <c r="I35" s="1488"/>
      <c r="J35" s="832">
        <f>(J34/J33)-1</f>
        <v>3.4035260877346651E-2</v>
      </c>
      <c r="K35" s="832">
        <f>(K34/K33)-1</f>
        <v>3.0960448752354708E-2</v>
      </c>
      <c r="L35" s="1488">
        <f>(L34/L33)-1</f>
        <v>3.0714149366582122E-2</v>
      </c>
      <c r="M35" s="1488"/>
      <c r="N35" s="834">
        <f>(N34/N33)-1</f>
        <v>3.1012034947461853E-2</v>
      </c>
      <c r="Q35" s="804"/>
      <c r="R35" s="804"/>
      <c r="S35" s="804"/>
    </row>
    <row r="36" spans="2:24" s="94" customFormat="1" ht="16.5" customHeight="1" x14ac:dyDescent="0.25">
      <c r="B36" s="807" t="s">
        <v>162</v>
      </c>
      <c r="C36" s="824">
        <f>((C34/C29)^(1/5))-1</f>
        <v>1.573820750253363E-2</v>
      </c>
      <c r="D36" s="1491">
        <f>((D34/D29)^(1/5))-1</f>
        <v>1.6708759494053371E-2</v>
      </c>
      <c r="E36" s="1491"/>
      <c r="F36" s="1158">
        <f>((F34/F29)^(1/5))-1</f>
        <v>5.4141509828067313E-3</v>
      </c>
      <c r="G36" s="1158">
        <f>((G34/G29)^(1/5))-1</f>
        <v>1.6351704012819823E-2</v>
      </c>
      <c r="H36" s="1491">
        <f>((H34/H29)^(1/5))-1</f>
        <v>1.675724258500888E-2</v>
      </c>
      <c r="I36" s="1491"/>
      <c r="J36" s="1158">
        <f>((J34/J29)^(1/5))-1</f>
        <v>-1.0138803033764021E-2</v>
      </c>
      <c r="K36" s="1158">
        <f>((K34/K29)^(1/5))-1</f>
        <v>9.3020483974257662E-3</v>
      </c>
      <c r="L36" s="1491">
        <f>((L34/L29)^(1/5))-1</f>
        <v>1.3776554154752096E-2</v>
      </c>
      <c r="M36" s="1491"/>
      <c r="N36" s="1159">
        <f>((N34/N29)^(1/5))-1</f>
        <v>8.3800209589544039E-3</v>
      </c>
      <c r="Q36" s="804"/>
      <c r="R36" s="804"/>
      <c r="S36" s="804"/>
    </row>
    <row r="37" spans="2:24" s="94" customFormat="1" ht="16.5" customHeight="1" x14ac:dyDescent="0.25">
      <c r="B37" s="808" t="s">
        <v>163</v>
      </c>
      <c r="C37" s="818">
        <f>(C34/C24)-1</f>
        <v>0.67541788987608209</v>
      </c>
      <c r="D37" s="1492">
        <f>(D34/D24)-1</f>
        <v>0.76521035097303747</v>
      </c>
      <c r="E37" s="1492"/>
      <c r="F37" s="796">
        <f>(F34/F24)-1</f>
        <v>7.4264014709376047E-2</v>
      </c>
      <c r="G37" s="796">
        <f>(G34/G24)-1</f>
        <v>0.7664044885140433</v>
      </c>
      <c r="H37" s="1492">
        <f>(H34/H24)-1</f>
        <v>0.77322376358917322</v>
      </c>
      <c r="I37" s="1492"/>
      <c r="J37" s="796">
        <f>(J34/J24)-1</f>
        <v>0.38820694274564627</v>
      </c>
      <c r="K37" s="796">
        <f>(K34/K24)-1</f>
        <v>7.9655457161384335E-2</v>
      </c>
      <c r="L37" s="1492">
        <f>(L34/L24)-1</f>
        <v>0.38368459211480288</v>
      </c>
      <c r="M37" s="1492"/>
      <c r="N37" s="798">
        <f>(N34/N24)-1</f>
        <v>3.2168601540870423E-2</v>
      </c>
    </row>
    <row r="38" spans="2:24" s="94" customFormat="1" ht="16.5" customHeight="1" thickBot="1" x14ac:dyDescent="0.3">
      <c r="B38" s="809" t="s">
        <v>164</v>
      </c>
      <c r="C38" s="841">
        <f>((C34/C24)^(1/10))-1</f>
        <v>5.2961070165585378E-2</v>
      </c>
      <c r="D38" s="1493">
        <f>((D34/D24)^(1/10))-1</f>
        <v>5.8472664207062319E-2</v>
      </c>
      <c r="E38" s="1493"/>
      <c r="F38" s="840">
        <f>((F34/F24)^(1/10))-1</f>
        <v>7.1892987732671276E-3</v>
      </c>
      <c r="G38" s="840">
        <f>((G34/G24)^(1/10))-1</f>
        <v>5.8544246459891536E-2</v>
      </c>
      <c r="H38" s="1493">
        <f>((H34/H24)^(1/10))-1</f>
        <v>5.8952193491401239E-2</v>
      </c>
      <c r="I38" s="1493"/>
      <c r="J38" s="840">
        <f>((J34/J24)^(1/10))-1</f>
        <v>3.3345187484963512E-2</v>
      </c>
      <c r="K38" s="840">
        <f>((K34/K24)^(1/10))-1</f>
        <v>7.6936420426145791E-3</v>
      </c>
      <c r="L38" s="1493">
        <f>((L34/L24)^(1/10))-1</f>
        <v>3.3008060941321471E-2</v>
      </c>
      <c r="M38" s="1493"/>
      <c r="N38" s="842">
        <f>((N34/N24)^(1/10))-1</f>
        <v>3.1712204443141712E-3</v>
      </c>
    </row>
    <row r="39" spans="2:24" x14ac:dyDescent="0.25">
      <c r="B39" s="5" t="s">
        <v>61</v>
      </c>
    </row>
    <row r="40" spans="2:24" ht="15" customHeight="1" x14ac:dyDescent="0.25">
      <c r="B40" s="263"/>
    </row>
    <row r="42" spans="2:24" x14ac:dyDescent="0.25">
      <c r="B42" s="5"/>
    </row>
    <row r="44" spans="2:24" x14ac:dyDescent="0.25">
      <c r="Q44" t="s">
        <v>78</v>
      </c>
    </row>
    <row r="45" spans="2:24" x14ac:dyDescent="0.25">
      <c r="Q45" t="s">
        <v>53</v>
      </c>
      <c r="R45" s="115" t="s">
        <v>81</v>
      </c>
      <c r="S45" s="115" t="s">
        <v>84</v>
      </c>
      <c r="V45" s="115" t="s">
        <v>53</v>
      </c>
      <c r="W45" s="115" t="s">
        <v>81</v>
      </c>
      <c r="X45" s="115" t="s">
        <v>84</v>
      </c>
    </row>
    <row r="46" spans="2:24" x14ac:dyDescent="0.25">
      <c r="P46">
        <v>1995</v>
      </c>
      <c r="Q46" s="133">
        <f t="shared" ref="Q46:Q51" si="20">G6</f>
        <v>3195.3919999999998</v>
      </c>
      <c r="R46" s="133">
        <f>+H6+I6</f>
        <v>2861.116</v>
      </c>
      <c r="S46" s="133">
        <f t="shared" ref="S46:S51" si="21">J6</f>
        <v>334.27599999999995</v>
      </c>
      <c r="U46" s="94">
        <f>+P46</f>
        <v>1995</v>
      </c>
      <c r="V46" s="804">
        <f t="shared" ref="V46" si="22">+Q46</f>
        <v>3195.3919999999998</v>
      </c>
      <c r="W46" s="804">
        <f t="shared" ref="W46" si="23">+R46</f>
        <v>2861.116</v>
      </c>
      <c r="X46" s="804">
        <f t="shared" ref="X46" si="24">+S46</f>
        <v>334.27599999999995</v>
      </c>
    </row>
    <row r="47" spans="2:24" x14ac:dyDescent="0.25">
      <c r="P47">
        <v>1996</v>
      </c>
      <c r="Q47" s="133">
        <f t="shared" si="20"/>
        <v>2879.5010000000002</v>
      </c>
      <c r="R47" s="133">
        <f t="shared" ref="R47:R51" si="25">+H7+I7</f>
        <v>2618.5450000000001</v>
      </c>
      <c r="S47" s="133">
        <f t="shared" si="21"/>
        <v>260.95600000000002</v>
      </c>
      <c r="U47">
        <f>+P51</f>
        <v>2000</v>
      </c>
      <c r="V47" s="133">
        <f t="shared" ref="V47" si="26">+Q51</f>
        <v>4775.9350000000004</v>
      </c>
      <c r="W47" s="133">
        <f t="shared" ref="W47" si="27">+R51</f>
        <v>4501.3870000000006</v>
      </c>
      <c r="X47" s="133">
        <f t="shared" ref="X47" si="28">+S51</f>
        <v>274.54799999999994</v>
      </c>
    </row>
    <row r="48" spans="2:24" x14ac:dyDescent="0.25">
      <c r="P48">
        <v>1997</v>
      </c>
      <c r="Q48" s="133">
        <f t="shared" si="20"/>
        <v>3826.8329999999996</v>
      </c>
      <c r="R48" s="133">
        <f t="shared" si="25"/>
        <v>3517.87</v>
      </c>
      <c r="S48" s="133">
        <f t="shared" si="21"/>
        <v>308.96299999999997</v>
      </c>
      <c r="U48">
        <f>+P56</f>
        <v>2005</v>
      </c>
      <c r="V48" s="133">
        <f t="shared" ref="V48" si="29">+Q56</f>
        <v>4798.6629999999996</v>
      </c>
      <c r="W48" s="133">
        <f t="shared" ref="W48" si="30">+R56</f>
        <v>4619.7579999999998</v>
      </c>
      <c r="X48" s="133">
        <f t="shared" ref="X48" si="31">+S56</f>
        <v>178.90499999999992</v>
      </c>
    </row>
    <row r="49" spans="16:24" x14ac:dyDescent="0.25">
      <c r="P49">
        <v>1998</v>
      </c>
      <c r="Q49" s="133">
        <f t="shared" si="20"/>
        <v>4020.8009999999995</v>
      </c>
      <c r="R49" s="133">
        <f t="shared" si="25"/>
        <v>3686.3549999999996</v>
      </c>
      <c r="S49" s="133">
        <f t="shared" si="21"/>
        <v>334.44599999999997</v>
      </c>
      <c r="U49">
        <f>+P61</f>
        <v>2010</v>
      </c>
      <c r="V49" s="133">
        <f>+Q61</f>
        <v>6875.0380000000014</v>
      </c>
      <c r="W49" s="133">
        <f t="shared" ref="W49:W61" si="32">+R61</f>
        <v>6727.0620000000017</v>
      </c>
      <c r="X49" s="133">
        <f t="shared" ref="X49:X61" si="33">+S61</f>
        <v>147.976</v>
      </c>
    </row>
    <row r="50" spans="16:24" x14ac:dyDescent="0.25">
      <c r="P50">
        <v>1999</v>
      </c>
      <c r="Q50" s="133">
        <f t="shared" si="20"/>
        <v>4317.9290000000001</v>
      </c>
      <c r="R50" s="133">
        <f t="shared" si="25"/>
        <v>4029.7640000000001</v>
      </c>
      <c r="S50" s="133">
        <f t="shared" si="21"/>
        <v>288.16500000000002</v>
      </c>
      <c r="U50">
        <f>+P62</f>
        <v>2011</v>
      </c>
      <c r="V50" s="133">
        <f t="shared" ref="V50:V61" si="34">+Q62</f>
        <v>6867.8209999999999</v>
      </c>
      <c r="W50" s="133">
        <f t="shared" si="32"/>
        <v>6729.8410000000003</v>
      </c>
      <c r="X50" s="133">
        <f t="shared" si="33"/>
        <v>137.97999999999999</v>
      </c>
    </row>
    <row r="51" spans="16:24" x14ac:dyDescent="0.25">
      <c r="P51">
        <v>2000</v>
      </c>
      <c r="Q51" s="133">
        <f t="shared" si="20"/>
        <v>4775.9350000000004</v>
      </c>
      <c r="R51" s="133">
        <f t="shared" si="25"/>
        <v>4501.3870000000006</v>
      </c>
      <c r="S51" s="133">
        <f t="shared" si="21"/>
        <v>274.54799999999994</v>
      </c>
      <c r="U51">
        <f t="shared" ref="U51:U61" si="35">+P63</f>
        <v>2012</v>
      </c>
      <c r="V51" s="133">
        <f t="shared" si="34"/>
        <v>7754.9049999999997</v>
      </c>
      <c r="W51" s="133">
        <f t="shared" si="32"/>
        <v>7617.5529999999999</v>
      </c>
      <c r="X51" s="133">
        <f t="shared" si="33"/>
        <v>137.352</v>
      </c>
    </row>
    <row r="52" spans="16:24" x14ac:dyDescent="0.25">
      <c r="P52">
        <v>2001</v>
      </c>
      <c r="Q52" s="133">
        <f t="shared" ref="Q52:Q73" si="36">G13</f>
        <v>4642.0639999999994</v>
      </c>
      <c r="R52" s="133">
        <f t="shared" ref="R52:R73" si="37">H13</f>
        <v>4418.8459999999995</v>
      </c>
      <c r="S52" s="133">
        <f t="shared" ref="S52:S73" si="38">J13</f>
        <v>223.21799999999993</v>
      </c>
      <c r="U52">
        <f t="shared" si="35"/>
        <v>2013</v>
      </c>
      <c r="V52" s="133">
        <f t="shared" si="34"/>
        <v>8680.4209999999985</v>
      </c>
      <c r="W52" s="133">
        <f t="shared" si="32"/>
        <v>8521.0119999999988</v>
      </c>
      <c r="X52" s="133">
        <f t="shared" si="33"/>
        <v>159.40900000000005</v>
      </c>
    </row>
    <row r="53" spans="16:24" x14ac:dyDescent="0.25">
      <c r="P53" s="80">
        <v>2002</v>
      </c>
      <c r="Q53" s="133">
        <f t="shared" si="36"/>
        <v>4657.8269999999993</v>
      </c>
      <c r="R53" s="133">
        <f t="shared" si="37"/>
        <v>4491.7919999999995</v>
      </c>
      <c r="S53" s="133">
        <f t="shared" si="38"/>
        <v>166.035</v>
      </c>
      <c r="U53">
        <f t="shared" si="35"/>
        <v>2014</v>
      </c>
      <c r="V53" s="133">
        <f t="shared" si="34"/>
        <v>9082.8000000000011</v>
      </c>
      <c r="W53" s="133">
        <f t="shared" si="32"/>
        <v>8908.4320000000007</v>
      </c>
      <c r="X53" s="133">
        <f t="shared" si="33"/>
        <v>174.36800000000002</v>
      </c>
    </row>
    <row r="54" spans="16:24" x14ac:dyDescent="0.25">
      <c r="P54">
        <v>2003</v>
      </c>
      <c r="Q54" s="133">
        <f t="shared" si="36"/>
        <v>4686.3940000000011</v>
      </c>
      <c r="R54" s="133">
        <f t="shared" si="37"/>
        <v>4517.7180000000008</v>
      </c>
      <c r="S54" s="133">
        <f t="shared" si="38"/>
        <v>168.67599999999996</v>
      </c>
      <c r="U54">
        <f t="shared" si="35"/>
        <v>2015</v>
      </c>
      <c r="V54" s="133">
        <f t="shared" si="34"/>
        <v>10028.284</v>
      </c>
      <c r="W54" s="133">
        <f t="shared" si="32"/>
        <v>9845.1579999999994</v>
      </c>
      <c r="X54" s="133">
        <f t="shared" si="33"/>
        <v>183.12599999999998</v>
      </c>
    </row>
    <row r="55" spans="16:24" x14ac:dyDescent="0.25">
      <c r="P55">
        <v>2004</v>
      </c>
      <c r="Q55" s="133">
        <f t="shared" si="36"/>
        <v>4657.3150700000006</v>
      </c>
      <c r="R55" s="133">
        <f t="shared" si="37"/>
        <v>4493.808070000001</v>
      </c>
      <c r="S55" s="133">
        <f t="shared" si="38"/>
        <v>163.50700000000006</v>
      </c>
      <c r="U55">
        <f t="shared" si="35"/>
        <v>2016</v>
      </c>
      <c r="V55" s="133">
        <f t="shared" si="34"/>
        <v>12450.708000000002</v>
      </c>
      <c r="W55" s="133">
        <f t="shared" si="32"/>
        <v>12265.121000000003</v>
      </c>
      <c r="X55" s="133">
        <f t="shared" si="33"/>
        <v>185.58700000000005</v>
      </c>
    </row>
    <row r="56" spans="16:24" x14ac:dyDescent="0.25">
      <c r="P56">
        <v>2005</v>
      </c>
      <c r="Q56" s="133">
        <f t="shared" si="36"/>
        <v>4798.6629999999996</v>
      </c>
      <c r="R56" s="133">
        <f t="shared" si="37"/>
        <v>4619.7579999999998</v>
      </c>
      <c r="S56" s="133">
        <f t="shared" si="38"/>
        <v>178.90499999999992</v>
      </c>
      <c r="U56">
        <f t="shared" si="35"/>
        <v>2017</v>
      </c>
      <c r="V56" s="133">
        <f t="shared" si="34"/>
        <v>12631.256179999998</v>
      </c>
      <c r="W56" s="133">
        <f t="shared" si="32"/>
        <v>12430.616096666665</v>
      </c>
      <c r="X56" s="133">
        <f t="shared" si="33"/>
        <v>200.64008333333337</v>
      </c>
    </row>
    <row r="57" spans="16:24" x14ac:dyDescent="0.25">
      <c r="P57">
        <v>2006</v>
      </c>
      <c r="Q57" s="133">
        <f t="shared" si="36"/>
        <v>5064.3620000000001</v>
      </c>
      <c r="R57" s="133">
        <f t="shared" si="37"/>
        <v>4891.5619999999999</v>
      </c>
      <c r="S57" s="133">
        <f t="shared" si="38"/>
        <v>172.8</v>
      </c>
      <c r="U57">
        <f t="shared" si="35"/>
        <v>2018</v>
      </c>
      <c r="V57" s="133">
        <f t="shared" si="34"/>
        <v>13145.596</v>
      </c>
      <c r="W57" s="133">
        <f t="shared" si="32"/>
        <v>12951.207</v>
      </c>
      <c r="X57" s="133">
        <f t="shared" si="33"/>
        <v>194.38900000000004</v>
      </c>
    </row>
    <row r="58" spans="16:24" x14ac:dyDescent="0.25">
      <c r="P58" s="80">
        <v>2007</v>
      </c>
      <c r="Q58" s="133">
        <f t="shared" si="36"/>
        <v>5532.8549999999987</v>
      </c>
      <c r="R58" s="133">
        <f t="shared" si="37"/>
        <v>5363.3939999999984</v>
      </c>
      <c r="S58" s="133">
        <f t="shared" si="38"/>
        <v>169.46100000000004</v>
      </c>
      <c r="U58">
        <f t="shared" si="35"/>
        <v>2019</v>
      </c>
      <c r="V58" s="133">
        <f t="shared" si="34"/>
        <v>13159.247000000003</v>
      </c>
      <c r="W58" s="133">
        <f t="shared" si="32"/>
        <v>12968.243000000002</v>
      </c>
      <c r="X58" s="133">
        <f t="shared" si="33"/>
        <v>191.00400000000008</v>
      </c>
    </row>
    <row r="59" spans="16:24" x14ac:dyDescent="0.25">
      <c r="P59">
        <v>2008</v>
      </c>
      <c r="Q59" s="133">
        <f t="shared" si="36"/>
        <v>5444.2160000000003</v>
      </c>
      <c r="R59" s="133">
        <f t="shared" si="37"/>
        <v>5248.7000000000007</v>
      </c>
      <c r="S59" s="133">
        <f t="shared" si="38"/>
        <v>195.51599999999991</v>
      </c>
      <c r="U59">
        <f t="shared" si="35"/>
        <v>2020</v>
      </c>
      <c r="V59" s="133">
        <f t="shared" si="34"/>
        <v>13209.904000000002</v>
      </c>
      <c r="W59" s="133">
        <f t="shared" si="32"/>
        <v>13021.619000000002</v>
      </c>
      <c r="X59" s="133">
        <f t="shared" si="33"/>
        <v>188.28499999999997</v>
      </c>
    </row>
    <row r="60" spans="16:24" x14ac:dyDescent="0.25">
      <c r="P60">
        <v>2009</v>
      </c>
      <c r="Q60" s="133">
        <f t="shared" si="36"/>
        <v>6246.4090000000006</v>
      </c>
      <c r="R60" s="133">
        <f t="shared" si="37"/>
        <v>6064.4620000000004</v>
      </c>
      <c r="S60" s="133">
        <f t="shared" si="38"/>
        <v>181.947</v>
      </c>
      <c r="U60">
        <f t="shared" si="35"/>
        <v>2021</v>
      </c>
      <c r="V60" s="133">
        <f t="shared" si="34"/>
        <v>13339.100000000004</v>
      </c>
      <c r="W60" s="133">
        <f t="shared" si="32"/>
        <v>13154.703000000005</v>
      </c>
      <c r="X60" s="133">
        <f t="shared" si="33"/>
        <v>184.39699999999991</v>
      </c>
    </row>
    <row r="61" spans="16:24" x14ac:dyDescent="0.25">
      <c r="P61">
        <v>2010</v>
      </c>
      <c r="Q61" s="133">
        <f t="shared" si="36"/>
        <v>6875.0380000000014</v>
      </c>
      <c r="R61" s="133">
        <f t="shared" si="37"/>
        <v>6727.0620000000017</v>
      </c>
      <c r="S61" s="133">
        <f t="shared" si="38"/>
        <v>147.976</v>
      </c>
      <c r="U61">
        <f t="shared" si="35"/>
        <v>2022</v>
      </c>
      <c r="V61" s="133">
        <f t="shared" si="34"/>
        <v>13698.298999999997</v>
      </c>
      <c r="W61" s="133">
        <f t="shared" si="32"/>
        <v>13507.625999999997</v>
      </c>
      <c r="X61" s="133">
        <f t="shared" si="33"/>
        <v>190.673</v>
      </c>
    </row>
    <row r="62" spans="16:24" x14ac:dyDescent="0.25">
      <c r="P62">
        <v>2011</v>
      </c>
      <c r="Q62" s="133">
        <f t="shared" si="36"/>
        <v>6867.8209999999999</v>
      </c>
      <c r="R62" s="133">
        <f t="shared" si="37"/>
        <v>6729.8410000000003</v>
      </c>
      <c r="S62" s="133">
        <f t="shared" si="38"/>
        <v>137.97999999999999</v>
      </c>
    </row>
    <row r="63" spans="16:24" x14ac:dyDescent="0.25">
      <c r="P63">
        <v>2012</v>
      </c>
      <c r="Q63" s="133">
        <f t="shared" si="36"/>
        <v>7754.9049999999997</v>
      </c>
      <c r="R63" s="133">
        <f t="shared" si="37"/>
        <v>7617.5529999999999</v>
      </c>
      <c r="S63" s="133">
        <f t="shared" si="38"/>
        <v>137.352</v>
      </c>
    </row>
    <row r="64" spans="16:24" x14ac:dyDescent="0.25">
      <c r="P64">
        <v>2013</v>
      </c>
      <c r="Q64" s="133">
        <f t="shared" si="36"/>
        <v>8680.4209999999985</v>
      </c>
      <c r="R64" s="133">
        <f t="shared" si="37"/>
        <v>8521.0119999999988</v>
      </c>
      <c r="S64" s="133">
        <f t="shared" si="38"/>
        <v>159.40900000000005</v>
      </c>
    </row>
    <row r="65" spans="16:24" x14ac:dyDescent="0.25">
      <c r="P65">
        <v>2014</v>
      </c>
      <c r="Q65" s="133">
        <f t="shared" si="36"/>
        <v>9082.8000000000011</v>
      </c>
      <c r="R65" s="133">
        <f t="shared" si="37"/>
        <v>8908.4320000000007</v>
      </c>
      <c r="S65" s="133">
        <f t="shared" si="38"/>
        <v>174.36800000000002</v>
      </c>
    </row>
    <row r="66" spans="16:24" x14ac:dyDescent="0.25">
      <c r="P66">
        <v>2015</v>
      </c>
      <c r="Q66" s="133">
        <f t="shared" si="36"/>
        <v>10028.284</v>
      </c>
      <c r="R66" s="133">
        <f t="shared" si="37"/>
        <v>9845.1579999999994</v>
      </c>
      <c r="S66" s="133">
        <f t="shared" si="38"/>
        <v>183.12599999999998</v>
      </c>
    </row>
    <row r="67" spans="16:24" x14ac:dyDescent="0.25">
      <c r="P67">
        <v>2016</v>
      </c>
      <c r="Q67" s="133">
        <f t="shared" si="36"/>
        <v>12450.708000000002</v>
      </c>
      <c r="R67" s="133">
        <f t="shared" si="37"/>
        <v>12265.121000000003</v>
      </c>
      <c r="S67" s="133">
        <f t="shared" si="38"/>
        <v>185.58700000000005</v>
      </c>
    </row>
    <row r="68" spans="16:24" x14ac:dyDescent="0.25">
      <c r="P68">
        <v>2017</v>
      </c>
      <c r="Q68" s="133">
        <f t="shared" si="36"/>
        <v>12631.256179999998</v>
      </c>
      <c r="R68" s="133">
        <f t="shared" si="37"/>
        <v>12430.616096666665</v>
      </c>
      <c r="S68" s="133">
        <f t="shared" si="38"/>
        <v>200.64008333333337</v>
      </c>
    </row>
    <row r="69" spans="16:24" x14ac:dyDescent="0.25">
      <c r="P69">
        <v>2018</v>
      </c>
      <c r="Q69" s="133">
        <f t="shared" si="36"/>
        <v>13145.596</v>
      </c>
      <c r="R69" s="133">
        <f t="shared" si="37"/>
        <v>12951.207</v>
      </c>
      <c r="S69" s="133">
        <f t="shared" si="38"/>
        <v>194.38900000000004</v>
      </c>
    </row>
    <row r="70" spans="16:24" x14ac:dyDescent="0.25">
      <c r="P70">
        <v>2019</v>
      </c>
      <c r="Q70" s="133">
        <f t="shared" si="36"/>
        <v>13159.247000000003</v>
      </c>
      <c r="R70" s="133">
        <f t="shared" si="37"/>
        <v>12968.243000000002</v>
      </c>
      <c r="S70" s="133">
        <f t="shared" si="38"/>
        <v>191.00400000000008</v>
      </c>
    </row>
    <row r="71" spans="16:24" x14ac:dyDescent="0.25">
      <c r="P71">
        <v>2020</v>
      </c>
      <c r="Q71" s="133">
        <f t="shared" si="36"/>
        <v>13209.904000000002</v>
      </c>
      <c r="R71" s="133">
        <f t="shared" si="37"/>
        <v>13021.619000000002</v>
      </c>
      <c r="S71" s="133">
        <f t="shared" si="38"/>
        <v>188.28499999999997</v>
      </c>
    </row>
    <row r="72" spans="16:24" x14ac:dyDescent="0.25">
      <c r="P72">
        <v>2021</v>
      </c>
      <c r="Q72" s="133">
        <f t="shared" si="36"/>
        <v>13339.100000000004</v>
      </c>
      <c r="R72" s="133">
        <f t="shared" si="37"/>
        <v>13154.703000000005</v>
      </c>
      <c r="S72" s="133">
        <f t="shared" si="38"/>
        <v>184.39699999999991</v>
      </c>
    </row>
    <row r="73" spans="16:24" x14ac:dyDescent="0.25">
      <c r="P73">
        <v>2022</v>
      </c>
      <c r="Q73" s="133">
        <f t="shared" si="36"/>
        <v>13698.298999999997</v>
      </c>
      <c r="R73" s="133">
        <f t="shared" si="37"/>
        <v>13507.625999999997</v>
      </c>
      <c r="S73" s="133">
        <f t="shared" si="38"/>
        <v>190.673</v>
      </c>
    </row>
    <row r="77" spans="16:24" x14ac:dyDescent="0.25">
      <c r="Q77" t="s">
        <v>79</v>
      </c>
    </row>
    <row r="78" spans="16:24" x14ac:dyDescent="0.25">
      <c r="Q78" t="s">
        <v>53</v>
      </c>
      <c r="R78" s="115" t="s">
        <v>81</v>
      </c>
      <c r="S78" s="115" t="s">
        <v>84</v>
      </c>
      <c r="V78" s="115" t="s">
        <v>53</v>
      </c>
      <c r="W78" s="115" t="s">
        <v>81</v>
      </c>
      <c r="X78" s="115" t="s">
        <v>84</v>
      </c>
    </row>
    <row r="79" spans="16:24" x14ac:dyDescent="0.25">
      <c r="P79">
        <v>1995</v>
      </c>
      <c r="Q79" s="133">
        <f t="shared" ref="Q79:Q84" si="39">K6</f>
        <v>880.01600000000008</v>
      </c>
      <c r="R79" s="133">
        <f>+L6+M6</f>
        <v>610.09</v>
      </c>
      <c r="S79" s="133">
        <f t="shared" ref="S79:S84" si="40">N6</f>
        <v>269.92599999999999</v>
      </c>
      <c r="U79" s="94">
        <f>+P79</f>
        <v>1995</v>
      </c>
      <c r="V79" s="804">
        <f t="shared" ref="V79:X79" si="41">+Q79</f>
        <v>880.01600000000008</v>
      </c>
      <c r="W79" s="804">
        <f t="shared" si="41"/>
        <v>610.09</v>
      </c>
      <c r="X79" s="804">
        <f t="shared" si="41"/>
        <v>269.92599999999999</v>
      </c>
    </row>
    <row r="80" spans="16:24" x14ac:dyDescent="0.25">
      <c r="P80">
        <v>1996</v>
      </c>
      <c r="Q80" s="133">
        <f t="shared" si="39"/>
        <v>1123.7</v>
      </c>
      <c r="R80" s="133">
        <f t="shared" ref="R80:R84" si="42">+L7+M7</f>
        <v>880.84199999999998</v>
      </c>
      <c r="S80" s="133">
        <f t="shared" si="40"/>
        <v>242.858</v>
      </c>
      <c r="U80">
        <f>+P84</f>
        <v>2000</v>
      </c>
      <c r="V80" s="133">
        <f t="shared" ref="V80:X80" si="43">+Q84</f>
        <v>778.91100000000017</v>
      </c>
      <c r="W80" s="133">
        <f t="shared" si="43"/>
        <v>89.878999999999991</v>
      </c>
      <c r="X80" s="133">
        <f t="shared" si="43"/>
        <v>689.03200000000015</v>
      </c>
    </row>
    <row r="81" spans="16:24" x14ac:dyDescent="0.25">
      <c r="P81">
        <v>1997</v>
      </c>
      <c r="Q81" s="133">
        <f t="shared" si="39"/>
        <v>754.18599999999992</v>
      </c>
      <c r="R81" s="133">
        <f t="shared" si="42"/>
        <v>187.12799999999999</v>
      </c>
      <c r="S81" s="133">
        <f t="shared" si="40"/>
        <v>567.05799999999999</v>
      </c>
      <c r="U81">
        <f>+P89</f>
        <v>2005</v>
      </c>
      <c r="V81" s="133">
        <f t="shared" ref="V81:X81" si="44">+Q89</f>
        <v>812.26200000000028</v>
      </c>
      <c r="W81" s="133">
        <f t="shared" si="44"/>
        <v>126.95800000000001</v>
      </c>
      <c r="X81" s="133">
        <f t="shared" si="44"/>
        <v>685.30400000000031</v>
      </c>
    </row>
    <row r="82" spans="16:24" x14ac:dyDescent="0.25">
      <c r="P82">
        <v>1998</v>
      </c>
      <c r="Q82" s="133">
        <f t="shared" si="39"/>
        <v>760.82999999999993</v>
      </c>
      <c r="R82" s="133">
        <f t="shared" si="42"/>
        <v>146.48399999999998</v>
      </c>
      <c r="S82" s="133">
        <f t="shared" si="40"/>
        <v>614.346</v>
      </c>
      <c r="U82">
        <f>+P94</f>
        <v>2010</v>
      </c>
      <c r="V82" s="133">
        <f t="shared" ref="V82:X94" si="45">+Q94</f>
        <v>1125.3490000000004</v>
      </c>
      <c r="W82" s="133">
        <f t="shared" si="45"/>
        <v>160.57400000000001</v>
      </c>
      <c r="X82" s="133">
        <f t="shared" si="45"/>
        <v>964.77500000000032</v>
      </c>
    </row>
    <row r="83" spans="16:24" x14ac:dyDescent="0.25">
      <c r="P83">
        <v>1999</v>
      </c>
      <c r="Q83" s="133">
        <f t="shared" si="39"/>
        <v>798.22700000000009</v>
      </c>
      <c r="R83" s="133">
        <f t="shared" si="42"/>
        <v>101.364</v>
      </c>
      <c r="S83" s="133">
        <f t="shared" si="40"/>
        <v>696.86300000000006</v>
      </c>
      <c r="U83">
        <f>+P95</f>
        <v>2011</v>
      </c>
      <c r="V83" s="133">
        <f t="shared" si="45"/>
        <v>1177.712</v>
      </c>
      <c r="W83" s="133">
        <f t="shared" si="45"/>
        <v>158.62100000000001</v>
      </c>
      <c r="X83" s="133">
        <f t="shared" si="45"/>
        <v>1019.0909999999999</v>
      </c>
    </row>
    <row r="84" spans="16:24" x14ac:dyDescent="0.25">
      <c r="P84">
        <v>2000</v>
      </c>
      <c r="Q84" s="133">
        <f t="shared" si="39"/>
        <v>778.91100000000017</v>
      </c>
      <c r="R84" s="133">
        <f t="shared" si="42"/>
        <v>89.878999999999991</v>
      </c>
      <c r="S84" s="133">
        <f t="shared" si="40"/>
        <v>689.03200000000015</v>
      </c>
      <c r="U84">
        <f t="shared" ref="U84:U94" si="46">+P96</f>
        <v>2012</v>
      </c>
      <c r="V84" s="133">
        <f t="shared" si="45"/>
        <v>1184.3520000000001</v>
      </c>
      <c r="W84" s="133">
        <f t="shared" si="45"/>
        <v>159.99600000000001</v>
      </c>
      <c r="X84" s="133">
        <f t="shared" si="45"/>
        <v>1024.356</v>
      </c>
    </row>
    <row r="85" spans="16:24" x14ac:dyDescent="0.25">
      <c r="P85">
        <v>2001</v>
      </c>
      <c r="Q85" s="133">
        <f t="shared" ref="Q85:Q106" si="47">K13</f>
        <v>745.11300000000006</v>
      </c>
      <c r="R85" s="133">
        <f t="shared" ref="R85:R106" si="48">L13</f>
        <v>101.07900000000001</v>
      </c>
      <c r="S85" s="133">
        <f t="shared" ref="S85:S104" si="49">N13</f>
        <v>644.03400000000011</v>
      </c>
      <c r="U85">
        <f t="shared" si="46"/>
        <v>2013</v>
      </c>
      <c r="V85" s="133">
        <f t="shared" si="45"/>
        <v>1204.8510000000001</v>
      </c>
      <c r="W85" s="133">
        <f t="shared" si="45"/>
        <v>156.67800000000003</v>
      </c>
      <c r="X85" s="133">
        <f t="shared" si="45"/>
        <v>1048.173</v>
      </c>
    </row>
    <row r="86" spans="16:24" x14ac:dyDescent="0.25">
      <c r="P86" s="80">
        <v>2002</v>
      </c>
      <c r="Q86" s="133">
        <f t="shared" si="47"/>
        <v>737.84200000000067</v>
      </c>
      <c r="R86" s="133">
        <f t="shared" si="48"/>
        <v>80.701000000000008</v>
      </c>
      <c r="S86" s="133">
        <f t="shared" si="49"/>
        <v>657.14100000000064</v>
      </c>
      <c r="U86">
        <f t="shared" si="46"/>
        <v>2014</v>
      </c>
      <c r="V86" s="133">
        <f t="shared" si="45"/>
        <v>1186.5419999999999</v>
      </c>
      <c r="W86" s="133">
        <f t="shared" si="45"/>
        <v>141.261</v>
      </c>
      <c r="X86" s="133">
        <f t="shared" si="45"/>
        <v>1045.2809999999999</v>
      </c>
    </row>
    <row r="87" spans="16:24" x14ac:dyDescent="0.25">
      <c r="P87">
        <v>2003</v>
      </c>
      <c r="Q87" s="133">
        <f t="shared" si="47"/>
        <v>735.41300000000035</v>
      </c>
      <c r="R87" s="133">
        <f t="shared" si="48"/>
        <v>80.212000000000018</v>
      </c>
      <c r="S87" s="133">
        <f t="shared" si="49"/>
        <v>655.20100000000036</v>
      </c>
      <c r="U87">
        <f t="shared" si="46"/>
        <v>2015</v>
      </c>
      <c r="V87" s="133">
        <f t="shared" si="45"/>
        <v>1202.1559999999999</v>
      </c>
      <c r="W87" s="133">
        <f t="shared" si="45"/>
        <v>268.63100000000003</v>
      </c>
      <c r="X87" s="133">
        <f t="shared" si="45"/>
        <v>933.52499999999986</v>
      </c>
    </row>
    <row r="88" spans="16:24" x14ac:dyDescent="0.25">
      <c r="P88">
        <v>2004</v>
      </c>
      <c r="Q88" s="133">
        <f t="shared" si="47"/>
        <v>760.64400000000035</v>
      </c>
      <c r="R88" s="133">
        <f t="shared" si="48"/>
        <v>113.89800000000001</v>
      </c>
      <c r="S88" s="133">
        <f t="shared" si="49"/>
        <v>646.74600000000032</v>
      </c>
      <c r="U88">
        <f t="shared" si="46"/>
        <v>2016</v>
      </c>
      <c r="V88" s="133">
        <f t="shared" si="45"/>
        <v>1191.7980999999997</v>
      </c>
      <c r="W88" s="133">
        <f t="shared" si="45"/>
        <v>253.25599999999997</v>
      </c>
      <c r="X88" s="133">
        <f t="shared" si="45"/>
        <v>938.54209999999978</v>
      </c>
    </row>
    <row r="89" spans="16:24" x14ac:dyDescent="0.25">
      <c r="P89">
        <v>2005</v>
      </c>
      <c r="Q89" s="133">
        <f t="shared" si="47"/>
        <v>812.26200000000028</v>
      </c>
      <c r="R89" s="133">
        <f t="shared" si="48"/>
        <v>126.95800000000001</v>
      </c>
      <c r="S89" s="133">
        <f t="shared" si="49"/>
        <v>685.30400000000031</v>
      </c>
      <c r="U89">
        <f t="shared" si="46"/>
        <v>2017</v>
      </c>
      <c r="V89" s="133">
        <f t="shared" si="45"/>
        <v>1220.8440999999998</v>
      </c>
      <c r="W89" s="133">
        <f t="shared" si="45"/>
        <v>206.74499999999995</v>
      </c>
      <c r="X89" s="133">
        <f t="shared" si="45"/>
        <v>1014.0990999999998</v>
      </c>
    </row>
    <row r="90" spans="16:24" x14ac:dyDescent="0.25">
      <c r="P90">
        <v>2006</v>
      </c>
      <c r="Q90" s="133">
        <f t="shared" si="47"/>
        <v>809.03800000000001</v>
      </c>
      <c r="R90" s="133">
        <f t="shared" si="48"/>
        <v>108.992</v>
      </c>
      <c r="S90" s="133">
        <f t="shared" si="49"/>
        <v>700.04600000000005</v>
      </c>
      <c r="U90">
        <f t="shared" si="46"/>
        <v>2018</v>
      </c>
      <c r="V90" s="133">
        <f t="shared" si="45"/>
        <v>1220.6600999999998</v>
      </c>
      <c r="W90" s="133">
        <f t="shared" si="45"/>
        <v>205.20299999999997</v>
      </c>
      <c r="X90" s="133">
        <f t="shared" si="45"/>
        <v>1015.4570999999999</v>
      </c>
    </row>
    <row r="91" spans="16:24" x14ac:dyDescent="0.25">
      <c r="P91" s="80">
        <v>2007</v>
      </c>
      <c r="Q91" s="133">
        <f t="shared" si="47"/>
        <v>819.15900000000011</v>
      </c>
      <c r="R91" s="133">
        <f t="shared" si="48"/>
        <v>110.52600000000004</v>
      </c>
      <c r="S91" s="133">
        <f t="shared" si="49"/>
        <v>708.63300000000004</v>
      </c>
      <c r="U91">
        <f t="shared" si="46"/>
        <v>2019</v>
      </c>
      <c r="V91" s="133">
        <f t="shared" si="45"/>
        <v>1219.6460999999999</v>
      </c>
      <c r="W91" s="133">
        <f t="shared" si="45"/>
        <v>208.11399999999998</v>
      </c>
      <c r="X91" s="133">
        <f t="shared" si="45"/>
        <v>1011.5320999999999</v>
      </c>
    </row>
    <row r="92" spans="16:24" x14ac:dyDescent="0.25">
      <c r="P92">
        <v>2008</v>
      </c>
      <c r="Q92" s="133">
        <f t="shared" si="47"/>
        <v>904.72799999999995</v>
      </c>
      <c r="R92" s="133">
        <f t="shared" si="48"/>
        <v>107.71000000000001</v>
      </c>
      <c r="S92" s="133">
        <f t="shared" si="49"/>
        <v>797.01799999999992</v>
      </c>
      <c r="U92">
        <f t="shared" si="46"/>
        <v>2020</v>
      </c>
      <c r="V92" s="133">
        <f t="shared" si="45"/>
        <v>1222.0650999999998</v>
      </c>
      <c r="W92" s="133">
        <f t="shared" si="45"/>
        <v>211.52599999999995</v>
      </c>
      <c r="X92" s="133">
        <f t="shared" si="45"/>
        <v>1010.5390999999998</v>
      </c>
    </row>
    <row r="93" spans="16:24" x14ac:dyDescent="0.25">
      <c r="P93">
        <v>2009</v>
      </c>
      <c r="Q93" s="133">
        <f t="shared" si="47"/>
        <v>1009.9380000000001</v>
      </c>
      <c r="R93" s="133">
        <f t="shared" si="48"/>
        <v>124.221</v>
      </c>
      <c r="S93" s="133">
        <f t="shared" si="49"/>
        <v>885.7170000000001</v>
      </c>
      <c r="U93">
        <f t="shared" si="46"/>
        <v>2021</v>
      </c>
      <c r="V93" s="133">
        <f t="shared" si="45"/>
        <v>1240.2920999999997</v>
      </c>
      <c r="W93" s="133">
        <f t="shared" si="45"/>
        <v>214.78699999999995</v>
      </c>
      <c r="X93" s="133">
        <f t="shared" si="45"/>
        <v>1025.5050999999996</v>
      </c>
    </row>
    <row r="94" spans="16:24" x14ac:dyDescent="0.25">
      <c r="P94" s="80">
        <v>2010</v>
      </c>
      <c r="Q94" s="133">
        <f t="shared" si="47"/>
        <v>1125.3490000000004</v>
      </c>
      <c r="R94" s="133">
        <f t="shared" si="48"/>
        <v>160.57400000000001</v>
      </c>
      <c r="S94" s="133">
        <f t="shared" si="49"/>
        <v>964.77500000000032</v>
      </c>
      <c r="U94">
        <f t="shared" si="46"/>
        <v>2022</v>
      </c>
      <c r="V94" s="133">
        <f t="shared" si="45"/>
        <v>1278.6921</v>
      </c>
      <c r="W94" s="133">
        <f t="shared" si="45"/>
        <v>221.38400000000001</v>
      </c>
      <c r="X94" s="133">
        <f t="shared" si="45"/>
        <v>1057.3081</v>
      </c>
    </row>
    <row r="95" spans="16:24" x14ac:dyDescent="0.25">
      <c r="P95" s="80">
        <v>2011</v>
      </c>
      <c r="Q95" s="133">
        <f t="shared" si="47"/>
        <v>1177.712</v>
      </c>
      <c r="R95" s="133">
        <f t="shared" si="48"/>
        <v>158.62100000000001</v>
      </c>
      <c r="S95" s="133">
        <f t="shared" si="49"/>
        <v>1019.0909999999999</v>
      </c>
    </row>
    <row r="96" spans="16:24" x14ac:dyDescent="0.25">
      <c r="P96" s="80">
        <v>2012</v>
      </c>
      <c r="Q96" s="133">
        <f t="shared" si="47"/>
        <v>1184.3520000000001</v>
      </c>
      <c r="R96" s="133">
        <f t="shared" si="48"/>
        <v>159.99600000000001</v>
      </c>
      <c r="S96" s="133">
        <f t="shared" si="49"/>
        <v>1024.356</v>
      </c>
    </row>
    <row r="97" spans="16:19" x14ac:dyDescent="0.25">
      <c r="P97" s="80">
        <v>2013</v>
      </c>
      <c r="Q97" s="133">
        <f t="shared" si="47"/>
        <v>1204.8510000000001</v>
      </c>
      <c r="R97" s="133">
        <f t="shared" si="48"/>
        <v>156.67800000000003</v>
      </c>
      <c r="S97" s="133">
        <f t="shared" si="49"/>
        <v>1048.173</v>
      </c>
    </row>
    <row r="98" spans="16:19" x14ac:dyDescent="0.25">
      <c r="P98" s="80">
        <v>2014</v>
      </c>
      <c r="Q98" s="133">
        <f t="shared" si="47"/>
        <v>1186.5419999999999</v>
      </c>
      <c r="R98" s="133">
        <f t="shared" si="48"/>
        <v>141.261</v>
      </c>
      <c r="S98" s="133">
        <f t="shared" si="49"/>
        <v>1045.2809999999999</v>
      </c>
    </row>
    <row r="99" spans="16:19" x14ac:dyDescent="0.25">
      <c r="P99" s="80">
        <v>2015</v>
      </c>
      <c r="Q99" s="133">
        <f t="shared" si="47"/>
        <v>1202.1559999999999</v>
      </c>
      <c r="R99" s="133">
        <f t="shared" si="48"/>
        <v>268.63100000000003</v>
      </c>
      <c r="S99" s="133">
        <f t="shared" si="49"/>
        <v>933.52499999999986</v>
      </c>
    </row>
    <row r="100" spans="16:19" x14ac:dyDescent="0.25">
      <c r="P100" s="80">
        <v>2016</v>
      </c>
      <c r="Q100" s="133">
        <f t="shared" si="47"/>
        <v>1191.7980999999997</v>
      </c>
      <c r="R100" s="133">
        <f t="shared" si="48"/>
        <v>253.25599999999997</v>
      </c>
      <c r="S100" s="133">
        <f t="shared" si="49"/>
        <v>938.54209999999978</v>
      </c>
    </row>
    <row r="101" spans="16:19" x14ac:dyDescent="0.25">
      <c r="P101" s="80">
        <v>2017</v>
      </c>
      <c r="Q101" s="133">
        <f t="shared" si="47"/>
        <v>1220.8440999999998</v>
      </c>
      <c r="R101" s="133">
        <f t="shared" si="48"/>
        <v>206.74499999999995</v>
      </c>
      <c r="S101" s="133">
        <f t="shared" si="49"/>
        <v>1014.0990999999998</v>
      </c>
    </row>
    <row r="102" spans="16:19" x14ac:dyDescent="0.25">
      <c r="P102" s="80">
        <v>2018</v>
      </c>
      <c r="Q102" s="133">
        <f t="shared" si="47"/>
        <v>1220.6600999999998</v>
      </c>
      <c r="R102" s="133">
        <f t="shared" si="48"/>
        <v>205.20299999999997</v>
      </c>
      <c r="S102" s="133">
        <f t="shared" si="49"/>
        <v>1015.4570999999999</v>
      </c>
    </row>
    <row r="103" spans="16:19" x14ac:dyDescent="0.25">
      <c r="P103" s="80">
        <v>2019</v>
      </c>
      <c r="Q103" s="133">
        <f t="shared" si="47"/>
        <v>1219.6460999999999</v>
      </c>
      <c r="R103" s="133">
        <f t="shared" si="48"/>
        <v>208.11399999999998</v>
      </c>
      <c r="S103" s="133">
        <f t="shared" si="49"/>
        <v>1011.5320999999999</v>
      </c>
    </row>
    <row r="104" spans="16:19" x14ac:dyDescent="0.25">
      <c r="P104" s="80">
        <v>2020</v>
      </c>
      <c r="Q104" s="133">
        <f t="shared" si="47"/>
        <v>1222.0650999999998</v>
      </c>
      <c r="R104" s="133">
        <f t="shared" si="48"/>
        <v>211.52599999999995</v>
      </c>
      <c r="S104" s="133">
        <f t="shared" si="49"/>
        <v>1010.5390999999998</v>
      </c>
    </row>
    <row r="105" spans="16:19" x14ac:dyDescent="0.25">
      <c r="P105" s="80">
        <v>2021</v>
      </c>
      <c r="Q105" s="133">
        <f t="shared" si="47"/>
        <v>1240.2920999999997</v>
      </c>
      <c r="R105" s="133">
        <f t="shared" si="48"/>
        <v>214.78699999999995</v>
      </c>
      <c r="S105" s="133">
        <f t="shared" ref="S105:S106" si="50">N33</f>
        <v>1025.5050999999996</v>
      </c>
    </row>
    <row r="106" spans="16:19" x14ac:dyDescent="0.25">
      <c r="P106" s="80">
        <v>2022</v>
      </c>
      <c r="Q106" s="133">
        <f t="shared" si="47"/>
        <v>1278.6921</v>
      </c>
      <c r="R106" s="133">
        <f t="shared" si="48"/>
        <v>221.38400000000001</v>
      </c>
      <c r="S106" s="133">
        <f t="shared" si="50"/>
        <v>1057.3081</v>
      </c>
    </row>
  </sheetData>
  <mergeCells count="83">
    <mergeCell ref="L32:M32"/>
    <mergeCell ref="L33:M33"/>
    <mergeCell ref="L34:M34"/>
    <mergeCell ref="C4:F4"/>
    <mergeCell ref="L26:M26"/>
    <mergeCell ref="L27:M27"/>
    <mergeCell ref="L28:M28"/>
    <mergeCell ref="L29:M29"/>
    <mergeCell ref="L30:M30"/>
    <mergeCell ref="H32:I32"/>
    <mergeCell ref="H33:I33"/>
    <mergeCell ref="H34:I34"/>
    <mergeCell ref="L13:M13"/>
    <mergeCell ref="L14:M14"/>
    <mergeCell ref="L15:M15"/>
    <mergeCell ref="L16:M16"/>
    <mergeCell ref="L17:M17"/>
    <mergeCell ref="L18:M18"/>
    <mergeCell ref="L19:M19"/>
    <mergeCell ref="L20:M20"/>
    <mergeCell ref="H28:I28"/>
    <mergeCell ref="H18:I18"/>
    <mergeCell ref="H19:I19"/>
    <mergeCell ref="H20:I20"/>
    <mergeCell ref="H29:I29"/>
    <mergeCell ref="H30:I30"/>
    <mergeCell ref="H31:I31"/>
    <mergeCell ref="L21:M21"/>
    <mergeCell ref="L22:M22"/>
    <mergeCell ref="L23:M23"/>
    <mergeCell ref="L24:M24"/>
    <mergeCell ref="L25:M25"/>
    <mergeCell ref="L31:M31"/>
    <mergeCell ref="H23:I23"/>
    <mergeCell ref="H24:I24"/>
    <mergeCell ref="H25:I25"/>
    <mergeCell ref="H26:I26"/>
    <mergeCell ref="H27:I27"/>
    <mergeCell ref="H21:I21"/>
    <mergeCell ref="H22:I22"/>
    <mergeCell ref="H13:I13"/>
    <mergeCell ref="H14:I14"/>
    <mergeCell ref="H15:I15"/>
    <mergeCell ref="H16:I16"/>
    <mergeCell ref="H17:I17"/>
    <mergeCell ref="D38:E38"/>
    <mergeCell ref="H38:I38"/>
    <mergeCell ref="L38:M38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6:E36"/>
    <mergeCell ref="H36:I36"/>
    <mergeCell ref="L36:M36"/>
    <mergeCell ref="D37:E37"/>
    <mergeCell ref="H37:I37"/>
    <mergeCell ref="L37:M37"/>
    <mergeCell ref="B4:B5"/>
    <mergeCell ref="D12:E12"/>
    <mergeCell ref="H12:I12"/>
    <mergeCell ref="L12:M12"/>
    <mergeCell ref="D35:E35"/>
    <mergeCell ref="H35:I35"/>
    <mergeCell ref="L35:M3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</mergeCells>
  <printOptions horizontalCentered="1" verticalCentered="1"/>
  <pageMargins left="0.51181102362204722" right="0.19685039370078741" top="0.39370078740157483" bottom="0.31496062992125984" header="0" footer="0"/>
  <pageSetup paperSize="9" scale="4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30</vt:i4>
      </vt:variant>
    </vt:vector>
  </HeadingPairs>
  <TitlesOfParts>
    <vt:vector size="60" baseType="lpstr">
      <vt:lpstr>1.1</vt:lpstr>
      <vt:lpstr>1.2 y 1.3</vt:lpstr>
      <vt:lpstr>1.4</vt:lpstr>
      <vt:lpstr>2.1 P.I.</vt:lpstr>
      <vt:lpstr>2.2</vt:lpstr>
      <vt:lpstr>2.3 y 2.4</vt:lpstr>
      <vt:lpstr>2.5</vt:lpstr>
      <vt:lpstr>3.1 P.E.</vt:lpstr>
      <vt:lpstr>3.2</vt:lpstr>
      <vt:lpstr>3.3 y 3.4</vt:lpstr>
      <vt:lpstr>4.1</vt:lpstr>
      <vt:lpstr>5.1</vt:lpstr>
      <vt:lpstr>5.2</vt:lpstr>
      <vt:lpstr>5.3 y 5.4</vt:lpstr>
      <vt:lpstr>5.5</vt:lpstr>
      <vt:lpstr>6.1</vt:lpstr>
      <vt:lpstr>6.2</vt:lpstr>
      <vt:lpstr>7.1</vt:lpstr>
      <vt:lpstr>7.2 y 7.3</vt:lpstr>
      <vt:lpstr>8.1</vt:lpstr>
      <vt:lpstr>8.2 y 8.3</vt:lpstr>
      <vt:lpstr>9.1</vt:lpstr>
      <vt:lpstr>9.2 y 9.3</vt:lpstr>
      <vt:lpstr>10.1</vt:lpstr>
      <vt:lpstr>10.2 y 10.3</vt:lpstr>
      <vt:lpstr>11</vt:lpstr>
      <vt:lpstr>12</vt:lpstr>
      <vt:lpstr>13</vt:lpstr>
      <vt:lpstr>14</vt:lpstr>
      <vt:lpstr>15</vt:lpstr>
      <vt:lpstr>'1.1'!Área_de_impresión</vt:lpstr>
      <vt:lpstr>'1.2 y 1.3'!Área_de_impresión</vt:lpstr>
      <vt:lpstr>'1.4'!Área_de_impresión</vt:lpstr>
      <vt:lpstr>'10.1'!Área_de_impresión</vt:lpstr>
      <vt:lpstr>'10.2 y 10.3'!Área_de_impresión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'2.1 P.I.'!Área_de_impresión</vt:lpstr>
      <vt:lpstr>'2.2'!Área_de_impresión</vt:lpstr>
      <vt:lpstr>'2.3 y 2.4'!Área_de_impresión</vt:lpstr>
      <vt:lpstr>'2.5'!Área_de_impresión</vt:lpstr>
      <vt:lpstr>'3.1 P.E.'!Área_de_impresión</vt:lpstr>
      <vt:lpstr>'3.2'!Área_de_impresión</vt:lpstr>
      <vt:lpstr>'3.3 y 3.4'!Área_de_impresión</vt:lpstr>
      <vt:lpstr>'4.1'!Área_de_impresión</vt:lpstr>
      <vt:lpstr>'5.1'!Área_de_impresión</vt:lpstr>
      <vt:lpstr>'5.2'!Área_de_impresión</vt:lpstr>
      <vt:lpstr>'5.3 y 5.4'!Área_de_impresión</vt:lpstr>
      <vt:lpstr>'5.5'!Área_de_impresión</vt:lpstr>
      <vt:lpstr>'6.1'!Área_de_impresión</vt:lpstr>
      <vt:lpstr>'6.2'!Área_de_impresión</vt:lpstr>
      <vt:lpstr>'7.1'!Área_de_impresión</vt:lpstr>
      <vt:lpstr>'7.2 y 7.3'!Área_de_impresión</vt:lpstr>
      <vt:lpstr>'8.1'!Área_de_impresión</vt:lpstr>
      <vt:lpstr>'8.2 y 8.3'!Área_de_impresión</vt:lpstr>
      <vt:lpstr>'9.1'!Área_de_impresión</vt:lpstr>
      <vt:lpstr>'9.2 y 9.3'!Área_de_impresión</vt:lpstr>
    </vt:vector>
  </TitlesOfParts>
  <Company>MEM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JIZQUERDO</dc:creator>
  <cp:lastModifiedBy>Neyra Vilca, Anival Wenceslao</cp:lastModifiedBy>
  <cp:lastPrinted>2023-06-14T19:36:23Z</cp:lastPrinted>
  <dcterms:created xsi:type="dcterms:W3CDTF">2002-05-10T21:22:09Z</dcterms:created>
  <dcterms:modified xsi:type="dcterms:W3CDTF">2023-08-16T21:55:46Z</dcterms:modified>
</cp:coreProperties>
</file>