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F:\13. Levantamiento de observaciones\S0112\Tomos\TOMO A MINEM\Version C1\Evaluacion MINEM\Version entrega MINEM\01 TOMO A MINEM\4. Informe Complementario III\Anexos I.C. III S0112 MINEM\Anexo 6.14\"/>
    </mc:Choice>
  </mc:AlternateContent>
  <xr:revisionPtr revIDLastSave="0" documentId="13_ncr:1_{F059A503-10EF-4D91-BDE8-4457B500924A}" xr6:coauthVersionLast="47" xr6:coauthVersionMax="47" xr10:uidLastSave="{00000000-0000-0000-0000-000000000000}"/>
  <bookViews>
    <workbookView xWindow="-120" yWindow="-120" windowWidth="29040" windowHeight="15840" tabRatio="755" xr2:uid="{00000000-000D-0000-FFFF-FFFF00000000}"/>
  </bookViews>
  <sheets>
    <sheet name="Inversión (Total)" sheetId="1" r:id="rId1"/>
    <sheet name="Monitoreo y Medidas Ambientales" sheetId="15" r:id="rId2"/>
    <sheet name="Monitoreo Post Remediación" sheetId="16" r:id="rId3"/>
    <sheet name="Cronograma General" sheetId="17" r:id="rId4"/>
    <sheet name="Apoyo" sheetId="13" r:id="rId5"/>
    <sheet name="Cronograma (Fases)" sheetId="6" r:id="rId6"/>
    <sheet name="Cronograma (Post Remediación)" sheetId="18" r:id="rId7"/>
  </sheets>
  <definedNames>
    <definedName name="_xlnm.Print_Area" localSheetId="4">Apoyo!$A$1:$B$22</definedName>
    <definedName name="_xlnm.Print_Area" localSheetId="3">'Cronograma General'!$A$1:$CE$63</definedName>
    <definedName name="_xlnm.Print_Area" localSheetId="0">'Inversión (Total)'!$B$1:$AJ$160</definedName>
    <definedName name="_xlnm.Print_Area" localSheetId="2">'Monitoreo Post Remediación'!$B$1:$H$45</definedName>
    <definedName name="_xlnm.Print_Area" localSheetId="1">'Monitoreo y Medidas Ambientales'!$E$1:$K$118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9" i="1" l="1"/>
  <c r="E66" i="1"/>
  <c r="E138" i="1"/>
  <c r="E137" i="1"/>
  <c r="E136" i="1"/>
  <c r="E135" i="1"/>
  <c r="H108" i="1"/>
  <c r="Y51" i="1"/>
  <c r="Y49" i="1"/>
  <c r="Y48" i="1"/>
  <c r="Y42" i="1"/>
  <c r="Y39" i="1"/>
  <c r="Y36" i="1"/>
  <c r="AB36" i="1" s="1"/>
  <c r="AA36" i="1" s="1"/>
  <c r="H36" i="1" s="1"/>
  <c r="Y33" i="1"/>
  <c r="Y27" i="1"/>
  <c r="Y15" i="1"/>
  <c r="Y40" i="1"/>
  <c r="L43" i="1"/>
  <c r="Y41" i="1"/>
  <c r="U37" i="1"/>
  <c r="Z36" i="1"/>
  <c r="AA21" i="1"/>
  <c r="Z21" i="1"/>
  <c r="AB21" i="1" s="1"/>
  <c r="Z15" i="1"/>
  <c r="T76" i="1" l="1"/>
  <c r="Y55" i="1"/>
  <c r="T49" i="1"/>
  <c r="T50" i="1" s="1"/>
  <c r="G36" i="1" l="1"/>
  <c r="J115" i="15"/>
  <c r="K18" i="15"/>
  <c r="H113" i="15"/>
  <c r="I111" i="15"/>
  <c r="H43" i="16" l="1"/>
  <c r="K45" i="16"/>
  <c r="L43" i="16"/>
  <c r="J42" i="16"/>
  <c r="H39" i="16"/>
  <c r="H40" i="16"/>
  <c r="H41" i="16"/>
  <c r="H38" i="16"/>
  <c r="H35" i="16"/>
  <c r="H34" i="16"/>
  <c r="H26" i="16"/>
  <c r="H25" i="16"/>
  <c r="H12" i="16"/>
  <c r="H13" i="16"/>
  <c r="H14" i="16"/>
  <c r="H15" i="16"/>
  <c r="H16" i="16"/>
  <c r="H17" i="16"/>
  <c r="H18" i="16"/>
  <c r="H19" i="16"/>
  <c r="H20" i="16"/>
  <c r="H21" i="16"/>
  <c r="H22" i="16"/>
  <c r="BR35" i="6"/>
  <c r="BO35" i="6"/>
  <c r="BT37" i="6"/>
  <c r="BQ37" i="6"/>
  <c r="BN37" i="6"/>
  <c r="BM35" i="6"/>
  <c r="BR34" i="6"/>
  <c r="BO34" i="6"/>
  <c r="BM34" i="6"/>
  <c r="BR33" i="6"/>
  <c r="BO33" i="6"/>
  <c r="BM33" i="6"/>
  <c r="BR32" i="6"/>
  <c r="BO32" i="6"/>
  <c r="BM32" i="6"/>
  <c r="BR31" i="6"/>
  <c r="BO31" i="6"/>
  <c r="BM31" i="6"/>
  <c r="BR30" i="6"/>
  <c r="BR29" i="6"/>
  <c r="BO30" i="6"/>
  <c r="BO29" i="6"/>
  <c r="BM30" i="6"/>
  <c r="BM29" i="6"/>
  <c r="BR27" i="6"/>
  <c r="BR26" i="6"/>
  <c r="BR25" i="6"/>
  <c r="BR24" i="6"/>
  <c r="BR23" i="6"/>
  <c r="BR22" i="6"/>
  <c r="BO27" i="6"/>
  <c r="BO26" i="6"/>
  <c r="BO25" i="6"/>
  <c r="BO24" i="6"/>
  <c r="BO23" i="6"/>
  <c r="BO22" i="6"/>
  <c r="BM22" i="6"/>
  <c r="BR19" i="6"/>
  <c r="BR18" i="6"/>
  <c r="BR17" i="6"/>
  <c r="BO19" i="6"/>
  <c r="BO18" i="6"/>
  <c r="BO17" i="6"/>
  <c r="BM19" i="6"/>
  <c r="BM18" i="6"/>
  <c r="BM17" i="6"/>
  <c r="BR13" i="6"/>
  <c r="BO13" i="6"/>
  <c r="BR12" i="6"/>
  <c r="BO12" i="6"/>
  <c r="BR11" i="6"/>
  <c r="BO11" i="6"/>
  <c r="BN11" i="6"/>
  <c r="BR8" i="6"/>
  <c r="BO8" i="6"/>
  <c r="BN13" i="6" l="1"/>
  <c r="BN12" i="6"/>
  <c r="AW40" i="6"/>
  <c r="AX40" i="6"/>
  <c r="AY40" i="6"/>
  <c r="AZ40" i="6"/>
  <c r="BA40" i="6"/>
  <c r="BB40" i="6"/>
  <c r="BC40" i="6"/>
  <c r="BD40" i="6"/>
  <c r="BE40" i="6"/>
  <c r="BF40" i="6"/>
  <c r="BG40" i="6"/>
  <c r="BH40" i="6"/>
  <c r="BI40" i="6"/>
  <c r="BJ40" i="6"/>
  <c r="BK40" i="6"/>
  <c r="AP23" i="6"/>
  <c r="AO23" i="6"/>
  <c r="AN23" i="6"/>
  <c r="AM23" i="6"/>
  <c r="AL23" i="6"/>
  <c r="AK23" i="6"/>
  <c r="AJ23" i="6"/>
  <c r="AI23" i="6"/>
  <c r="AH23" i="6"/>
  <c r="AG23" i="6"/>
  <c r="AF23" i="6"/>
  <c r="AE23" i="6"/>
  <c r="AD23" i="6"/>
  <c r="AC23" i="6"/>
  <c r="AB23" i="6"/>
  <c r="AA23" i="6"/>
  <c r="Z23" i="6"/>
  <c r="Y23" i="6"/>
  <c r="X23" i="6"/>
  <c r="W23" i="6"/>
  <c r="V23" i="6"/>
  <c r="U23" i="6"/>
  <c r="AO25" i="17"/>
  <c r="AN25" i="17"/>
  <c r="AM25" i="17"/>
  <c r="AL25" i="17"/>
  <c r="AK25" i="17"/>
  <c r="AJ25" i="17"/>
  <c r="AI25" i="17"/>
  <c r="AH25" i="17"/>
  <c r="AG25" i="17"/>
  <c r="AF25" i="17"/>
  <c r="AE25" i="17"/>
  <c r="AD25" i="17"/>
  <c r="AC25" i="17"/>
  <c r="AB25" i="17"/>
  <c r="AA25" i="17"/>
  <c r="Z25" i="17"/>
  <c r="Y25" i="17"/>
  <c r="X25" i="17"/>
  <c r="W25" i="17"/>
  <c r="V25" i="17"/>
  <c r="U25" i="17"/>
  <c r="T25" i="17"/>
  <c r="K103" i="15"/>
  <c r="K74" i="15"/>
  <c r="K71" i="15"/>
  <c r="CJ33" i="17"/>
  <c r="CJ31" i="17"/>
  <c r="CI30" i="17"/>
  <c r="CJ30" i="17" s="1"/>
  <c r="CH26" i="17"/>
  <c r="CJ26" i="17" s="1"/>
  <c r="CK26" i="17" s="1"/>
  <c r="CG22" i="17"/>
  <c r="CH24" i="17" s="1"/>
  <c r="CJ24" i="17" s="1"/>
  <c r="CK24" i="17" s="1"/>
  <c r="K92" i="15"/>
  <c r="K91" i="15"/>
  <c r="K90" i="15"/>
  <c r="K89" i="15"/>
  <c r="K88" i="15"/>
  <c r="K87" i="15"/>
  <c r="K66" i="15"/>
  <c r="K65" i="15"/>
  <c r="K64" i="15"/>
  <c r="K63" i="15"/>
  <c r="K61" i="15"/>
  <c r="K60" i="15"/>
  <c r="K59" i="15"/>
  <c r="K58" i="15"/>
  <c r="K57" i="15"/>
  <c r="K56" i="15"/>
  <c r="K55" i="15"/>
  <c r="K54" i="15"/>
  <c r="K52" i="15"/>
  <c r="K51" i="15"/>
  <c r="K50" i="15"/>
  <c r="K49" i="15"/>
  <c r="K47" i="15"/>
  <c r="K46" i="15"/>
  <c r="K45" i="15"/>
  <c r="K44" i="15"/>
  <c r="K43" i="15"/>
  <c r="K42" i="15"/>
  <c r="K41" i="15"/>
  <c r="K40" i="15"/>
  <c r="K39" i="15"/>
  <c r="K38" i="15"/>
  <c r="K37" i="15"/>
  <c r="K36" i="15"/>
  <c r="K34" i="15"/>
  <c r="K33" i="15"/>
  <c r="K32" i="15"/>
  <c r="K31" i="15"/>
  <c r="K30" i="15"/>
  <c r="K29" i="15"/>
  <c r="K25" i="15"/>
  <c r="K24" i="15"/>
  <c r="K23" i="15"/>
  <c r="K8" i="15"/>
  <c r="K7" i="15"/>
  <c r="K6" i="15"/>
  <c r="K10" i="15"/>
  <c r="K17" i="15"/>
  <c r="K16" i="15"/>
  <c r="K15" i="15"/>
  <c r="K14" i="15"/>
  <c r="K13" i="15"/>
  <c r="K12" i="15"/>
  <c r="CJ32" i="17" l="1"/>
  <c r="H158" i="1" l="1"/>
  <c r="B139" i="1"/>
  <c r="B138" i="1"/>
  <c r="B137" i="1"/>
  <c r="B136" i="1"/>
  <c r="BR39" i="6"/>
  <c r="BT28" i="6"/>
  <c r="BT29" i="6"/>
  <c r="BT22" i="6"/>
  <c r="BR16" i="6"/>
  <c r="BT16" i="6" s="1"/>
  <c r="BR14" i="6"/>
  <c r="BO39" i="6"/>
  <c r="BQ29" i="6"/>
  <c r="BQ22" i="6"/>
  <c r="BO16" i="6"/>
  <c r="BQ16" i="6" s="1"/>
  <c r="BO14" i="6"/>
  <c r="BN35" i="6"/>
  <c r="BN34" i="6"/>
  <c r="BN33" i="6"/>
  <c r="BN32" i="6"/>
  <c r="BN31" i="6"/>
  <c r="BN30" i="6"/>
  <c r="BN29" i="6"/>
  <c r="BN27" i="6"/>
  <c r="BN26" i="6"/>
  <c r="BN25" i="6"/>
  <c r="BN24" i="6"/>
  <c r="BN23" i="6"/>
  <c r="BN22" i="6"/>
  <c r="BN19" i="6"/>
  <c r="BN18" i="6"/>
  <c r="BN17" i="6"/>
  <c r="BN16" i="6"/>
  <c r="BN14" i="6"/>
  <c r="BN8" i="6"/>
  <c r="BM39" i="6" l="1"/>
  <c r="BN39" i="6" s="1"/>
  <c r="Y101" i="1"/>
  <c r="Y100" i="1"/>
  <c r="AD83" i="1"/>
  <c r="G83" i="1" s="1"/>
  <c r="G58" i="1"/>
  <c r="Y56" i="1"/>
  <c r="M52" i="1"/>
  <c r="L52" i="1"/>
  <c r="P52" i="1" s="1"/>
  <c r="O52" i="1" s="1"/>
  <c r="S51" i="1"/>
  <c r="M51" i="1"/>
  <c r="L51" i="1"/>
  <c r="S43" i="1"/>
  <c r="AV40" i="6"/>
  <c r="AU40" i="6"/>
  <c r="AT40" i="6"/>
  <c r="AS40" i="6"/>
  <c r="AR40" i="6"/>
  <c r="AQ40" i="6"/>
  <c r="AP40" i="6"/>
  <c r="AO40" i="6"/>
  <c r="T40" i="6"/>
  <c r="S40" i="6"/>
  <c r="R40" i="6"/>
  <c r="Q40" i="6"/>
  <c r="P40" i="6"/>
  <c r="O40" i="6"/>
  <c r="N40" i="6"/>
  <c r="M40" i="6"/>
  <c r="L40" i="6"/>
  <c r="K40" i="6"/>
  <c r="J40" i="6"/>
  <c r="I40" i="6"/>
  <c r="H40" i="6"/>
  <c r="G40" i="6"/>
  <c r="F40" i="6"/>
  <c r="AN40" i="6"/>
  <c r="AM40" i="6"/>
  <c r="AL40" i="6"/>
  <c r="AK40" i="6"/>
  <c r="AJ40" i="6"/>
  <c r="AI40" i="6"/>
  <c r="AH40" i="6"/>
  <c r="AG40" i="6"/>
  <c r="AF40" i="6"/>
  <c r="AE40" i="6"/>
  <c r="AD40" i="6"/>
  <c r="AC40" i="6"/>
  <c r="AB40" i="6"/>
  <c r="AA40" i="6"/>
  <c r="Z40" i="6"/>
  <c r="Y40" i="6"/>
  <c r="X40" i="6"/>
  <c r="W40" i="6"/>
  <c r="V40" i="6"/>
  <c r="U40" i="6"/>
  <c r="B8" i="6"/>
  <c r="B9" i="6" s="1"/>
  <c r="B11" i="6" s="1"/>
  <c r="B12" i="6" s="1"/>
  <c r="B13" i="6" s="1"/>
  <c r="B14" i="6" s="1"/>
  <c r="B16" i="6" s="1"/>
  <c r="B17" i="6" s="1"/>
  <c r="B18" i="6" s="1"/>
  <c r="B19" i="6" s="1"/>
  <c r="B20" i="6" s="1"/>
  <c r="B22" i="6" s="1"/>
  <c r="B23" i="6" s="1"/>
  <c r="B24" i="6" s="1"/>
  <c r="B25" i="6" s="1"/>
  <c r="B26" i="6" s="1"/>
  <c r="B27" i="6" s="1"/>
  <c r="B29" i="6" s="1"/>
  <c r="B30" i="6" s="1"/>
  <c r="B31" i="6" s="1"/>
  <c r="B32" i="6" s="1"/>
  <c r="B33" i="6" s="1"/>
  <c r="B34" i="6" s="1"/>
  <c r="B35" i="6" s="1"/>
  <c r="B36" i="6" s="1"/>
  <c r="B37" i="6" s="1"/>
  <c r="B39" i="6" s="1"/>
  <c r="P51" i="1" l="1"/>
  <c r="O51" i="1" s="1"/>
  <c r="V51" i="1"/>
  <c r="U51" i="1" s="1"/>
  <c r="H36" i="16" l="1"/>
  <c r="H27" i="16"/>
  <c r="H116" i="1" l="1"/>
  <c r="J116" i="1" s="1"/>
  <c r="G39" i="1" l="1"/>
  <c r="G48" i="1" s="1"/>
  <c r="G49" i="1" s="1"/>
  <c r="S66" i="1" l="1"/>
  <c r="Y58" i="1"/>
  <c r="S50" i="1" l="1"/>
  <c r="S49" i="1"/>
  <c r="M50" i="1"/>
  <c r="L50" i="1"/>
  <c r="P50" i="1" s="1"/>
  <c r="O50" i="1" s="1"/>
  <c r="M37" i="1"/>
  <c r="L37" i="1"/>
  <c r="P37" i="1" s="1"/>
  <c r="O37" i="1" s="1"/>
  <c r="C23" i="13"/>
  <c r="D23" i="13" s="1"/>
  <c r="V49" i="1" l="1"/>
  <c r="U49" i="1" s="1"/>
  <c r="V50" i="1"/>
  <c r="U50" i="1" s="1"/>
  <c r="AB41" i="1" l="1"/>
  <c r="S61" i="1" l="1"/>
  <c r="S60" i="1"/>
  <c r="S59" i="1"/>
  <c r="K104" i="15" l="1"/>
  <c r="I108" i="1"/>
  <c r="K75" i="15" l="1"/>
  <c r="K73" i="15"/>
  <c r="K72" i="15"/>
  <c r="K69" i="15"/>
  <c r="K76" i="15" s="1"/>
  <c r="K68" i="15"/>
  <c r="V61" i="1" l="1"/>
  <c r="U61" i="1" s="1"/>
  <c r="L61" i="1"/>
  <c r="P61" i="1" s="1"/>
  <c r="O61" i="1" s="1"/>
  <c r="V60" i="1"/>
  <c r="U60" i="1" s="1"/>
  <c r="L60" i="1"/>
  <c r="P60" i="1" s="1"/>
  <c r="O60" i="1" s="1"/>
  <c r="V59" i="1"/>
  <c r="U59" i="1" s="1"/>
  <c r="P59" i="1"/>
  <c r="O59" i="1" s="1"/>
  <c r="BL32" i="6"/>
  <c r="BL31" i="6"/>
  <c r="BL18" i="6"/>
  <c r="BL23" i="6"/>
  <c r="BL30" i="6"/>
  <c r="T42" i="1" l="1"/>
  <c r="T43" i="1" s="1"/>
  <c r="V43" i="1" s="1"/>
  <c r="T44" i="1" l="1"/>
  <c r="S102" i="1"/>
  <c r="S101" i="1"/>
  <c r="L103" i="1"/>
  <c r="P103" i="1" s="1"/>
  <c r="O103" i="1" s="1"/>
  <c r="L102" i="1"/>
  <c r="P102" i="1" s="1"/>
  <c r="O102" i="1" s="1"/>
  <c r="L101" i="1"/>
  <c r="P101" i="1" s="1"/>
  <c r="O101" i="1" s="1"/>
  <c r="L100" i="1"/>
  <c r="BT11" i="6"/>
  <c r="BQ39" i="6"/>
  <c r="BQ35" i="6"/>
  <c r="V102" i="1" l="1"/>
  <c r="U102" i="1" s="1"/>
  <c r="V101" i="1"/>
  <c r="U101" i="1" s="1"/>
  <c r="S94" i="1" l="1"/>
  <c r="S58" i="1" l="1"/>
  <c r="S57" i="1"/>
  <c r="AG58" i="1"/>
  <c r="Z58" i="1"/>
  <c r="L57" i="1"/>
  <c r="S56" i="1"/>
  <c r="S55" i="1"/>
  <c r="M56" i="1"/>
  <c r="L56" i="1"/>
  <c r="M55" i="1"/>
  <c r="L55" i="1"/>
  <c r="AG53" i="1"/>
  <c r="AF53" i="1" s="1"/>
  <c r="S54" i="1"/>
  <c r="S53" i="1"/>
  <c r="AD54" i="1"/>
  <c r="AG54" i="1" s="1"/>
  <c r="AF54" i="1" s="1"/>
  <c r="Z53" i="1"/>
  <c r="AB53" i="1" s="1"/>
  <c r="AA53" i="1" s="1"/>
  <c r="S48" i="1"/>
  <c r="L48" i="1"/>
  <c r="S46" i="1"/>
  <c r="T45" i="1"/>
  <c r="T46" i="1" s="1"/>
  <c r="S45" i="1"/>
  <c r="S44" i="1"/>
  <c r="N42" i="1"/>
  <c r="G44" i="1" s="1"/>
  <c r="G45" i="1" s="1"/>
  <c r="G46" i="1" s="1"/>
  <c r="S42" i="1"/>
  <c r="L42" i="1"/>
  <c r="G42" i="1"/>
  <c r="U43" i="1" s="1"/>
  <c r="S41" i="1"/>
  <c r="S40" i="1"/>
  <c r="G40" i="1"/>
  <c r="L40" i="1" s="1"/>
  <c r="S39" i="1"/>
  <c r="L39" i="1"/>
  <c r="S36" i="1"/>
  <c r="M36" i="1"/>
  <c r="L36" i="1"/>
  <c r="S35" i="1"/>
  <c r="L35" i="1"/>
  <c r="S34" i="1"/>
  <c r="S33" i="1"/>
  <c r="M33" i="1"/>
  <c r="L33" i="1"/>
  <c r="P33" i="1" s="1"/>
  <c r="O33" i="1" s="1"/>
  <c r="S32" i="1"/>
  <c r="M32" i="1"/>
  <c r="L32" i="1"/>
  <c r="S28" i="1"/>
  <c r="S27" i="1"/>
  <c r="S26" i="1"/>
  <c r="M28" i="1"/>
  <c r="L28" i="1"/>
  <c r="M27" i="1"/>
  <c r="L27" i="1"/>
  <c r="AD26" i="1"/>
  <c r="AG26" i="1" s="1"/>
  <c r="AF26" i="1" s="1"/>
  <c r="Y26" i="1"/>
  <c r="AB26" i="1" s="1"/>
  <c r="AA26" i="1" s="1"/>
  <c r="M26" i="1"/>
  <c r="L26" i="1"/>
  <c r="Y25" i="1"/>
  <c r="AB25" i="1" s="1"/>
  <c r="AA25" i="1" s="1"/>
  <c r="S20" i="1"/>
  <c r="S19" i="1"/>
  <c r="Y23" i="1"/>
  <c r="AB23" i="1" s="1"/>
  <c r="AA23" i="1" s="1"/>
  <c r="Y22" i="1"/>
  <c r="Y20" i="1"/>
  <c r="AB20" i="1" s="1"/>
  <c r="AA20" i="1" s="1"/>
  <c r="Y19" i="1"/>
  <c r="AB19" i="1" s="1"/>
  <c r="AA19" i="1" s="1"/>
  <c r="L19" i="1"/>
  <c r="S18" i="1"/>
  <c r="L18" i="1"/>
  <c r="P18" i="1" s="1"/>
  <c r="O18" i="1" s="1"/>
  <c r="S15" i="1"/>
  <c r="S14" i="1"/>
  <c r="M17" i="1"/>
  <c r="L17" i="1"/>
  <c r="M16" i="1"/>
  <c r="L16" i="1"/>
  <c r="P16" i="1" s="1"/>
  <c r="O16" i="1" s="1"/>
  <c r="M15" i="1"/>
  <c r="L15" i="1"/>
  <c r="M14" i="1"/>
  <c r="L14" i="1"/>
  <c r="P14" i="1" s="1"/>
  <c r="O14" i="1" s="1"/>
  <c r="S11" i="1"/>
  <c r="V11" i="1" s="1"/>
  <c r="U11" i="1" s="1"/>
  <c r="L11" i="1"/>
  <c r="P40" i="1" l="1"/>
  <c r="O40" i="1" s="1"/>
  <c r="AA41" i="1"/>
  <c r="BN40" i="6"/>
  <c r="AD86" i="1" s="1"/>
  <c r="AF58" i="1"/>
  <c r="P56" i="1"/>
  <c r="O56" i="1" s="1"/>
  <c r="P11" i="1"/>
  <c r="O11" i="1" s="1"/>
  <c r="P57" i="1"/>
  <c r="O57" i="1" s="1"/>
  <c r="V58" i="1"/>
  <c r="U58" i="1" s="1"/>
  <c r="V57" i="1"/>
  <c r="AB58" i="1"/>
  <c r="V54" i="1"/>
  <c r="U54" i="1" s="1"/>
  <c r="V53" i="1"/>
  <c r="U53" i="1" s="1"/>
  <c r="V48" i="1"/>
  <c r="U48" i="1" s="1"/>
  <c r="P48" i="1"/>
  <c r="O48" i="1" s="1"/>
  <c r="V46" i="1"/>
  <c r="U46" i="1" s="1"/>
  <c r="H46" i="1" s="1"/>
  <c r="V45" i="1"/>
  <c r="U45" i="1" s="1"/>
  <c r="V44" i="1"/>
  <c r="U44" i="1" s="1"/>
  <c r="H44" i="1" s="1"/>
  <c r="P39" i="1"/>
  <c r="O39" i="1" s="1"/>
  <c r="P36" i="1"/>
  <c r="O36" i="1" s="1"/>
  <c r="V36" i="1"/>
  <c r="U36" i="1" s="1"/>
  <c r="V35" i="1"/>
  <c r="U35" i="1" s="1"/>
  <c r="P35" i="1"/>
  <c r="O35" i="1" s="1"/>
  <c r="V34" i="1"/>
  <c r="U34" i="1" s="1"/>
  <c r="V33" i="1"/>
  <c r="U33" i="1" s="1"/>
  <c r="P32" i="1"/>
  <c r="O32" i="1" s="1"/>
  <c r="V32" i="1"/>
  <c r="U32" i="1" s="1"/>
  <c r="V27" i="1"/>
  <c r="U27" i="1" s="1"/>
  <c r="Y24" i="1"/>
  <c r="AB24" i="1" s="1"/>
  <c r="AA24" i="1" s="1"/>
  <c r="AB29" i="1"/>
  <c r="AA29" i="1" s="1"/>
  <c r="AD27" i="1"/>
  <c r="AD28" i="1" s="1"/>
  <c r="AG28" i="1" s="1"/>
  <c r="AF28" i="1" s="1"/>
  <c r="V28" i="1"/>
  <c r="U28" i="1" s="1"/>
  <c r="P27" i="1"/>
  <c r="O27" i="1" s="1"/>
  <c r="P26" i="1"/>
  <c r="O26" i="1" s="1"/>
  <c r="V26" i="1"/>
  <c r="U26" i="1" s="1"/>
  <c r="P28" i="1"/>
  <c r="O28" i="1" s="1"/>
  <c r="V19" i="1"/>
  <c r="U19" i="1" s="1"/>
  <c r="P19" i="1"/>
  <c r="O19" i="1" s="1"/>
  <c r="V20" i="1"/>
  <c r="U20" i="1" s="1"/>
  <c r="AB22" i="1"/>
  <c r="AA22" i="1" s="1"/>
  <c r="V18" i="1"/>
  <c r="U18" i="1" s="1"/>
  <c r="H18" i="1" s="1"/>
  <c r="I18" i="1" s="1"/>
  <c r="V14" i="1"/>
  <c r="U14" i="1" s="1"/>
  <c r="P15" i="1"/>
  <c r="O15" i="1" s="1"/>
  <c r="V15" i="1"/>
  <c r="U15" i="1" s="1"/>
  <c r="P17" i="1"/>
  <c r="O17" i="1" s="1"/>
  <c r="H19" i="1" l="1"/>
  <c r="H53" i="1"/>
  <c r="V55" i="1"/>
  <c r="U55" i="1" s="1"/>
  <c r="AG27" i="1"/>
  <c r="AF27" i="1" s="1"/>
  <c r="V56" i="1"/>
  <c r="U56" i="1" s="1"/>
  <c r="U57" i="1"/>
  <c r="H57" i="1" s="1"/>
  <c r="I57" i="1" s="1"/>
  <c r="P55" i="1"/>
  <c r="O55" i="1" s="1"/>
  <c r="H35" i="1"/>
  <c r="I35" i="1" s="1"/>
  <c r="I53" i="1"/>
  <c r="AA58" i="1"/>
  <c r="H58" i="1" s="1"/>
  <c r="I58" i="1" s="1"/>
  <c r="H45" i="1"/>
  <c r="I45" i="1" s="1"/>
  <c r="V39" i="1"/>
  <c r="U39" i="1" s="1"/>
  <c r="T40" i="1"/>
  <c r="V42" i="1"/>
  <c r="U42" i="1" s="1"/>
  <c r="P42" i="1"/>
  <c r="O42" i="1" s="1"/>
  <c r="V40" i="1" l="1"/>
  <c r="U40" i="1" s="1"/>
  <c r="T41" i="1"/>
  <c r="V41" i="1" s="1"/>
  <c r="U41" i="1" s="1"/>
  <c r="J114" i="15" l="1"/>
  <c r="J113" i="15" l="1"/>
  <c r="H159" i="1"/>
  <c r="B135" i="1"/>
  <c r="H118" i="1"/>
  <c r="J118" i="1" s="1"/>
  <c r="H117" i="1"/>
  <c r="J117" i="1" s="1"/>
  <c r="H115" i="1"/>
  <c r="J115" i="1" s="1"/>
  <c r="H114" i="1"/>
  <c r="J114" i="1" s="1"/>
  <c r="BT39" i="6"/>
  <c r="BT32" i="6"/>
  <c r="BT35" i="6"/>
  <c r="BT34" i="6"/>
  <c r="BT33" i="6"/>
  <c r="BT26" i="6"/>
  <c r="BT27" i="6"/>
  <c r="BT25" i="6"/>
  <c r="BT24" i="6"/>
  <c r="BT18" i="6"/>
  <c r="BT17" i="6"/>
  <c r="BT14" i="6"/>
  <c r="BQ26" i="6"/>
  <c r="BQ32" i="6"/>
  <c r="BQ11" i="6"/>
  <c r="BQ19" i="6"/>
  <c r="BQ34" i="6"/>
  <c r="BQ33" i="6"/>
  <c r="BQ31" i="6"/>
  <c r="BQ30" i="6"/>
  <c r="BQ25" i="6"/>
  <c r="BQ24" i="6"/>
  <c r="BQ23" i="6"/>
  <c r="BQ18" i="6"/>
  <c r="BQ17" i="6"/>
  <c r="BQ14" i="6"/>
  <c r="BQ13" i="6"/>
  <c r="BQ12" i="6"/>
  <c r="J119" i="1" l="1"/>
  <c r="E143" i="1" s="1"/>
  <c r="BQ27" i="6"/>
  <c r="AD87" i="1"/>
  <c r="I19" i="1" l="1"/>
  <c r="H33" i="16" l="1"/>
  <c r="H32" i="16"/>
  <c r="H31" i="16"/>
  <c r="H30" i="16"/>
  <c r="H29" i="16"/>
  <c r="H24" i="16"/>
  <c r="H11" i="16"/>
  <c r="H9" i="16"/>
  <c r="H8" i="16"/>
  <c r="H7" i="16"/>
  <c r="J111" i="15"/>
  <c r="K102" i="15"/>
  <c r="K100" i="15"/>
  <c r="K99" i="15"/>
  <c r="K98" i="15"/>
  <c r="K85" i="15"/>
  <c r="K83" i="15"/>
  <c r="K82" i="15"/>
  <c r="K81" i="15"/>
  <c r="K27" i="15"/>
  <c r="BT31" i="6"/>
  <c r="BT30" i="6"/>
  <c r="BT13" i="6"/>
  <c r="BQ8" i="6"/>
  <c r="BQ40" i="6" s="1"/>
  <c r="H98" i="1" s="1"/>
  <c r="I98" i="1" s="1"/>
  <c r="BT23" i="6"/>
  <c r="BT12" i="6"/>
  <c r="K105" i="15" l="1"/>
  <c r="K117" i="15" s="1"/>
  <c r="H104" i="1" s="1"/>
  <c r="K93" i="15"/>
  <c r="E147" i="1"/>
  <c r="BT19" i="6"/>
  <c r="BT8" i="6"/>
  <c r="BT40" i="6" l="1"/>
  <c r="H99" i="1" s="1"/>
  <c r="I99" i="1" s="1"/>
  <c r="L12" i="1" l="1"/>
  <c r="AJ105" i="1" s="1"/>
  <c r="AD85" i="1"/>
  <c r="H91" i="1" l="1"/>
  <c r="AD88" i="1"/>
  <c r="I104" i="1" l="1"/>
  <c r="S96" i="1" l="1"/>
  <c r="S95" i="1"/>
  <c r="S93" i="1"/>
  <c r="I90" i="1"/>
  <c r="AE86" i="1"/>
  <c r="AD84" i="1" l="1"/>
  <c r="AD89" i="1"/>
  <c r="AG86" i="1"/>
  <c r="AF86" i="1" s="1"/>
  <c r="S77" i="1" l="1"/>
  <c r="S76" i="1"/>
  <c r="T93" i="1"/>
  <c r="H151" i="1"/>
  <c r="I97" i="1"/>
  <c r="I91" i="1"/>
  <c r="AG89" i="1"/>
  <c r="AF89" i="1" s="1"/>
  <c r="AG88" i="1"/>
  <c r="AF88" i="1" s="1"/>
  <c r="AG87" i="1"/>
  <c r="AF87" i="1" s="1"/>
  <c r="AG85" i="1"/>
  <c r="AF85" i="1" s="1"/>
  <c r="AG84" i="1"/>
  <c r="AF84" i="1" s="1"/>
  <c r="AG83" i="1"/>
  <c r="AF83" i="1" s="1"/>
  <c r="AG82" i="1"/>
  <c r="AF82" i="1" s="1"/>
  <c r="AE81" i="1"/>
  <c r="AG81" i="1" s="1"/>
  <c r="AF81" i="1" s="1"/>
  <c r="AE80" i="1"/>
  <c r="AG80" i="1" s="1"/>
  <c r="AF80" i="1" s="1"/>
  <c r="AE79" i="1"/>
  <c r="AG79" i="1" s="1"/>
  <c r="AF79" i="1" s="1"/>
  <c r="AE78" i="1"/>
  <c r="AG78" i="1" s="1"/>
  <c r="AF78" i="1" s="1"/>
  <c r="AB78" i="1"/>
  <c r="AA78" i="1" s="1"/>
  <c r="S12" i="1"/>
  <c r="S10" i="1"/>
  <c r="S9" i="1"/>
  <c r="S8" i="1"/>
  <c r="S7" i="1"/>
  <c r="AJ104" i="1" s="1"/>
  <c r="B14" i="13"/>
  <c r="Z100" i="1" l="1"/>
  <c r="Z27" i="1"/>
  <c r="Z11" i="1"/>
  <c r="AB11" i="1" s="1"/>
  <c r="AA11" i="1" s="1"/>
  <c r="Z40" i="1"/>
  <c r="Z33" i="1"/>
  <c r="Z48" i="1"/>
  <c r="Z49" i="1" s="1"/>
  <c r="Z39" i="1"/>
  <c r="AB39" i="1" s="1"/>
  <c r="AA39" i="1" s="1"/>
  <c r="H39" i="1" s="1"/>
  <c r="H83" i="1"/>
  <c r="I83" i="1" s="1"/>
  <c r="G76" i="1"/>
  <c r="G93" i="1" s="1"/>
  <c r="N100" i="1" s="1"/>
  <c r="P100" i="1" s="1"/>
  <c r="T94" i="1"/>
  <c r="V94" i="1" s="1"/>
  <c r="V93" i="1"/>
  <c r="T77" i="1"/>
  <c r="V77" i="1" s="1"/>
  <c r="V76" i="1"/>
  <c r="H78" i="1"/>
  <c r="I78" i="1" s="1"/>
  <c r="AB49" i="1" l="1"/>
  <c r="AA49" i="1" s="1"/>
  <c r="H49" i="1" s="1"/>
  <c r="Z51" i="1"/>
  <c r="AB51" i="1" s="1"/>
  <c r="AA51" i="1" s="1"/>
  <c r="H51" i="1" s="1"/>
  <c r="I51" i="1" s="1"/>
  <c r="AB48" i="1"/>
  <c r="AA48" i="1" s="1"/>
  <c r="H48" i="1" s="1"/>
  <c r="I48" i="1" s="1"/>
  <c r="AB33" i="1"/>
  <c r="AA33" i="1" s="1"/>
  <c r="AB27" i="1"/>
  <c r="AA27" i="1" s="1"/>
  <c r="Z42" i="1"/>
  <c r="AB42" i="1" s="1"/>
  <c r="AA42" i="1" s="1"/>
  <c r="H42" i="1" s="1"/>
  <c r="AB40" i="1"/>
  <c r="AA40" i="1" s="1"/>
  <c r="AB100" i="1"/>
  <c r="Z101" i="1"/>
  <c r="AB101" i="1" s="1"/>
  <c r="AA101" i="1" s="1"/>
  <c r="H101" i="1" s="1"/>
  <c r="I101" i="1" s="1"/>
  <c r="U76" i="1"/>
  <c r="G95" i="1"/>
  <c r="G100" i="1" s="1"/>
  <c r="U77" i="1"/>
  <c r="T96" i="1"/>
  <c r="V96" i="1" s="1"/>
  <c r="T95" i="1"/>
  <c r="V95" i="1" s="1"/>
  <c r="U93" i="1"/>
  <c r="U94" i="1"/>
  <c r="H33" i="1" l="1"/>
  <c r="I33" i="1" s="1"/>
  <c r="H40" i="1"/>
  <c r="AA100" i="1"/>
  <c r="AB32" i="1"/>
  <c r="AA32" i="1" s="1"/>
  <c r="H32" i="1" s="1"/>
  <c r="H26" i="1"/>
  <c r="I26" i="1" s="1"/>
  <c r="I49" i="1"/>
  <c r="Z55" i="1"/>
  <c r="AB15" i="1"/>
  <c r="AA15" i="1" s="1"/>
  <c r="O100" i="1"/>
  <c r="H93" i="1"/>
  <c r="I93" i="1" s="1"/>
  <c r="H76" i="1"/>
  <c r="I76" i="1" s="1"/>
  <c r="AH75" i="1" s="1"/>
  <c r="H100" i="1"/>
  <c r="I100" i="1" s="1"/>
  <c r="U95" i="1"/>
  <c r="U96" i="1"/>
  <c r="Z56" i="1" l="1"/>
  <c r="AB55" i="1"/>
  <c r="AA55" i="1" s="1"/>
  <c r="H95" i="1"/>
  <c r="I95" i="1" s="1"/>
  <c r="I36" i="1" l="1"/>
  <c r="AB56" i="1"/>
  <c r="AA56" i="1" s="1"/>
  <c r="Z59" i="1"/>
  <c r="AB59" i="1" s="1"/>
  <c r="AA59" i="1" s="1"/>
  <c r="H59" i="1" s="1"/>
  <c r="I59" i="1" s="1"/>
  <c r="H14" i="1"/>
  <c r="H55" i="1"/>
  <c r="I55" i="1" s="1"/>
  <c r="V9" i="1"/>
  <c r="U9" i="1" s="1"/>
  <c r="V8" i="1"/>
  <c r="U8" i="1" s="1"/>
  <c r="V7" i="1"/>
  <c r="U7" i="1" s="1"/>
  <c r="AH47" i="1" l="1"/>
  <c r="H7" i="1"/>
  <c r="I7" i="1" s="1"/>
  <c r="P10" i="1" l="1"/>
  <c r="O10" i="1" s="1"/>
  <c r="I46" i="1" l="1"/>
  <c r="V10" i="1"/>
  <c r="V12" i="1" l="1"/>
  <c r="U12" i="1" s="1"/>
  <c r="P12" i="1"/>
  <c r="O12" i="1" s="1"/>
  <c r="U10" i="1"/>
  <c r="H10" i="1" l="1"/>
  <c r="I10" i="1" s="1"/>
  <c r="AH6" i="1" s="1"/>
  <c r="I44" i="1" l="1"/>
  <c r="I32" i="1" l="1"/>
  <c r="AH31" i="1" s="1"/>
  <c r="I39" i="1" l="1"/>
  <c r="I40" i="1"/>
  <c r="I42" i="1"/>
  <c r="AH38" i="1" l="1"/>
  <c r="H105" i="1" l="1"/>
  <c r="I105" i="1" s="1"/>
  <c r="I14" i="1" l="1"/>
  <c r="AH13" i="1" s="1"/>
  <c r="AH62" i="1" l="1"/>
  <c r="H66" i="1" s="1"/>
  <c r="J66" i="1" l="1"/>
  <c r="J67" i="1" s="1"/>
  <c r="H106" i="1" l="1"/>
  <c r="I106" i="1" s="1"/>
  <c r="E140" i="1"/>
  <c r="H107" i="1"/>
  <c r="I107" i="1" s="1"/>
  <c r="E71" i="1"/>
  <c r="H71" i="1" s="1"/>
  <c r="H72" i="1" s="1"/>
  <c r="E142" i="1" s="1"/>
  <c r="E123" i="1"/>
  <c r="AH92" i="1" l="1"/>
  <c r="H123" i="1"/>
  <c r="H124" i="1" s="1"/>
  <c r="E144" i="1" s="1"/>
  <c r="E128" i="1"/>
  <c r="H128" i="1" s="1"/>
  <c r="H129" i="1" s="1"/>
  <c r="E145" i="1" s="1"/>
  <c r="AH109" i="1" l="1"/>
  <c r="AI109" i="1" s="1"/>
  <c r="E141" i="1" s="1"/>
  <c r="E146" i="1" s="1"/>
  <c r="E148" i="1" s="1"/>
  <c r="E134" i="1"/>
  <c r="H160" i="1" l="1"/>
  <c r="H152" i="1"/>
  <c r="H154" i="1" s="1"/>
</calcChain>
</file>

<file path=xl/sharedStrings.xml><?xml version="1.0" encoding="utf-8"?>
<sst xmlns="http://schemas.openxmlformats.org/spreadsheetml/2006/main" count="813" uniqueCount="404">
  <si>
    <t>Actividad</t>
  </si>
  <si>
    <t>Equipo</t>
  </si>
  <si>
    <t>Mano de obra</t>
  </si>
  <si>
    <t xml:space="preserve">Operario </t>
  </si>
  <si>
    <t>Cantidad</t>
  </si>
  <si>
    <t>Materiales/ consumibles</t>
  </si>
  <si>
    <t>N°</t>
  </si>
  <si>
    <t>Equipos menores</t>
  </si>
  <si>
    <t>SG</t>
  </si>
  <si>
    <t>Tiempo de Ejecución (Semanas)</t>
  </si>
  <si>
    <t>Combustible Diésel</t>
  </si>
  <si>
    <t>Pala</t>
  </si>
  <si>
    <t>Carretilla</t>
  </si>
  <si>
    <t>Und</t>
  </si>
  <si>
    <t xml:space="preserve">Cantidad    </t>
  </si>
  <si>
    <t>Bolsas</t>
  </si>
  <si>
    <t>Obrero</t>
  </si>
  <si>
    <t>Geomembrana HDPE (Polipropileno de alta densidad) 1,0 mm</t>
  </si>
  <si>
    <t>Generador de 38 KW</t>
  </si>
  <si>
    <t>Supervisor</t>
  </si>
  <si>
    <t>Obreros</t>
  </si>
  <si>
    <t>Operario</t>
  </si>
  <si>
    <t>Sueldo/día</t>
  </si>
  <si>
    <t>Cargo</t>
  </si>
  <si>
    <t xml:space="preserve">Ingeniero supervisor </t>
  </si>
  <si>
    <t xml:space="preserve">Operador </t>
  </si>
  <si>
    <t>Equipos de protección personal</t>
  </si>
  <si>
    <t>Señalizaciones de seguridad</t>
  </si>
  <si>
    <t>Supervisor de seguridad</t>
  </si>
  <si>
    <t>MO</t>
  </si>
  <si>
    <t>Lentes</t>
  </si>
  <si>
    <t>Chaleco</t>
  </si>
  <si>
    <t>Casco</t>
  </si>
  <si>
    <t>Botas</t>
  </si>
  <si>
    <t>Guantes</t>
  </si>
  <si>
    <t>Mascarillas</t>
  </si>
  <si>
    <t>Banderillas</t>
  </si>
  <si>
    <t>Radios</t>
  </si>
  <si>
    <t>Seguridad</t>
  </si>
  <si>
    <t>Conos 18"</t>
  </si>
  <si>
    <t>Señalizaciones</t>
  </si>
  <si>
    <t>Rollo</t>
  </si>
  <si>
    <t>Agua</t>
  </si>
  <si>
    <t>Rendimiento (diario)</t>
  </si>
  <si>
    <t>Día</t>
  </si>
  <si>
    <t>Campamento</t>
  </si>
  <si>
    <t>Alojamiento</t>
  </si>
  <si>
    <t>Camionetas</t>
  </si>
  <si>
    <t>Pico</t>
  </si>
  <si>
    <t>Rodillo vibrador liso autopropulsado 10,8 HP</t>
  </si>
  <si>
    <t>Cargador sobre orugas 2 YD3</t>
  </si>
  <si>
    <t>Cinta de seguridad 400 m</t>
  </si>
  <si>
    <t>Lona impermeable</t>
  </si>
  <si>
    <t>Piezas de fierro para uniones</t>
  </si>
  <si>
    <t>Vigas de Madera</t>
  </si>
  <si>
    <t>Pernos</t>
  </si>
  <si>
    <t>m</t>
  </si>
  <si>
    <t>Tubos PVC 4" Ranurados</t>
  </si>
  <si>
    <t>Impermeabilización y sistema de drenaje</t>
  </si>
  <si>
    <t>Autorización de ejecución de obra</t>
  </si>
  <si>
    <t>Autorización de Uso de Agua</t>
  </si>
  <si>
    <t>Embarcación</t>
  </si>
  <si>
    <t>Movilización de equipos y materiales al sitio</t>
  </si>
  <si>
    <t>Fase I: Movilización de equipos y materiales al sitio</t>
  </si>
  <si>
    <t>Conductores</t>
  </si>
  <si>
    <t>Cisterna</t>
  </si>
  <si>
    <t>Revegetación</t>
  </si>
  <si>
    <t>Plantas</t>
  </si>
  <si>
    <t xml:space="preserve">Und </t>
  </si>
  <si>
    <t>Traslado de personal</t>
  </si>
  <si>
    <t>Costo  unitario ($)</t>
  </si>
  <si>
    <t>Costo por partida  ($)</t>
  </si>
  <si>
    <t>Costo  ($) / día</t>
  </si>
  <si>
    <t>Tiempo (días)</t>
  </si>
  <si>
    <t>Costo unitario  ($)</t>
  </si>
  <si>
    <t>Costo total de equipos ($)</t>
  </si>
  <si>
    <t>Costo ($) / día</t>
  </si>
  <si>
    <t>Costo total del personal  ($)</t>
  </si>
  <si>
    <t>Costo  ($) / und</t>
  </si>
  <si>
    <t>Costo total del materiales  ($)</t>
  </si>
  <si>
    <t>Costo  ($)</t>
  </si>
  <si>
    <t>Costo tota de equipos menores ($)</t>
  </si>
  <si>
    <t>Construcción de techo tipo galpón</t>
  </si>
  <si>
    <t>Enfermero</t>
  </si>
  <si>
    <t>Trazo, niveles y replanteo durante el proceso constructivo</t>
  </si>
  <si>
    <t>Almacenero</t>
  </si>
  <si>
    <t>Stand by</t>
  </si>
  <si>
    <t>Contingencia</t>
  </si>
  <si>
    <t>Mantenimiento de vías</t>
  </si>
  <si>
    <t>Autorización uso de suelos para confinamiento</t>
  </si>
  <si>
    <t xml:space="preserve"> 1 Trípode
- 2 Bastón con prisma
- 2 Porta prisma
- 2 Prisma</t>
  </si>
  <si>
    <t>Topógrafos</t>
  </si>
  <si>
    <t>Camión grúa 5 T</t>
  </si>
  <si>
    <t>Plancha y conexión para fundación</t>
  </si>
  <si>
    <t>Plástico</t>
  </si>
  <si>
    <t>Equipo de soldadura eléctrica</t>
  </si>
  <si>
    <t>Conductor</t>
  </si>
  <si>
    <t xml:space="preserve">Megáfonos </t>
  </si>
  <si>
    <t>Insumos Médicos / Primeros auxilios</t>
  </si>
  <si>
    <t>Personal logístico</t>
  </si>
  <si>
    <t>Logístico</t>
  </si>
  <si>
    <t>Alquiler de almacén en Andoas</t>
  </si>
  <si>
    <t>Personal</t>
  </si>
  <si>
    <t>Puesta en marcha</t>
  </si>
  <si>
    <t>Ingeniero</t>
  </si>
  <si>
    <t>Proyectista</t>
  </si>
  <si>
    <t>Técnico</t>
  </si>
  <si>
    <r>
      <t>m</t>
    </r>
    <r>
      <rPr>
        <vertAlign val="superscript"/>
        <sz val="10"/>
        <color theme="1"/>
        <rFont val="Arial Narrow"/>
        <family val="2"/>
      </rPr>
      <t>3</t>
    </r>
  </si>
  <si>
    <r>
      <t>m</t>
    </r>
    <r>
      <rPr>
        <vertAlign val="superscript"/>
        <sz val="10"/>
        <color theme="1"/>
        <rFont val="Arial Narrow"/>
        <family val="2"/>
      </rPr>
      <t>2</t>
    </r>
  </si>
  <si>
    <r>
      <t>Retroexcavadora, con capacidad de cucharon 0,5 m</t>
    </r>
    <r>
      <rPr>
        <vertAlign val="superscript"/>
        <sz val="10"/>
        <rFont val="Arial Narrow"/>
        <family val="2"/>
      </rPr>
      <t xml:space="preserve">3 </t>
    </r>
  </si>
  <si>
    <t xml:space="preserve">Obrero </t>
  </si>
  <si>
    <t>Operario/topógrafo</t>
  </si>
  <si>
    <t>Ingeniero/Supervisor</t>
  </si>
  <si>
    <t>Combustible (gl)-$</t>
  </si>
  <si>
    <t>Logistico/Almacenero</t>
  </si>
  <si>
    <t>gl</t>
  </si>
  <si>
    <t>Costo por fase</t>
  </si>
  <si>
    <t>Costo directo de Obra ($)</t>
  </si>
  <si>
    <t>Costo Parcial</t>
  </si>
  <si>
    <t>IGV</t>
  </si>
  <si>
    <t>Costo Total</t>
  </si>
  <si>
    <t>Costo Directo Totales</t>
  </si>
  <si>
    <t>Costo de Utilidades ($)</t>
  </si>
  <si>
    <t>Costo directo de Obra</t>
  </si>
  <si>
    <t>10% (utilidad)</t>
  </si>
  <si>
    <t>Costo de Utilidad</t>
  </si>
  <si>
    <t>Seguro de Riesgo de Obra</t>
  </si>
  <si>
    <t>Costo parcial</t>
  </si>
  <si>
    <t xml:space="preserve">IGV </t>
  </si>
  <si>
    <t>Costos asociados a permisos o trámites necesarios para la ejecución de obras ($)</t>
  </si>
  <si>
    <t>Costos de Supervisión ($)</t>
  </si>
  <si>
    <t>Costos de Liquidación ($)</t>
  </si>
  <si>
    <t>Actividades</t>
  </si>
  <si>
    <t>Inversión ($)</t>
  </si>
  <si>
    <t>Descripción</t>
  </si>
  <si>
    <t>I. Costo de Obra</t>
  </si>
  <si>
    <t>II. Costos Directos totales (Incluye IGV)</t>
  </si>
  <si>
    <t>III. Gastos generales - Incluye IGV)</t>
  </si>
  <si>
    <t>Incluye SCTR, vacunas y examenes médicos del personal, asimismo señalización, EPPs, gastos administrativos personal logísticos y de seguridad e implementacion de las medidas ambientales</t>
  </si>
  <si>
    <t>IV. Utilidad</t>
  </si>
  <si>
    <t>(10% de los costos de obra)</t>
  </si>
  <si>
    <t>V. Gestión del proyecto (Inlcuye IGV)</t>
  </si>
  <si>
    <t>(costos asociados a permisos, tramites o similares previa a la ejecución de obra)</t>
  </si>
  <si>
    <t>(8% del costo directo de obra - incluye IGV)</t>
  </si>
  <si>
    <t>(5% del costo directo de obra - incluye IGV)</t>
  </si>
  <si>
    <t>Incluye los monitoreos de agua superficial, sedimentos, suelo, agua subterránea, hidrobiológico y revegetación)</t>
  </si>
  <si>
    <t>Costo PR presentado</t>
  </si>
  <si>
    <t>30% del costo de PR</t>
  </si>
  <si>
    <t>Diferencia entre costo inicial y modificado</t>
  </si>
  <si>
    <t>Exceso</t>
  </si>
  <si>
    <t>semanas</t>
  </si>
  <si>
    <t>dias trabajados</t>
  </si>
  <si>
    <t>overol</t>
  </si>
  <si>
    <t>Costo overol</t>
  </si>
  <si>
    <t>SCTR, vacunas y exmanes médicos del personal</t>
  </si>
  <si>
    <t>Gastos logisticos y administración</t>
  </si>
  <si>
    <t>Capacitación al personal</t>
  </si>
  <si>
    <t xml:space="preserve">Comedor y servicios </t>
  </si>
  <si>
    <t>Medidas ambientales</t>
  </si>
  <si>
    <t>Trab</t>
  </si>
  <si>
    <t>Equipos</t>
  </si>
  <si>
    <t>incluido IGV</t>
  </si>
  <si>
    <t>m3</t>
  </si>
  <si>
    <t>Estimación General de Costos para el Desarrollo de la Remediación en el sitio</t>
  </si>
  <si>
    <t>Días</t>
  </si>
  <si>
    <t xml:space="preserve">Costo $ unitario </t>
  </si>
  <si>
    <t>Costo $ por partida</t>
  </si>
  <si>
    <t>Puntos de Monitoreo</t>
  </si>
  <si>
    <t>Dias</t>
  </si>
  <si>
    <t>Frecuencia</t>
  </si>
  <si>
    <t>Costo Unitario ($)</t>
  </si>
  <si>
    <t>Costo Subtotal ($)</t>
  </si>
  <si>
    <t>Sustancias o materiales peligrosos y no peligrosos</t>
  </si>
  <si>
    <t xml:space="preserve">Ruido </t>
  </si>
  <si>
    <t>Movilización y desmovilización terrestre</t>
  </si>
  <si>
    <t>Movilización y desmovilización fluvial</t>
  </si>
  <si>
    <t>LAeqT (Nivel de Presión Sonora Continuo Equivalente con Ponderación “A”)</t>
  </si>
  <si>
    <t>Aire</t>
  </si>
  <si>
    <t>Material Particulado</t>
  </si>
  <si>
    <t>PM10</t>
  </si>
  <si>
    <t>PM2.5</t>
  </si>
  <si>
    <t>Gases</t>
  </si>
  <si>
    <t>Dióxido de Azufre (SO2)</t>
  </si>
  <si>
    <t>Programas de manejo</t>
  </si>
  <si>
    <t>Dióxido de Nitrógeno (NO2)</t>
  </si>
  <si>
    <t>Monóxido de Carbono (CO)</t>
  </si>
  <si>
    <t>Costo total-Etapa de Construcción ($)</t>
  </si>
  <si>
    <t>Relaciones comunitarias</t>
  </si>
  <si>
    <t>Agua Superficial</t>
  </si>
  <si>
    <t>Parámetros In Situ</t>
  </si>
  <si>
    <t>pH</t>
  </si>
  <si>
    <t>OD</t>
  </si>
  <si>
    <t>Temperatura</t>
  </si>
  <si>
    <t>Conductividad Electrica</t>
  </si>
  <si>
    <t>Inorgánicos</t>
  </si>
  <si>
    <t>Sedimentos</t>
  </si>
  <si>
    <t>Agua Subterránea</t>
  </si>
  <si>
    <t>Instalacion de piezómetros</t>
  </si>
  <si>
    <t>Hidrobiología</t>
  </si>
  <si>
    <t>Suelo</t>
  </si>
  <si>
    <t>VI. Supervisión (Incluye IGV)</t>
  </si>
  <si>
    <t>VII. Liquidación (Incluye IGV)</t>
  </si>
  <si>
    <t>VIII. COSTO TOTAL DE INVERSIÓN</t>
  </si>
  <si>
    <t>IX. COSTO TOTAL DE POST CIERRE</t>
  </si>
  <si>
    <t>X. COSTO TOTAL DE REMEDIACION EN EL SITIO (X+XI)</t>
  </si>
  <si>
    <t>I</t>
  </si>
  <si>
    <t>II</t>
  </si>
  <si>
    <t>III</t>
  </si>
  <si>
    <t>IV</t>
  </si>
  <si>
    <t>V</t>
  </si>
  <si>
    <t>Camioneta</t>
  </si>
  <si>
    <t>COSTO DE SEGURIDAD, GASTOS LOGÍSTICOS Y ADMINISTRATIVOS PARA LOS TRABAJOS DE REMEDIACIÓN</t>
  </si>
  <si>
    <t>Costo total-Etapa de Cierre ($)</t>
  </si>
  <si>
    <t>6 dias</t>
  </si>
  <si>
    <t>60 soles por dia/3.3</t>
  </si>
  <si>
    <t>25 soles dia/3.3</t>
  </si>
  <si>
    <t>Costo diario</t>
  </si>
  <si>
    <t>Sub total</t>
  </si>
  <si>
    <t>Costo total-Etapa de Operación ($)</t>
  </si>
  <si>
    <t>Costo total-Comprobación ($)</t>
  </si>
  <si>
    <t>Gestión manejo de residuos sólidos Peligrosos y no peligrosos</t>
  </si>
  <si>
    <t>COSTO TOTAL (MONITOREO+MEDIDAS) ($)</t>
  </si>
  <si>
    <t>Costo total-Etapa de Post Remediación ($)</t>
  </si>
  <si>
    <t>Colocación y compactación del material en el sitio</t>
  </si>
  <si>
    <t>Autorización de desbosque (Incluye estudio para el permiso)</t>
  </si>
  <si>
    <t>instalaciones auxiliares</t>
  </si>
  <si>
    <t>Remediación del área mediante Desorción térmica- Suelos</t>
  </si>
  <si>
    <t>operarios</t>
  </si>
  <si>
    <t>Fase II: Preparación del área para la instalación de equipos</t>
  </si>
  <si>
    <t xml:space="preserve">Desbroce, nivelación, conformación, perfilado y compactación de la subrasante con equipo </t>
  </si>
  <si>
    <t>Camión cisterna para regado</t>
  </si>
  <si>
    <t>Motoniveladora 125 HP</t>
  </si>
  <si>
    <r>
      <t>Retroexcavadora, con capacidad de cucharon 0,5 m</t>
    </r>
    <r>
      <rPr>
        <vertAlign val="superscript"/>
        <sz val="10"/>
        <color theme="1"/>
        <rFont val="Arial Narrow"/>
        <family val="2"/>
      </rPr>
      <t xml:space="preserve">3 </t>
    </r>
  </si>
  <si>
    <t>Apertura de trochas</t>
  </si>
  <si>
    <t>Excavadora cap. 0,5 YD3, 110 HP</t>
  </si>
  <si>
    <t>Excavación del material con maquinaria</t>
  </si>
  <si>
    <t>Fase IV: Aplicación de la Desorción Térmica</t>
  </si>
  <si>
    <t>Carguío del material de las pilas de almacenamiento hasta el equipo de desorción térmica</t>
  </si>
  <si>
    <t>Proceso de desorción térmica</t>
  </si>
  <si>
    <t>Equipo de desorción térmica</t>
  </si>
  <si>
    <t>Traslado del Material descontaminado hasta las pilas de acopio destinado para tal fin</t>
  </si>
  <si>
    <t>Cargador de pala frontal sobre llantas</t>
  </si>
  <si>
    <t>Vigilancia (diurna y noctura)</t>
  </si>
  <si>
    <t>Vigilante</t>
  </si>
  <si>
    <t>Fase V: Reposición del material en el sitio</t>
  </si>
  <si>
    <t>Fertilización del material tratado</t>
  </si>
  <si>
    <t>Fertilizante NPK bolsas de 10 Kg</t>
  </si>
  <si>
    <t>COSTO TOTAL DE REMEDIACIÓN MEDIANTE DESORCIÓN TÉRMICA (USD)</t>
  </si>
  <si>
    <t>Remediación del área mediante Desorción Térmica</t>
  </si>
  <si>
    <t>Fase III: Preparación del material in situ</t>
  </si>
  <si>
    <t>Fase IV: Aplicación de la desorción Térmica</t>
  </si>
  <si>
    <t>Proceso desorción térmica</t>
  </si>
  <si>
    <t>Supervisión Técnica de actividades (2 ingenieros)</t>
  </si>
  <si>
    <t>Vigilancia (diurna y nocturna)</t>
  </si>
  <si>
    <t>Mantenimiento (3 técnicos)</t>
  </si>
  <si>
    <t>Fase V: Reposición de material en el sitio</t>
  </si>
  <si>
    <t>TOTAL DE PERSONAL</t>
  </si>
  <si>
    <t>Consta de la planificación, proyección, movilización y
desmovilización de equipos y materiales considerando traslado
terrestre y fluvial, en un tiempo de 20 días y 6 días
respectivamente</t>
  </si>
  <si>
    <t>Se nutre de las actividades de alquiler del área para la
instalación del equipo de desorción, el desbroce, nivelación,
conformación, perfilado y compactación de la subrasante con
equipos (maquinaria pesada), impermeabilización y techado del
área para la instalación del equipo,</t>
  </si>
  <si>
    <t>Incluye la apertura de trochas, extracción del material
contaminado y carguío del material hasta las pilas de
almacenamiento provisional con equipos (maquinaria pesada).</t>
  </si>
  <si>
    <t>Consta del carguío del material de las pilas de almacenamiento
hasta el equipo de desorción térmica, la aplicación del proceso
desorción térmica y finalmente el traslado del Material
descontaminado hasta las pilas de acopio destinado para tal fin</t>
  </si>
  <si>
    <t>Consiste en el relleno de la excavación realizada previamente
para retirar el material contaminado a tratar, para esto se prevé
utilizar tanto material del mismo sitio una vez se encuentre
descontaminado como material proveniente de un préstamo,
por lo tanto, incluye estudio de préstamo, carguío del material,
traslado del material, fertilización, colocación, compactación del
material y finalmente revegetación.</t>
  </si>
  <si>
    <t>Incluye los costos de Remediación del área mediante Desorción Térmica</t>
  </si>
  <si>
    <t>Dias por semana</t>
  </si>
  <si>
    <t>Cambios de tyvek (3) /dia</t>
  </si>
  <si>
    <t>Operación de campamento</t>
  </si>
  <si>
    <t>Emisiones Gaseosas</t>
  </si>
  <si>
    <t>Monitoristas</t>
  </si>
  <si>
    <t>CO, HCl, NOx, SO2, Material Particulado y Metales</t>
  </si>
  <si>
    <t>Suelo muestreo en las celdas de Conducción Térmica Mejorada</t>
  </si>
  <si>
    <t>PTAR Móvil</t>
  </si>
  <si>
    <t>poligono Sur</t>
  </si>
  <si>
    <t>TM</t>
  </si>
  <si>
    <t>Cucharon de 1.5 m3 (3TM)</t>
  </si>
  <si>
    <t>Al dia (trasladar) TM</t>
  </si>
  <si>
    <t>14 veces al dia 3TM</t>
  </si>
  <si>
    <t># Obreros (4 por cucharon, 2 llenan dos descargan)</t>
  </si>
  <si>
    <t>Capacidad de 2 cucharones (6TM) -# veces</t>
  </si>
  <si>
    <t>#operarios</t>
  </si>
  <si>
    <t>#Camion de volteo</t>
  </si>
  <si>
    <t># retroescavadora (1 saca mueve las 0.6 metros, el otro traslada)</t>
  </si>
  <si>
    <t>Camión volteo (carguio del material)</t>
  </si>
  <si>
    <t>PTAR MOVIL (DIA)</t>
  </si>
  <si>
    <t xml:space="preserve">Muestreo de comprobación de la Remediación Suelo </t>
  </si>
  <si>
    <r>
      <t>Movilización de equipos y materiales al sitio</t>
    </r>
    <r>
      <rPr>
        <sz val="15"/>
        <color rgb="FFFF0000"/>
        <rFont val="Arial Narrow"/>
        <family val="2"/>
      </rPr>
      <t>*</t>
    </r>
  </si>
  <si>
    <r>
      <t>Desmovilización de equipos y materiales al sitio</t>
    </r>
    <r>
      <rPr>
        <sz val="15"/>
        <color rgb="FFFF0000"/>
        <rFont val="Arial Narrow"/>
        <family val="2"/>
      </rPr>
      <t>*</t>
    </r>
  </si>
  <si>
    <t>*Se estiman los costos en movilización desde el punto de embarque más cercano (Yurimaguas)</t>
  </si>
  <si>
    <t>Carguio del material de préstamo</t>
  </si>
  <si>
    <r>
      <t xml:space="preserve">Fase III: Preparación del material </t>
    </r>
    <r>
      <rPr>
        <i/>
        <sz val="10"/>
        <color theme="1"/>
        <rFont val="Arial Narrow"/>
        <family val="2"/>
      </rPr>
      <t>in situ</t>
    </r>
  </si>
  <si>
    <t>Estudio de material de préstamo</t>
  </si>
  <si>
    <t>Orgánicos</t>
  </si>
  <si>
    <t xml:space="preserve">Mantenimiento del equipo </t>
  </si>
  <si>
    <t xml:space="preserve"> </t>
  </si>
  <si>
    <t>Carguío del material a sitio de almacenamiento temporal</t>
  </si>
  <si>
    <t>Carguío del material de préstamo al sitio</t>
  </si>
  <si>
    <t>Traslado del material de préstamo hasta el sitio</t>
  </si>
  <si>
    <t>Traslado del material tratado hasta el sitio</t>
  </si>
  <si>
    <t>Desmovilización de equipos y materiales del sitio</t>
  </si>
  <si>
    <t>Remediación por Desorción Térmica</t>
  </si>
  <si>
    <t>1.1 Remediación del área mediante Desorción Térmica</t>
  </si>
  <si>
    <t>Programa de Monitoreo del sitio S0112-Etapa de Construcción</t>
  </si>
  <si>
    <t>Programa de Monitoreo del sitio S0112-Etapa de Operación</t>
  </si>
  <si>
    <t>Programa de Monitoreo del sitio S112-Etapa de Cierre</t>
  </si>
  <si>
    <t>Programa de Monitoreo del sitio S0112-Post Remediación</t>
  </si>
  <si>
    <t>COSTOS DEL PLAN DE REHABILITACIÓN SITIO S0112 (Sitio 35)</t>
  </si>
  <si>
    <t>CRONOGRAMA DE TRABAJOS DE EJECUCIÓN DEL SITIO S0112 (SITIO 35)</t>
  </si>
  <si>
    <t>Costos de Campamento, alojamiento y tyvek enlazados a la pestaña inversión</t>
  </si>
  <si>
    <t>COSTO DE MEDIDAS AMBIENTALES</t>
  </si>
  <si>
    <t>COSTOS DE MONITOREO ETAPAS (CONSTRUCCIÓN, OPERACIÓN, CIERRE Y COMPROBACIÓN DE LA REMEDIACIÓN) - SITIO S0112*</t>
  </si>
  <si>
    <t>COSTO DE MONITOREO POST REMEDIACIÓN - SITIO S0112*</t>
  </si>
  <si>
    <t>Frecuencia**</t>
  </si>
  <si>
    <t>** (1 y 2 año, semestral) y (3, 4 y 5 año, anual), los costos pueden variar con el tiempo</t>
  </si>
  <si>
    <t>COSTOS DE APOYO*</t>
  </si>
  <si>
    <t>*Enlazados a la pestaña inversión</t>
  </si>
  <si>
    <t>Caudal</t>
  </si>
  <si>
    <t>Aceites y Grasas</t>
  </si>
  <si>
    <t>Metales (Arsénico, Bario, Cobre, Cadmio, Cromo, Mercurio, Manganeso, Níquel, Plomo, Vanadio y Zinc)</t>
  </si>
  <si>
    <t>Metales (Arsénico, Bario, Cobre, Cadmio, Cromo, Mercurio, Manganeso, Níquel, Plomo, Vanadio y Zinc).</t>
  </si>
  <si>
    <t>Actividades Post Remediación*</t>
  </si>
  <si>
    <t>Año 1</t>
  </si>
  <si>
    <t>Año 2</t>
  </si>
  <si>
    <t>Año 3</t>
  </si>
  <si>
    <t>Año 4</t>
  </si>
  <si>
    <t>Año 5</t>
  </si>
  <si>
    <t>Monitoreo de Agua superficial</t>
  </si>
  <si>
    <t>Monitoreo de Sedimentos</t>
  </si>
  <si>
    <t>Monitoreo de Agua subterránea</t>
  </si>
  <si>
    <t>Monitoreo de Revegetación (Incluye flora y fauna)</t>
  </si>
  <si>
    <t>*Bianual durante los 2 primeros años y los 3 años restantes será anual</t>
  </si>
  <si>
    <t>Etapa de Construcción, Operación y Cierre</t>
  </si>
  <si>
    <t>Post Remediación</t>
  </si>
  <si>
    <t>1 Año</t>
  </si>
  <si>
    <t>2 Año</t>
  </si>
  <si>
    <t>3 Año</t>
  </si>
  <si>
    <t>4 Año</t>
  </si>
  <si>
    <t>5 Año</t>
  </si>
  <si>
    <t>1 mes</t>
  </si>
  <si>
    <t>2 mes</t>
  </si>
  <si>
    <t>3 mes</t>
  </si>
  <si>
    <t>4 mes</t>
  </si>
  <si>
    <t>5 mes</t>
  </si>
  <si>
    <t>6 mes</t>
  </si>
  <si>
    <t>7 mes</t>
  </si>
  <si>
    <t>8 mes</t>
  </si>
  <si>
    <t>9 mes</t>
  </si>
  <si>
    <t>10 mes</t>
  </si>
  <si>
    <t>11 mes</t>
  </si>
  <si>
    <t>Trimestral</t>
  </si>
  <si>
    <t>Monitoreo post ejecución de obra</t>
  </si>
  <si>
    <t>Monitoreo de Flora y Flora (Incluye revegetación)</t>
  </si>
  <si>
    <t>El monitoreo Post ejecución de obra 1er y 2do año (bianual) y 3er, 4to y 5to año (anual)</t>
  </si>
  <si>
    <t>Medidas Ambientales (Planes y Programas)</t>
  </si>
  <si>
    <t>Programa de manejo de instalaciones auxiliares</t>
  </si>
  <si>
    <t>Programa de manejo de paisaje visual</t>
  </si>
  <si>
    <t>Programa de manejo ruido ambiental y calidad de aire</t>
  </si>
  <si>
    <t>Programa de manejo de recurso suelo</t>
  </si>
  <si>
    <t>Programa de manejo del recurso hídrico</t>
  </si>
  <si>
    <t>Programa de manejo de flora y fauna terrestre</t>
  </si>
  <si>
    <t xml:space="preserve">Programa de manejo de sustancias o materiales peligrosos </t>
  </si>
  <si>
    <t>Programa de relaciones comunitarias</t>
  </si>
  <si>
    <t>Plan de manejo de residuos</t>
  </si>
  <si>
    <t>Plan de control y monitoreo en la ejecución de las medidas de remediación y rehabilitación</t>
  </si>
  <si>
    <t>Plan de muestreo de comprobación o verificación</t>
  </si>
  <si>
    <t>Las medidas ambientales se incluyen dentro del desarrollo de las cinco fases, los cuales forman parte de las etapas de construcción, operación y cierre</t>
  </si>
  <si>
    <t>CRONOGRAMA DE REMEDIACIÓN Y POST REMEDIACIÓN SITIO S0112</t>
  </si>
  <si>
    <t>* Costos enlazados a la pestaña inversión Total</t>
  </si>
  <si>
    <t>Parámetros Metereológicos</t>
  </si>
  <si>
    <t>TPH</t>
  </si>
  <si>
    <t>BTEX</t>
  </si>
  <si>
    <t>PAHs</t>
  </si>
  <si>
    <t>SST</t>
  </si>
  <si>
    <t>Cromo (VI)</t>
  </si>
  <si>
    <t>Metales (Arsénico, Bario, Cobre, Cadmio, Cadmio disuelto, Cr total, Mercurio, Manganeso, Níquel, Plomo, Vanadio y Zinc)</t>
  </si>
  <si>
    <t>BTEX (benceno).</t>
  </si>
  <si>
    <t xml:space="preserve"> PAH (Benzo-a-pireno, Antraceno y Fluoranteno),</t>
  </si>
  <si>
    <t>Fitoplancton</t>
  </si>
  <si>
    <t>Zooplancton</t>
  </si>
  <si>
    <t>Perifiton</t>
  </si>
  <si>
    <t>Macroinvertebrados</t>
  </si>
  <si>
    <t>TIEMPO</t>
  </si>
  <si>
    <t>m3 /desorcion</t>
  </si>
  <si>
    <t>PR</t>
  </si>
  <si>
    <t>Propuesta</t>
  </si>
  <si>
    <t>7 dias maximo</t>
  </si>
  <si>
    <t>dias</t>
  </si>
  <si>
    <t>1 año</t>
  </si>
  <si>
    <t>Petroflag</t>
  </si>
  <si>
    <t>Fracción de hidrocarburos F2 y F3</t>
  </si>
  <si>
    <t>HAPS y BTEX</t>
  </si>
  <si>
    <t>Instalación de campamento *</t>
  </si>
  <si>
    <t>Fertilización (solo en los 30 cm superiores)</t>
  </si>
  <si>
    <t>Deinstalación de campamento *</t>
  </si>
  <si>
    <t>13 mes</t>
  </si>
  <si>
    <t>12 mes</t>
  </si>
  <si>
    <t>14 mes</t>
  </si>
  <si>
    <t>2 meses</t>
  </si>
  <si>
    <t>2 Semanas</t>
  </si>
  <si>
    <t>1 semana</t>
  </si>
  <si>
    <t>2 semana</t>
  </si>
  <si>
    <t>TPH, Fracción de hidrocarburos F2</t>
  </si>
  <si>
    <t>Monitoreo de Flora y Fauna (incluye Revegetación)</t>
  </si>
  <si>
    <t>REA REMEDIR 115</t>
  </si>
  <si>
    <t>sitio 112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</si>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</sst>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_-* #,##0.000_-;\-* #,##0.000_-;_-* &quot;-&quot;??_-;_-@_-"/>
  </numFmts>
  <fonts count="54" x14ac:knownFonts="1">
    <font>
      <sz val="11"/>
      <color theme="1"/>
      <name val="Calibri"/>
      <family val="2"/>
      <scheme val="minor"/>
    </font>
    <font>
      <sz val="11"/>
      <color theme="1"/>
      <name val="Arial Narrow"/>
      <family val="2"/>
    </font>
    <font>
      <sz val="11"/>
      <color theme="1"/>
      <name val="Calibri"/>
      <family val="2"/>
      <scheme val="minor"/>
    </font>
    <font>
      <sz val="10"/>
      <color theme="1"/>
      <name val="Arial Narrow"/>
      <family val="2"/>
    </font>
    <font>
      <sz val="8"/>
      <color theme="1"/>
      <name val="Arial Narrow"/>
      <family val="2"/>
    </font>
    <font>
      <sz val="6"/>
      <color theme="1"/>
      <name val="Arial Narrow"/>
      <family val="2"/>
    </font>
    <font>
      <vertAlign val="superscript"/>
      <sz val="10"/>
      <color theme="1"/>
      <name val="Arial Narrow"/>
      <family val="2"/>
    </font>
    <font>
      <sz val="10"/>
      <name val="Arial Narrow"/>
      <family val="2"/>
    </font>
    <font>
      <vertAlign val="superscript"/>
      <sz val="10"/>
      <name val="Arial Narrow"/>
      <family val="2"/>
    </font>
    <font>
      <b/>
      <sz val="15"/>
      <color theme="1"/>
      <name val="Arial Narrow"/>
      <family val="2"/>
    </font>
    <font>
      <b/>
      <sz val="14"/>
      <color theme="1"/>
      <name val="Arial Narrow"/>
      <family val="2"/>
    </font>
    <font>
      <sz val="14"/>
      <color theme="1"/>
      <name val="Arial Narrow"/>
      <family val="2"/>
    </font>
    <font>
      <sz val="12"/>
      <color theme="1"/>
      <name val="Arial Narrow"/>
      <family val="2"/>
    </font>
    <font>
      <b/>
      <sz val="12"/>
      <color theme="1"/>
      <name val="Arial Narrow"/>
      <family val="2"/>
    </font>
    <font>
      <b/>
      <sz val="8"/>
      <color theme="1"/>
      <name val="Arial Narrow"/>
      <family val="2"/>
    </font>
    <font>
      <sz val="16"/>
      <color theme="1"/>
      <name val="Arial Narrow"/>
      <family val="2"/>
    </font>
    <font>
      <b/>
      <sz val="18"/>
      <color theme="1"/>
      <name val="Arial Narrow"/>
      <family val="2"/>
    </font>
    <font>
      <b/>
      <sz val="13"/>
      <color theme="1"/>
      <name val="Arial Narrow"/>
      <family val="2"/>
    </font>
    <font>
      <sz val="11"/>
      <color rgb="FF000000"/>
      <name val="Arial Narrow"/>
      <family val="2"/>
    </font>
    <font>
      <b/>
      <sz val="10"/>
      <color theme="1"/>
      <name val="Arial Narrow"/>
      <family val="2"/>
    </font>
    <font>
      <b/>
      <sz val="15"/>
      <color theme="1"/>
      <name val="Calibri"/>
      <family val="2"/>
      <scheme val="minor"/>
    </font>
    <font>
      <b/>
      <sz val="16"/>
      <color theme="1"/>
      <name val="Arial Narrow"/>
      <family val="2"/>
    </font>
    <font>
      <sz val="13"/>
      <color theme="1"/>
      <name val="Arial Narrow"/>
      <family val="2"/>
    </font>
    <font>
      <b/>
      <sz val="13"/>
      <color rgb="FF000000"/>
      <name val="Arial Narrow"/>
      <family val="2"/>
    </font>
    <font>
      <sz val="10"/>
      <color rgb="FF000000"/>
      <name val="Arial Narrow"/>
      <family val="2"/>
    </font>
    <font>
      <b/>
      <sz val="10"/>
      <color rgb="FF000000"/>
      <name val="Arial Narrow"/>
      <family val="2"/>
    </font>
    <font>
      <b/>
      <sz val="11"/>
      <color theme="1"/>
      <name val="Calibri"/>
      <family val="2"/>
      <scheme val="minor"/>
    </font>
    <font>
      <sz val="8"/>
      <color theme="1"/>
      <name val="Calibri"/>
      <family val="2"/>
      <scheme val="minor"/>
    </font>
    <font>
      <sz val="17"/>
      <color rgb="FFFF0000"/>
      <name val="Arial Narrow"/>
      <family val="2"/>
    </font>
    <font>
      <sz val="15"/>
      <color rgb="FFFF0000"/>
      <name val="Arial Narrow"/>
      <family val="2"/>
    </font>
    <font>
      <i/>
      <sz val="10"/>
      <color theme="1"/>
      <name val="Arial Narrow"/>
      <family val="2"/>
    </font>
    <font>
      <sz val="10"/>
      <color theme="0"/>
      <name val="Arial Narrow"/>
      <family val="2"/>
    </font>
    <font>
      <sz val="13"/>
      <color theme="1"/>
      <name val="Calibri"/>
      <family val="2"/>
      <scheme val="minor"/>
    </font>
    <font>
      <b/>
      <sz val="13"/>
      <color theme="1"/>
      <name val="Calibri"/>
      <family val="2"/>
      <scheme val="minor"/>
    </font>
    <font>
      <sz val="12"/>
      <color theme="1"/>
      <name val="Calibri"/>
      <family val="2"/>
      <scheme val="minor"/>
    </font>
    <font>
      <b/>
      <sz val="11"/>
      <color theme="1"/>
      <name val="Arial Narrow"/>
      <family val="2"/>
    </font>
    <font>
      <sz val="9"/>
      <color theme="1"/>
      <name val="Calibri"/>
      <family val="2"/>
      <scheme val="minor"/>
    </font>
    <font>
      <b/>
      <sz val="20"/>
      <color theme="1"/>
      <name val="Arial Narrow"/>
      <family val="2"/>
    </font>
    <font>
      <sz val="11"/>
      <color rgb="FFFF0000"/>
      <name val="Arial Narrow"/>
      <family val="2"/>
    </font>
    <font>
      <sz val="6"/>
      <color theme="0"/>
      <name val="Calibri"/>
      <family val="2"/>
      <scheme val="minor"/>
    </font>
    <font>
      <sz val="10"/>
      <color rgb="FF000000"/>
      <name val="Calibri"/>
      <family val="2"/>
    </font>
    <font>
      <sz val="8"/>
      <color rgb="FFFF0000"/>
      <name val="Arial Narrow"/>
      <family val="2"/>
    </font>
    <font>
      <sz val="10"/>
      <color rgb="FFFF0000"/>
      <name val="Arial Narrow"/>
      <family val="2"/>
    </font>
    <font>
      <sz val="12"/>
      <color rgb="FFFF0000"/>
      <name val="Arial Narrow"/>
      <family val="2"/>
    </font>
    <font>
      <sz val="6"/>
      <color rgb="FFFF0000"/>
      <name val="Arial Narrow"/>
      <family val="2"/>
    </font>
    <font>
      <sz val="14"/>
      <color rgb="FFFF0000"/>
      <name val="Arial Narrow"/>
      <family val="2"/>
    </font>
    <font>
      <sz val="11"/>
      <color theme="0"/>
      <name val="Calibri"/>
      <family val="2"/>
      <scheme val="minor"/>
    </font>
    <font>
      <sz val="8"/>
      <color rgb="FF000000"/>
      <name val="Calibri"/>
      <family val="2"/>
    </font>
    <font>
      <sz val="8"/>
      <color rgb="FF000000"/>
      <name val="Arial Narrow"/>
      <family val="2"/>
    </font>
    <font>
      <b/>
      <sz val="16"/>
      <color theme="1"/>
      <name val="Calibri"/>
      <family val="2"/>
      <scheme val="minor"/>
    </font>
    <font>
      <sz val="16"/>
      <color theme="1"/>
      <name val="Calibri"/>
      <family val="2"/>
      <scheme val="minor"/>
    </font>
    <font>
      <sz val="18"/>
      <color theme="1"/>
      <name val="Calibri"/>
      <family val="2"/>
      <scheme val="minor"/>
    </font>
    <font>
      <b/>
      <sz val="18"/>
      <color theme="1"/>
      <name val="Calibri"/>
      <family val="2"/>
      <scheme val="minor"/>
    </font>
    <font>
      <sz val="8"/>
      <color theme="0"/>
      <name val="Arial Narrow"/>
      <family val="2"/>
    </font>
  </fonts>
  <fills count="25">
    <fill>
      <patternFill patternType="none"/>
    </fill>
    <fill>
      <patternFill patternType="gray125"/>
    </fill>
    <fill>
      <patternFill patternType="solid">
        <fgColor theme="8" tint="0.7999816888943144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4"/>
        <bgColor indexed="64"/>
      </patternFill>
    </fill>
    <fill>
      <patternFill patternType="solid">
        <fgColor theme="5" tint="0.39997558519241921"/>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D0CECE"/>
        <bgColor indexed="64"/>
      </patternFill>
    </fill>
    <fill>
      <patternFill patternType="solid">
        <fgColor rgb="FFD9E1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s>
  <cellStyleXfs count="43">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619">
    <xf numFmtId="0" fontId="0" fillId="0" borderId="0" xfId="0"/>
    <xf numFmtId="0" fontId="0" fillId="0" borderId="0" xfId="0" applyAlignment="1">
      <alignment wrapText="1"/>
    </xf>
    <xf numFmtId="0" fontId="0" fillId="0" borderId="0" xfId="0" applyFill="1" applyAlignment="1">
      <alignment wrapText="1"/>
    </xf>
    <xf numFmtId="0" fontId="0" fillId="0" borderId="0" xfId="0" applyFill="1"/>
    <xf numFmtId="0" fontId="0" fillId="0" borderId="0" xfId="0"/>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xf numFmtId="0" fontId="5" fillId="0" borderId="0" xfId="0" applyFont="1" applyAlignment="1">
      <alignment wrapText="1"/>
    </xf>
    <xf numFmtId="0" fontId="0" fillId="0" borderId="0" xfId="0"/>
    <xf numFmtId="0" fontId="1" fillId="0" borderId="0" xfId="0" applyFont="1"/>
    <xf numFmtId="0" fontId="5" fillId="0" borderId="0" xfId="0" applyFont="1" applyFill="1" applyBorder="1" applyAlignment="1">
      <alignment horizontal="center" vertical="center"/>
    </xf>
    <xf numFmtId="43" fontId="5" fillId="0" borderId="0" xfId="0" applyNumberFormat="1" applyFont="1" applyFill="1" applyBorder="1" applyAlignment="1">
      <alignment horizontal="center" vertical="center"/>
    </xf>
    <xf numFmtId="43" fontId="5" fillId="0" borderId="0" xfId="4" applyFont="1" applyFill="1" applyBorder="1" applyAlignment="1">
      <alignment horizontal="center" vertical="center"/>
    </xf>
    <xf numFmtId="2" fontId="3" fillId="0" borderId="1" xfId="0" applyNumberFormat="1" applyFont="1" applyFill="1" applyBorder="1" applyAlignment="1">
      <alignment horizontal="right" vertical="center"/>
    </xf>
    <xf numFmtId="164" fontId="3" fillId="0" borderId="1" xfId="1" applyNumberFormat="1" applyFont="1" applyFill="1" applyBorder="1" applyAlignment="1">
      <alignment horizontal="center" vertical="center"/>
    </xf>
    <xf numFmtId="0" fontId="0" fillId="0" borderId="1" xfId="0" applyBorder="1"/>
    <xf numFmtId="0" fontId="0" fillId="4" borderId="1" xfId="0" applyFill="1" applyBorder="1"/>
    <xf numFmtId="0" fontId="3" fillId="0" borderId="0" xfId="0" applyFont="1" applyFill="1" applyBorder="1" applyAlignment="1">
      <alignment horizontal="left" vertical="center" wrapText="1"/>
    </xf>
    <xf numFmtId="0" fontId="1" fillId="4" borderId="1" xfId="0" applyFont="1" applyFill="1" applyBorder="1"/>
    <xf numFmtId="165" fontId="3" fillId="0" borderId="1" xfId="1" applyNumberFormat="1" applyFont="1" applyFill="1" applyBorder="1" applyAlignment="1">
      <alignment horizontal="center" vertical="center" wrapText="1"/>
    </xf>
    <xf numFmtId="43" fontId="3" fillId="0" borderId="0" xfId="1" applyFont="1" applyFill="1" applyBorder="1" applyAlignment="1">
      <alignment horizontal="center" vertical="center" wrapText="1"/>
    </xf>
    <xf numFmtId="0" fontId="0" fillId="0" borderId="0" xfId="0" applyFill="1" applyBorder="1"/>
    <xf numFmtId="0" fontId="3" fillId="0" borderId="0" xfId="0" applyFont="1" applyFill="1" applyBorder="1" applyAlignment="1">
      <alignment horizontal="center" vertical="center"/>
    </xf>
    <xf numFmtId="43" fontId="3" fillId="0" borderId="0" xfId="0" applyNumberFormat="1" applyFont="1" applyFill="1" applyBorder="1" applyAlignment="1">
      <alignment horizontal="center" vertical="center"/>
    </xf>
    <xf numFmtId="43" fontId="3" fillId="0" borderId="0" xfId="1" applyFont="1" applyFill="1" applyBorder="1" applyAlignment="1">
      <alignment horizontal="center" vertical="center"/>
    </xf>
    <xf numFmtId="0" fontId="10" fillId="0" borderId="0" xfId="0" applyFont="1" applyAlignment="1">
      <alignment horizontal="center" vertical="center"/>
    </xf>
    <xf numFmtId="43" fontId="10" fillId="0" borderId="0" xfId="0" applyNumberFormat="1" applyFont="1" applyAlignment="1">
      <alignment horizontal="center" vertical="center"/>
    </xf>
    <xf numFmtId="0" fontId="4" fillId="0" borderId="0" xfId="0" applyFont="1"/>
    <xf numFmtId="43" fontId="14" fillId="0" borderId="0" xfId="0" applyNumberFormat="1" applyFont="1" applyAlignment="1">
      <alignment vertical="center"/>
    </xf>
    <xf numFmtId="0" fontId="11" fillId="0" borderId="0" xfId="0" applyFont="1"/>
    <xf numFmtId="43" fontId="15" fillId="0" borderId="1" xfId="0" applyNumberFormat="1" applyFont="1" applyBorder="1" applyAlignment="1">
      <alignment vertical="center"/>
    </xf>
    <xf numFmtId="43" fontId="15" fillId="12" borderId="1" xfId="0" applyNumberFormat="1" applyFont="1" applyFill="1" applyBorder="1" applyAlignment="1">
      <alignment vertical="center"/>
    </xf>
    <xf numFmtId="2" fontId="11" fillId="0" borderId="0" xfId="0" applyNumberFormat="1" applyFont="1"/>
    <xf numFmtId="43" fontId="11" fillId="0" borderId="0" xfId="0" applyNumberFormat="1" applyFont="1"/>
    <xf numFmtId="43" fontId="4" fillId="0" borderId="0" xfId="0" applyNumberFormat="1" applyFont="1"/>
    <xf numFmtId="0" fontId="11" fillId="8" borderId="0" xfId="0" applyFont="1" applyFill="1"/>
    <xf numFmtId="43" fontId="11" fillId="8" borderId="0" xfId="0" applyNumberFormat="1" applyFont="1" applyFill="1"/>
    <xf numFmtId="0" fontId="0" fillId="13" borderId="1" xfId="0" applyFill="1" applyBorder="1"/>
    <xf numFmtId="0" fontId="0" fillId="9" borderId="1" xfId="0" applyFill="1" applyBorder="1"/>
    <xf numFmtId="0" fontId="0" fillId="3" borderId="1" xfId="0" applyFill="1" applyBorder="1"/>
    <xf numFmtId="43" fontId="0" fillId="3" borderId="1" xfId="0" applyNumberFormat="1" applyFill="1" applyBorder="1"/>
    <xf numFmtId="0" fontId="10" fillId="9" borderId="0" xfId="0" applyFont="1" applyFill="1" applyBorder="1" applyAlignment="1">
      <alignment vertical="center"/>
    </xf>
    <xf numFmtId="43" fontId="10" fillId="9" borderId="0" xfId="0" applyNumberFormat="1" applyFont="1" applyFill="1" applyBorder="1" applyAlignment="1">
      <alignment horizontal="center" vertical="center"/>
    </xf>
    <xf numFmtId="0" fontId="10" fillId="9" borderId="0" xfId="0" applyFont="1" applyFill="1" applyBorder="1" applyAlignment="1">
      <alignment horizontal="center" vertical="center"/>
    </xf>
    <xf numFmtId="0" fontId="4" fillId="9" borderId="0" xfId="0" applyFont="1" applyFill="1" applyBorder="1"/>
    <xf numFmtId="43" fontId="3" fillId="9" borderId="0" xfId="1" applyFont="1" applyFill="1" applyBorder="1" applyAlignment="1">
      <alignment horizontal="center" vertical="center" wrapText="1"/>
    </xf>
    <xf numFmtId="4" fontId="15" fillId="11" borderId="1" xfId="0" applyNumberFormat="1" applyFont="1" applyFill="1" applyBorder="1" applyAlignment="1">
      <alignment vertical="center"/>
    </xf>
    <xf numFmtId="0" fontId="12" fillId="0" borderId="0" xfId="0" applyFont="1" applyAlignment="1"/>
    <xf numFmtId="4" fontId="0" fillId="0" borderId="0" xfId="0" applyNumberFormat="1" applyAlignment="1">
      <alignment wrapText="1"/>
    </xf>
    <xf numFmtId="4" fontId="0" fillId="0" borderId="0" xfId="0" applyNumberFormat="1"/>
    <xf numFmtId="4" fontId="0" fillId="0" borderId="0" xfId="0" applyNumberFormat="1" applyFill="1" applyBorder="1"/>
    <xf numFmtId="0" fontId="18" fillId="0" borderId="1" xfId="0" applyFont="1" applyBorder="1" applyAlignment="1">
      <alignment horizontal="center" vertical="center"/>
    </xf>
    <xf numFmtId="0" fontId="10" fillId="9" borderId="0" xfId="0" applyFont="1" applyFill="1" applyBorder="1" applyAlignment="1">
      <alignment horizontal="center" vertical="center"/>
    </xf>
    <xf numFmtId="43" fontId="10" fillId="9" borderId="0" xfId="0" applyNumberFormat="1" applyFont="1" applyFill="1" applyBorder="1" applyAlignment="1">
      <alignment horizontal="center" vertical="center"/>
    </xf>
    <xf numFmtId="0" fontId="3" fillId="0" borderId="1" xfId="0" applyFont="1" applyBorder="1" applyAlignment="1">
      <alignment vertical="center" wrapText="1"/>
    </xf>
    <xf numFmtId="43" fontId="3" fillId="0" borderId="1" xfId="0" applyNumberFormat="1" applyFont="1" applyBorder="1" applyAlignment="1">
      <alignment vertical="center" wrapText="1"/>
    </xf>
    <xf numFmtId="164" fontId="3" fillId="0" borderId="1" xfId="1" applyNumberFormat="1" applyFont="1" applyFill="1" applyBorder="1" applyAlignment="1">
      <alignment vertical="center" wrapText="1"/>
    </xf>
    <xf numFmtId="43" fontId="3" fillId="0" borderId="1" xfId="1" applyFont="1" applyFill="1" applyBorder="1" applyAlignment="1">
      <alignment vertical="center" wrapText="1"/>
    </xf>
    <xf numFmtId="43" fontId="3" fillId="0" borderId="1" xfId="1" applyFont="1" applyFill="1" applyBorder="1" applyAlignment="1">
      <alignment vertical="center"/>
    </xf>
    <xf numFmtId="164" fontId="3" fillId="0" borderId="1" xfId="1" applyNumberFormat="1" applyFont="1" applyFill="1" applyBorder="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vertical="center"/>
    </xf>
    <xf numFmtId="43" fontId="7" fillId="0" borderId="1" xfId="1" applyFont="1" applyFill="1" applyBorder="1" applyAlignment="1">
      <alignment vertical="center"/>
    </xf>
    <xf numFmtId="43" fontId="3" fillId="0" borderId="1" xfId="0" applyNumberFormat="1" applyFont="1" applyFill="1" applyBorder="1" applyAlignment="1">
      <alignment vertical="center"/>
    </xf>
    <xf numFmtId="43" fontId="7" fillId="0" borderId="1" xfId="1" applyFont="1" applyFill="1" applyBorder="1" applyAlignment="1">
      <alignment vertical="center" wrapText="1"/>
    </xf>
    <xf numFmtId="0" fontId="1" fillId="0" borderId="1" xfId="0" applyFont="1" applyBorder="1" applyAlignment="1">
      <alignment horizontal="center" vertical="center" wrapText="1"/>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43" fontId="10" fillId="0" borderId="0" xfId="0" applyNumberFormat="1" applyFont="1" applyFill="1" applyBorder="1" applyAlignment="1">
      <alignment horizontal="center" vertical="center"/>
    </xf>
    <xf numFmtId="0" fontId="0" fillId="3" borderId="2" xfId="0" applyFill="1" applyBorder="1"/>
    <xf numFmtId="43" fontId="10" fillId="11" borderId="2" xfId="0" applyNumberFormat="1" applyFont="1" applyFill="1" applyBorder="1"/>
    <xf numFmtId="43" fontId="0" fillId="4" borderId="8" xfId="0" applyNumberFormat="1" applyFill="1" applyBorder="1" applyAlignment="1">
      <alignment wrapText="1"/>
    </xf>
    <xf numFmtId="0" fontId="3" fillId="0" borderId="1" xfId="0" applyFont="1" applyFill="1" applyBorder="1" applyAlignment="1">
      <alignment vertical="center"/>
    </xf>
    <xf numFmtId="43" fontId="3" fillId="0" borderId="1" xfId="1" applyFont="1" applyFill="1" applyBorder="1" applyAlignment="1">
      <alignment wrapText="1"/>
    </xf>
    <xf numFmtId="0" fontId="3" fillId="5" borderId="27" xfId="0" applyFont="1" applyFill="1" applyBorder="1" applyAlignment="1">
      <alignment horizontal="center" vertical="center"/>
    </xf>
    <xf numFmtId="0" fontId="3" fillId="5" borderId="28"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0" borderId="9" xfId="0" applyFont="1" applyBorder="1" applyAlignment="1">
      <alignment vertical="center"/>
    </xf>
    <xf numFmtId="0" fontId="0" fillId="0" borderId="8" xfId="0" applyFill="1" applyBorder="1"/>
    <xf numFmtId="0" fontId="3" fillId="0" borderId="9" xfId="0" applyFont="1" applyFill="1" applyBorder="1" applyAlignment="1">
      <alignment vertical="center"/>
    </xf>
    <xf numFmtId="2" fontId="3" fillId="0" borderId="9" xfId="0" applyNumberFormat="1" applyFont="1" applyFill="1" applyBorder="1" applyAlignment="1">
      <alignment vertical="center"/>
    </xf>
    <xf numFmtId="0" fontId="0" fillId="11" borderId="2" xfId="0" applyFill="1" applyBorder="1"/>
    <xf numFmtId="2" fontId="3" fillId="0" borderId="10" xfId="0" applyNumberFormat="1" applyFont="1" applyBorder="1" applyAlignment="1">
      <alignment vertical="center"/>
    </xf>
    <xf numFmtId="0" fontId="3" fillId="0" borderId="6" xfId="0" applyFont="1" applyBorder="1" applyAlignment="1">
      <alignment vertical="center"/>
    </xf>
    <xf numFmtId="43" fontId="3" fillId="9" borderId="6" xfId="1" applyFont="1" applyFill="1" applyBorder="1" applyAlignment="1">
      <alignment vertical="center"/>
    </xf>
    <xf numFmtId="43" fontId="11" fillId="9" borderId="0" xfId="0" applyNumberFormat="1" applyFont="1" applyFill="1" applyBorder="1" applyAlignment="1">
      <alignment vertical="center"/>
    </xf>
    <xf numFmtId="0" fontId="11" fillId="9" borderId="0" xfId="0" applyFont="1" applyFill="1" applyBorder="1" applyAlignment="1">
      <alignment vertical="center"/>
    </xf>
    <xf numFmtId="0" fontId="5" fillId="10" borderId="23" xfId="0" applyFont="1" applyFill="1" applyBorder="1" applyAlignment="1">
      <alignment vertical="center"/>
    </xf>
    <xf numFmtId="0" fontId="5" fillId="9" borderId="13" xfId="0" applyFont="1" applyFill="1" applyBorder="1" applyAlignment="1">
      <alignment vertical="center"/>
    </xf>
    <xf numFmtId="0" fontId="5" fillId="9" borderId="12" xfId="0" applyFont="1" applyFill="1" applyBorder="1" applyAlignment="1">
      <alignment vertical="center"/>
    </xf>
    <xf numFmtId="0" fontId="20" fillId="0" borderId="0" xfId="0" applyFont="1" applyFill="1" applyBorder="1" applyAlignment="1">
      <alignment vertical="center"/>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1" fillId="0" borderId="9" xfId="0" applyFont="1" applyBorder="1" applyAlignment="1">
      <alignment horizontal="center" vertical="center"/>
    </xf>
    <xf numFmtId="0" fontId="1" fillId="7" borderId="1"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1" xfId="0" applyFont="1" applyFill="1" applyBorder="1" applyAlignment="1">
      <alignment horizontal="center" vertical="center" wrapText="1"/>
    </xf>
    <xf numFmtId="43" fontId="17" fillId="4" borderId="17" xfId="0" applyNumberFormat="1" applyFont="1" applyFill="1" applyBorder="1" applyAlignment="1">
      <alignment horizontal="center" vertical="center"/>
    </xf>
    <xf numFmtId="43" fontId="17" fillId="4" borderId="17" xfId="0" applyNumberFormat="1" applyFont="1" applyFill="1" applyBorder="1" applyAlignment="1">
      <alignment vertical="center"/>
    </xf>
    <xf numFmtId="43" fontId="23" fillId="4" borderId="17" xfId="1" applyFont="1" applyFill="1" applyBorder="1" applyAlignment="1">
      <alignment horizontal="center" vertical="center"/>
    </xf>
    <xf numFmtId="0" fontId="1" fillId="7" borderId="8" xfId="0" applyFont="1" applyFill="1" applyBorder="1" applyAlignment="1">
      <alignment horizontal="center" vertical="center" wrapText="1"/>
    </xf>
    <xf numFmtId="0" fontId="18" fillId="4" borderId="27" xfId="0" applyFont="1" applyFill="1" applyBorder="1" applyAlignment="1">
      <alignment horizontal="center" vertical="center"/>
    </xf>
    <xf numFmtId="0" fontId="18" fillId="4" borderId="28"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9" xfId="0" applyFont="1" applyBorder="1"/>
    <xf numFmtId="43" fontId="10" fillId="14" borderId="24" xfId="0" applyNumberFormat="1" applyFont="1" applyFill="1" applyBorder="1"/>
    <xf numFmtId="43" fontId="17" fillId="14" borderId="17" xfId="0" applyNumberFormat="1" applyFont="1" applyFill="1" applyBorder="1" applyAlignment="1">
      <alignment vertical="center"/>
    </xf>
    <xf numFmtId="0" fontId="3" fillId="0" borderId="1" xfId="0" applyFont="1" applyFill="1" applyBorder="1" applyAlignment="1">
      <alignment vertical="center"/>
    </xf>
    <xf numFmtId="43" fontId="3" fillId="0" borderId="1" xfId="1" applyFont="1" applyFill="1" applyBorder="1" applyAlignment="1">
      <alignment vertical="center"/>
    </xf>
    <xf numFmtId="43" fontId="18" fillId="0" borderId="1" xfId="1" applyFont="1" applyFill="1" applyBorder="1" applyAlignment="1">
      <alignment horizontal="center" vertical="center"/>
    </xf>
    <xf numFmtId="0" fontId="0" fillId="0" borderId="0" xfId="0"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43" fontId="3" fillId="0" borderId="1" xfId="1" applyFont="1" applyFill="1" applyBorder="1" applyAlignment="1">
      <alignment horizontal="right" vertical="center" wrapText="1"/>
    </xf>
    <xf numFmtId="43" fontId="3" fillId="0" borderId="1" xfId="1" applyFont="1" applyBorder="1" applyAlignment="1">
      <alignment horizontal="right" vertical="center" wrapText="1"/>
    </xf>
    <xf numFmtId="43" fontId="3" fillId="9" borderId="1" xfId="1" applyFont="1" applyFill="1" applyBorder="1" applyAlignment="1">
      <alignment horizontal="center" vertical="center" wrapText="1"/>
    </xf>
    <xf numFmtId="43" fontId="11" fillId="11" borderId="29" xfId="1" applyFont="1" applyFill="1" applyBorder="1" applyAlignment="1">
      <alignment vertical="center"/>
    </xf>
    <xf numFmtId="43" fontId="12" fillId="9" borderId="8" xfId="1" applyFont="1" applyFill="1" applyBorder="1" applyAlignment="1">
      <alignment vertical="center"/>
    </xf>
    <xf numFmtId="43" fontId="13" fillId="12" borderId="17" xfId="0" applyNumberFormat="1" applyFont="1" applyFill="1" applyBorder="1" applyAlignment="1">
      <alignment vertical="center"/>
    </xf>
    <xf numFmtId="43" fontId="3" fillId="0" borderId="1" xfId="1" applyFont="1" applyBorder="1" applyAlignment="1">
      <alignment horizontal="right" vertical="center"/>
    </xf>
    <xf numFmtId="43" fontId="3" fillId="0" borderId="1" xfId="1" applyFont="1" applyBorder="1" applyAlignment="1">
      <alignment horizontal="center" vertical="center"/>
    </xf>
    <xf numFmtId="43" fontId="3" fillId="0" borderId="1" xfId="1" applyFont="1" applyBorder="1" applyAlignment="1">
      <alignment horizontal="center" vertical="center" wrapText="1"/>
    </xf>
    <xf numFmtId="43" fontId="3" fillId="0" borderId="1" xfId="1" applyFont="1" applyFill="1" applyBorder="1" applyAlignment="1">
      <alignment horizontal="center" vertical="center"/>
    </xf>
    <xf numFmtId="43" fontId="3" fillId="0" borderId="9" xfId="1" applyFont="1" applyBorder="1" applyAlignment="1">
      <alignment horizontal="center" vertical="center" wrapText="1"/>
    </xf>
    <xf numFmtId="43" fontId="3" fillId="0" borderId="8" xfId="1" applyFont="1" applyBorder="1" applyAlignment="1">
      <alignment horizontal="center" vertical="center"/>
    </xf>
    <xf numFmtId="43" fontId="3" fillId="0" borderId="2" xfId="1" applyFont="1" applyBorder="1" applyAlignment="1">
      <alignment horizontal="center" vertical="center"/>
    </xf>
    <xf numFmtId="4" fontId="3" fillId="0" borderId="1" xfId="0" applyNumberFormat="1" applyFont="1" applyBorder="1" applyAlignment="1">
      <alignment horizontal="center" vertical="center" wrapText="1"/>
    </xf>
    <xf numFmtId="43" fontId="3" fillId="0" borderId="7" xfId="1" applyFont="1" applyBorder="1" applyAlignment="1">
      <alignment horizontal="center" vertical="center"/>
    </xf>
    <xf numFmtId="43" fontId="7" fillId="9" borderId="1" xfId="1" applyFont="1" applyFill="1" applyBorder="1" applyAlignment="1">
      <alignment horizontal="center" vertical="center" wrapText="1"/>
    </xf>
    <xf numFmtId="43" fontId="7" fillId="9" borderId="1" xfId="0" applyNumberFormat="1" applyFont="1" applyFill="1" applyBorder="1" applyAlignment="1">
      <alignment horizontal="center" vertical="center"/>
    </xf>
    <xf numFmtId="43" fontId="7" fillId="9" borderId="1" xfId="1" applyFont="1" applyFill="1" applyBorder="1" applyAlignment="1">
      <alignment horizontal="center" vertical="center"/>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xf>
    <xf numFmtId="0" fontId="0" fillId="21" borderId="1" xfId="0" applyFill="1" applyBorder="1" applyAlignment="1">
      <alignment horizontal="center" vertical="center"/>
    </xf>
    <xf numFmtId="0" fontId="0" fillId="2" borderId="2" xfId="0" applyFill="1" applyBorder="1"/>
    <xf numFmtId="0" fontId="0" fillId="2" borderId="1" xfId="0" applyFill="1" applyBorder="1"/>
    <xf numFmtId="0" fontId="26" fillId="20" borderId="1" xfId="0" applyFont="1" applyFill="1" applyBorder="1" applyAlignment="1">
      <alignment horizontal="center" vertical="center"/>
    </xf>
    <xf numFmtId="0" fontId="26" fillId="0" borderId="0" xfId="0" applyFont="1" applyFill="1" applyBorder="1"/>
    <xf numFmtId="0" fontId="26" fillId="0" borderId="0" xfId="0" applyFont="1" applyBorder="1"/>
    <xf numFmtId="0" fontId="26" fillId="20" borderId="1" xfId="0" applyFont="1" applyFill="1" applyBorder="1"/>
    <xf numFmtId="0" fontId="26" fillId="21" borderId="1" xfId="0" applyFont="1" applyFill="1" applyBorder="1" applyAlignment="1">
      <alignment horizontal="center" vertical="center" wrapText="1"/>
    </xf>
    <xf numFmtId="0" fontId="26" fillId="21" borderId="1" xfId="0" applyFont="1" applyFill="1" applyBorder="1" applyAlignment="1">
      <alignment horizontal="center" vertical="center"/>
    </xf>
    <xf numFmtId="0" fontId="24" fillId="0" borderId="9" xfId="0" applyFont="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7" fillId="0" borderId="1" xfId="0" applyFont="1" applyBorder="1" applyAlignment="1">
      <alignment horizontal="center" vertical="center" wrapText="1"/>
    </xf>
    <xf numFmtId="1" fontId="0" fillId="0" borderId="1" xfId="0" applyNumberFormat="1" applyBorder="1" applyAlignment="1">
      <alignment horizontal="center" vertical="center"/>
    </xf>
    <xf numFmtId="2" fontId="3" fillId="0" borderId="1" xfId="0" applyNumberFormat="1" applyFont="1" applyBorder="1" applyAlignment="1">
      <alignment vertical="center"/>
    </xf>
    <xf numFmtId="0" fontId="3" fillId="0" borderId="1" xfId="0" applyFont="1" applyFill="1" applyBorder="1" applyAlignment="1">
      <alignment vertical="center"/>
    </xf>
    <xf numFmtId="43" fontId="3" fillId="0" borderId="1" xfId="1" applyFont="1" applyFill="1" applyBorder="1" applyAlignment="1">
      <alignment vertical="center"/>
    </xf>
    <xf numFmtId="43" fontId="7" fillId="0" borderId="1" xfId="1" applyFont="1" applyFill="1" applyBorder="1" applyAlignment="1">
      <alignment horizontal="right" vertical="center"/>
    </xf>
    <xf numFmtId="43" fontId="3" fillId="0" borderId="1" xfId="1" applyFont="1" applyFill="1" applyBorder="1" applyAlignment="1">
      <alignment horizontal="right" vertical="center"/>
    </xf>
    <xf numFmtId="4" fontId="3" fillId="0" borderId="1" xfId="0" applyNumberFormat="1" applyFont="1" applyFill="1" applyBorder="1" applyAlignment="1">
      <alignment horizontal="center" vertical="center" wrapText="1"/>
    </xf>
    <xf numFmtId="43" fontId="7" fillId="0" borderId="1" xfId="1" applyFont="1" applyFill="1" applyBorder="1" applyAlignment="1">
      <alignment horizontal="right" vertical="center" wrapText="1"/>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1" fillId="0" borderId="1" xfId="0" applyFont="1" applyBorder="1" applyAlignment="1">
      <alignment horizontal="center" wrapText="1"/>
    </xf>
    <xf numFmtId="43" fontId="3" fillId="0" borderId="1" xfId="1" applyFont="1" applyFill="1" applyBorder="1" applyAlignment="1">
      <alignment vertical="center"/>
    </xf>
    <xf numFmtId="43" fontId="7" fillId="0" borderId="1" xfId="1" applyFont="1" applyFill="1" applyBorder="1" applyAlignment="1">
      <alignment vertical="center"/>
    </xf>
    <xf numFmtId="0" fontId="3" fillId="0" borderId="1" xfId="0" applyFont="1" applyBorder="1" applyAlignment="1">
      <alignment vertical="center" wrapText="1"/>
    </xf>
    <xf numFmtId="0" fontId="24" fillId="0" borderId="9" xfId="0" applyFont="1" applyBorder="1" applyAlignment="1">
      <alignment horizontal="center" vertical="center"/>
    </xf>
    <xf numFmtId="165" fontId="3" fillId="0" borderId="1" xfId="1" applyNumberFormat="1" applyFont="1" applyBorder="1" applyAlignment="1">
      <alignment horizontal="center" vertical="center" wrapText="1"/>
    </xf>
    <xf numFmtId="0" fontId="18" fillId="19" borderId="42" xfId="0" applyFont="1" applyFill="1" applyBorder="1" applyAlignment="1">
      <alignment horizontal="center" vertical="center" wrapText="1"/>
    </xf>
    <xf numFmtId="0" fontId="25" fillId="0" borderId="41" xfId="0" applyFont="1" applyBorder="1" applyAlignment="1">
      <alignment horizontal="left" vertical="center"/>
    </xf>
    <xf numFmtId="0" fontId="18" fillId="0" borderId="42" xfId="0" applyFont="1" applyFill="1" applyBorder="1" applyAlignment="1">
      <alignment horizontal="center" vertical="center"/>
    </xf>
    <xf numFmtId="0" fontId="18" fillId="0" borderId="41" xfId="0" applyFont="1" applyFill="1" applyBorder="1" applyAlignment="1">
      <alignment horizontal="center" vertical="center"/>
    </xf>
    <xf numFmtId="43" fontId="10" fillId="4" borderId="42" xfId="0" applyNumberFormat="1" applyFont="1" applyFill="1" applyBorder="1"/>
    <xf numFmtId="0" fontId="0" fillId="0" borderId="1" xfId="0" applyFill="1" applyBorder="1"/>
    <xf numFmtId="43" fontId="3" fillId="0" borderId="1" xfId="0" applyNumberFormat="1" applyFont="1" applyBorder="1" applyAlignment="1">
      <alignment vertical="center"/>
    </xf>
    <xf numFmtId="0" fontId="3" fillId="0" borderId="1" xfId="0" applyFont="1" applyBorder="1" applyAlignment="1">
      <alignment vertical="center"/>
    </xf>
    <xf numFmtId="43" fontId="10" fillId="0" borderId="1" xfId="0" applyNumberFormat="1" applyFont="1" applyFill="1" applyBorder="1"/>
    <xf numFmtId="43" fontId="3" fillId="0" borderId="1" xfId="1" applyFont="1" applyFill="1" applyBorder="1" applyAlignment="1">
      <alignment horizontal="center" vertical="center" wrapText="1"/>
    </xf>
    <xf numFmtId="43" fontId="3" fillId="0" borderId="1" xfId="1" applyFont="1" applyFill="1" applyBorder="1" applyAlignment="1">
      <alignment vertical="center"/>
    </xf>
    <xf numFmtId="43" fontId="7" fillId="0" borderId="1" xfId="1" applyFont="1" applyFill="1" applyBorder="1" applyAlignment="1">
      <alignment vertical="center"/>
    </xf>
    <xf numFmtId="43" fontId="3" fillId="0" borderId="2" xfId="1" applyFont="1" applyFill="1" applyBorder="1" applyAlignment="1">
      <alignment horizontal="center" vertical="center" wrapText="1"/>
    </xf>
    <xf numFmtId="43" fontId="7" fillId="0" borderId="1" xfId="1" applyFont="1" applyFill="1" applyBorder="1" applyAlignment="1">
      <alignment horizontal="center" vertical="center" wrapText="1"/>
    </xf>
    <xf numFmtId="43" fontId="31" fillId="0" borderId="0" xfId="1" applyFont="1" applyFill="1" applyBorder="1" applyAlignment="1">
      <alignment horizontal="center" vertical="center" wrapText="1"/>
    </xf>
    <xf numFmtId="0" fontId="3" fillId="0" borderId="1" xfId="0" applyFont="1" applyFill="1" applyBorder="1" applyAlignment="1">
      <alignment horizontal="center" vertical="center"/>
    </xf>
    <xf numFmtId="0" fontId="3" fillId="5" borderId="1" xfId="0" applyFont="1" applyFill="1" applyBorder="1" applyAlignment="1">
      <alignment horizontal="center" vertical="center" wrapText="1"/>
    </xf>
    <xf numFmtId="43" fontId="3" fillId="0" borderId="1" xfId="1"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Border="1" applyAlignment="1">
      <alignment horizontal="center" vertical="center"/>
    </xf>
    <xf numFmtId="43" fontId="3" fillId="0" borderId="1" xfId="1" applyFont="1" applyBorder="1" applyAlignment="1">
      <alignment horizontal="center" vertical="center" wrapText="1"/>
    </xf>
    <xf numFmtId="0" fontId="1" fillId="0" borderId="1" xfId="0" applyFont="1" applyBorder="1" applyAlignment="1">
      <alignment horizontal="center"/>
    </xf>
    <xf numFmtId="0" fontId="3" fillId="5" borderId="1" xfId="0" applyFont="1" applyFill="1" applyBorder="1" applyAlignment="1">
      <alignment horizontal="center" vertical="center"/>
    </xf>
    <xf numFmtId="43" fontId="0" fillId="4" borderId="1" xfId="0" applyNumberFormat="1" applyFont="1" applyFill="1" applyBorder="1" applyAlignment="1">
      <alignment wrapText="1"/>
    </xf>
    <xf numFmtId="0" fontId="0" fillId="0" borderId="1" xfId="0" applyFont="1" applyBorder="1" applyAlignment="1">
      <alignment wrapText="1"/>
    </xf>
    <xf numFmtId="0" fontId="0" fillId="0" borderId="1" xfId="0" applyFont="1" applyFill="1" applyBorder="1" applyAlignment="1">
      <alignment wrapText="1"/>
    </xf>
    <xf numFmtId="43" fontId="0" fillId="0" borderId="1" xfId="0" applyNumberFormat="1" applyFont="1" applyFill="1" applyBorder="1"/>
    <xf numFmtId="0" fontId="3" fillId="0" borderId="1" xfId="0" applyFont="1" applyBorder="1" applyAlignment="1">
      <alignment horizontal="center" vertical="center" wrapText="1"/>
    </xf>
    <xf numFmtId="0" fontId="0" fillId="0" borderId="1" xfId="0" applyFont="1" applyFill="1" applyBorder="1"/>
    <xf numFmtId="43" fontId="20" fillId="12" borderId="1" xfId="0" applyNumberFormat="1" applyFont="1" applyFill="1" applyBorder="1" applyAlignment="1">
      <alignment horizontal="center" vertical="center"/>
    </xf>
    <xf numFmtId="0" fontId="35" fillId="8" borderId="1" xfId="0" applyFont="1" applyFill="1" applyBorder="1" applyAlignment="1">
      <alignment horizontal="center" vertical="center"/>
    </xf>
    <xf numFmtId="0" fontId="1" fillId="12" borderId="1" xfId="0" applyFont="1" applyFill="1" applyBorder="1" applyAlignment="1">
      <alignment horizontal="center"/>
    </xf>
    <xf numFmtId="0" fontId="35" fillId="8" borderId="9" xfId="0" applyFont="1" applyFill="1" applyBorder="1" applyAlignment="1">
      <alignment horizontal="center" vertical="center"/>
    </xf>
    <xf numFmtId="0" fontId="35" fillId="8" borderId="8" xfId="0" applyFont="1" applyFill="1" applyBorder="1" applyAlignment="1">
      <alignment horizontal="center" vertical="center"/>
    </xf>
    <xf numFmtId="0" fontId="0" fillId="0" borderId="9" xfId="0" applyBorder="1"/>
    <xf numFmtId="0" fontId="0" fillId="0" borderId="8" xfId="0" applyBorder="1"/>
    <xf numFmtId="0" fontId="0" fillId="0" borderId="18" xfId="0" applyBorder="1"/>
    <xf numFmtId="0" fontId="0" fillId="0" borderId="16" xfId="0" applyBorder="1"/>
    <xf numFmtId="0" fontId="0" fillId="0" borderId="17" xfId="0" applyBorder="1"/>
    <xf numFmtId="0" fontId="0" fillId="0" borderId="28" xfId="0" applyBorder="1"/>
    <xf numFmtId="0" fontId="0" fillId="24" borderId="28" xfId="0" applyFill="1" applyBorder="1"/>
    <xf numFmtId="0" fontId="0" fillId="0" borderId="29" xfId="0" applyBorder="1"/>
    <xf numFmtId="0" fontId="0" fillId="24" borderId="1" xfId="0" applyFill="1" applyBorder="1"/>
    <xf numFmtId="0" fontId="0" fillId="24" borderId="16" xfId="0" applyFill="1" applyBorder="1"/>
    <xf numFmtId="0" fontId="12" fillId="0" borderId="1" xfId="0" applyFont="1" applyBorder="1" applyAlignment="1">
      <alignment horizontal="left"/>
    </xf>
    <xf numFmtId="43" fontId="3" fillId="0" borderId="1" xfId="1" applyFont="1" applyFill="1" applyBorder="1" applyAlignment="1">
      <alignment horizontal="center" vertical="center" wrapText="1"/>
    </xf>
    <xf numFmtId="43" fontId="3" fillId="0" borderId="1" xfId="1" applyFont="1" applyFill="1" applyBorder="1" applyAlignment="1">
      <alignment horizontal="center"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39" fillId="0" borderId="0" xfId="0" applyFont="1" applyFill="1" applyBorder="1" applyAlignment="1">
      <alignment horizontal="left" vertical="center"/>
    </xf>
    <xf numFmtId="0" fontId="1" fillId="4" borderId="1" xfId="0" applyFont="1" applyFill="1" applyBorder="1" applyAlignment="1">
      <alignment horizontal="center" vertical="center"/>
    </xf>
    <xf numFmtId="0" fontId="1" fillId="4" borderId="3" xfId="0" applyFont="1" applyFill="1" applyBorder="1" applyAlignment="1">
      <alignment horizontal="center" vertical="center"/>
    </xf>
    <xf numFmtId="0" fontId="0" fillId="0" borderId="47" xfId="0" applyBorder="1"/>
    <xf numFmtId="0" fontId="0" fillId="0" borderId="48" xfId="0" applyBorder="1"/>
    <xf numFmtId="0" fontId="0" fillId="0" borderId="49" xfId="0" applyBorder="1"/>
    <xf numFmtId="43" fontId="18" fillId="9" borderId="1" xfId="1" applyFont="1" applyFill="1" applyBorder="1" applyAlignment="1">
      <alignment horizontal="center" vertical="center"/>
    </xf>
    <xf numFmtId="43" fontId="18" fillId="9" borderId="8" xfId="1" applyFont="1" applyFill="1" applyBorder="1" applyAlignment="1">
      <alignment horizontal="center" vertical="center"/>
    </xf>
    <xf numFmtId="0" fontId="41" fillId="0" borderId="0" xfId="0" applyFont="1"/>
    <xf numFmtId="43" fontId="42" fillId="0" borderId="0" xfId="1" applyFont="1" applyFill="1" applyBorder="1" applyAlignment="1">
      <alignment horizontal="center" vertical="center" wrapText="1"/>
    </xf>
    <xf numFmtId="0" fontId="43" fillId="0" borderId="0" xfId="0" applyFont="1" applyAlignment="1"/>
    <xf numFmtId="0" fontId="44" fillId="0" borderId="0" xfId="0" applyFont="1"/>
    <xf numFmtId="0" fontId="44" fillId="0" borderId="0" xfId="0" applyFont="1" applyAlignment="1">
      <alignment horizontal="center" vertical="center"/>
    </xf>
    <xf numFmtId="0" fontId="45" fillId="0" borderId="0" xfId="0" applyFont="1"/>
    <xf numFmtId="43" fontId="44" fillId="0" borderId="0" xfId="0" applyNumberFormat="1" applyFont="1"/>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xf>
    <xf numFmtId="0" fontId="18" fillId="19" borderId="42" xfId="0" applyFont="1" applyFill="1" applyBorder="1" applyAlignment="1">
      <alignment horizontal="center" vertical="center" wrapText="1"/>
    </xf>
    <xf numFmtId="0" fontId="1" fillId="9" borderId="9" xfId="0" applyFont="1" applyFill="1" applyBorder="1" applyAlignment="1">
      <alignment horizontal="center"/>
    </xf>
    <xf numFmtId="0" fontId="1" fillId="9" borderId="1" xfId="0" applyFont="1" applyFill="1" applyBorder="1" applyAlignment="1">
      <alignment horizontal="center"/>
    </xf>
    <xf numFmtId="43" fontId="3" fillId="0" borderId="1" xfId="1" applyFont="1" applyFill="1" applyBorder="1" applyAlignment="1">
      <alignment horizontal="center" vertical="center" wrapText="1"/>
    </xf>
    <xf numFmtId="43" fontId="3" fillId="0" borderId="1" xfId="1" applyFont="1" applyFill="1" applyBorder="1" applyAlignment="1">
      <alignment horizontal="center" vertical="center"/>
    </xf>
    <xf numFmtId="0" fontId="41" fillId="0" borderId="0" xfId="0" applyFont="1" applyFill="1"/>
    <xf numFmtId="0" fontId="45" fillId="0" borderId="0" xfId="0" applyFont="1" applyFill="1"/>
    <xf numFmtId="0" fontId="43" fillId="0" borderId="0" xfId="0" applyFont="1" applyFill="1" applyAlignment="1"/>
    <xf numFmtId="0" fontId="44" fillId="0" borderId="0" xfId="0" applyFont="1" applyFill="1" applyBorder="1" applyAlignment="1">
      <alignment horizontal="center" vertical="center"/>
    </xf>
    <xf numFmtId="43" fontId="45" fillId="0" borderId="0" xfId="0" applyNumberFormat="1" applyFont="1" applyFill="1" applyBorder="1" applyAlignment="1">
      <alignment horizontal="center" vertical="center"/>
    </xf>
    <xf numFmtId="0" fontId="43" fillId="0" borderId="0" xfId="0" applyFont="1" applyFill="1" applyBorder="1" applyAlignment="1">
      <alignment horizontal="center" vertical="center"/>
    </xf>
    <xf numFmtId="0" fontId="44" fillId="0" borderId="0" xfId="0" applyFont="1" applyAlignment="1">
      <alignment wrapText="1"/>
    </xf>
    <xf numFmtId="0" fontId="44" fillId="0" borderId="0" xfId="0" applyFont="1" applyAlignment="1">
      <alignment horizontal="center" vertical="center" wrapText="1"/>
    </xf>
    <xf numFmtId="0" fontId="48" fillId="0" borderId="42" xfId="0" applyFont="1" applyFill="1" applyBorder="1" applyAlignment="1">
      <alignment horizontal="center" vertical="center"/>
    </xf>
    <xf numFmtId="0" fontId="48" fillId="0" borderId="45" xfId="0" applyFont="1" applyFill="1" applyBorder="1" applyAlignment="1">
      <alignment horizontal="center" vertical="center"/>
    </xf>
    <xf numFmtId="0" fontId="24" fillId="0" borderId="42" xfId="0" applyFont="1" applyFill="1" applyBorder="1" applyAlignment="1">
      <alignment horizontal="left" vertical="center" wrapText="1"/>
    </xf>
    <xf numFmtId="0" fontId="48" fillId="0" borderId="35" xfId="0" applyFont="1" applyFill="1" applyBorder="1" applyAlignment="1">
      <alignment horizontal="center" vertical="center"/>
    </xf>
    <xf numFmtId="0" fontId="48" fillId="0" borderId="41" xfId="0" applyFont="1" applyFill="1" applyBorder="1" applyAlignment="1">
      <alignment horizontal="center" vertical="center"/>
    </xf>
    <xf numFmtId="0" fontId="24" fillId="0" borderId="34" xfId="0" applyFont="1" applyFill="1" applyBorder="1" applyAlignment="1">
      <alignment horizontal="left" vertical="center" wrapText="1"/>
    </xf>
    <xf numFmtId="0" fontId="48" fillId="0" borderId="34" xfId="0" applyFont="1" applyFill="1" applyBorder="1" applyAlignment="1">
      <alignment horizontal="center" vertical="center"/>
    </xf>
    <xf numFmtId="0" fontId="48" fillId="0" borderId="43" xfId="0" applyFont="1" applyFill="1" applyBorder="1" applyAlignment="1">
      <alignment horizontal="center" vertical="center"/>
    </xf>
    <xf numFmtId="0" fontId="48" fillId="0" borderId="44" xfId="0" applyFont="1" applyFill="1" applyBorder="1" applyAlignment="1">
      <alignment horizontal="center" vertical="center"/>
    </xf>
    <xf numFmtId="0" fontId="24" fillId="0" borderId="39" xfId="0" applyFont="1" applyFill="1" applyBorder="1" applyAlignment="1">
      <alignment horizontal="left" vertical="center" wrapText="1"/>
    </xf>
    <xf numFmtId="0" fontId="48" fillId="0" borderId="39" xfId="0" applyFont="1" applyFill="1" applyBorder="1" applyAlignment="1">
      <alignment horizontal="center" vertical="center"/>
    </xf>
    <xf numFmtId="0" fontId="48" fillId="0" borderId="38" xfId="0" applyFont="1" applyFill="1" applyBorder="1" applyAlignment="1">
      <alignment horizontal="center" vertical="center"/>
    </xf>
    <xf numFmtId="0" fontId="48" fillId="0" borderId="37" xfId="0" applyFont="1" applyFill="1" applyBorder="1" applyAlignment="1">
      <alignment horizontal="center" vertical="center"/>
    </xf>
    <xf numFmtId="0" fontId="24" fillId="0" borderId="42" xfId="0" applyFont="1" applyFill="1" applyBorder="1" applyAlignment="1">
      <alignment horizontal="left" vertical="center"/>
    </xf>
    <xf numFmtId="0" fontId="24" fillId="0" borderId="24" xfId="0" applyFont="1" applyFill="1" applyBorder="1" applyAlignment="1">
      <alignment horizontal="left" vertical="center"/>
    </xf>
    <xf numFmtId="0" fontId="24" fillId="0" borderId="34" xfId="0" applyFont="1" applyFill="1" applyBorder="1" applyAlignment="1">
      <alignment horizontal="left" vertical="center"/>
    </xf>
    <xf numFmtId="0" fontId="24" fillId="0" borderId="24" xfId="0" applyFont="1" applyFill="1" applyBorder="1" applyAlignment="1">
      <alignment horizontal="left" vertical="center" wrapText="1"/>
    </xf>
    <xf numFmtId="0" fontId="24" fillId="0" borderId="45" xfId="0" applyFont="1" applyFill="1" applyBorder="1" applyAlignment="1">
      <alignment horizontal="left" vertical="center"/>
    </xf>
    <xf numFmtId="0" fontId="24" fillId="0" borderId="45" xfId="0" applyFont="1" applyFill="1" applyBorder="1" applyAlignment="1">
      <alignment horizontal="left" vertical="center" wrapText="1"/>
    </xf>
    <xf numFmtId="0" fontId="47" fillId="24" borderId="42" xfId="0" applyFont="1" applyFill="1" applyBorder="1" applyAlignment="1">
      <alignment horizontal="center" vertical="center"/>
    </xf>
    <xf numFmtId="0" fontId="48" fillId="24" borderId="42" xfId="0" applyFont="1" applyFill="1" applyBorder="1" applyAlignment="1">
      <alignment horizontal="center" vertical="center"/>
    </xf>
    <xf numFmtId="0" fontId="48" fillId="24" borderId="34" xfId="0" applyFont="1" applyFill="1" applyBorder="1" applyAlignment="1">
      <alignment horizontal="center" vertical="center"/>
    </xf>
    <xf numFmtId="0" fontId="48" fillId="24" borderId="39" xfId="0" applyFont="1" applyFill="1" applyBorder="1" applyAlignment="1">
      <alignment horizontal="center" vertical="center"/>
    </xf>
    <xf numFmtId="0" fontId="48" fillId="24" borderId="45" xfId="0" applyFont="1" applyFill="1" applyBorder="1" applyAlignment="1">
      <alignment horizontal="center" vertical="center"/>
    </xf>
    <xf numFmtId="0" fontId="49" fillId="21" borderId="1" xfId="0" applyFont="1" applyFill="1" applyBorder="1" applyAlignment="1">
      <alignment horizontal="center" vertical="center"/>
    </xf>
    <xf numFmtId="0" fontId="50" fillId="21" borderId="1" xfId="0" applyFont="1" applyFill="1" applyBorder="1" applyAlignment="1">
      <alignment horizontal="center" vertical="center"/>
    </xf>
    <xf numFmtId="0" fontId="50" fillId="2" borderId="2" xfId="0" applyFont="1" applyFill="1" applyBorder="1"/>
    <xf numFmtId="0" fontId="50" fillId="2" borderId="1" xfId="0" applyFont="1" applyFill="1" applyBorder="1"/>
    <xf numFmtId="0" fontId="50" fillId="13" borderId="1" xfId="0" applyFont="1" applyFill="1" applyBorder="1"/>
    <xf numFmtId="0" fontId="40" fillId="24" borderId="42" xfId="0" applyFont="1" applyFill="1" applyBorder="1" applyAlignment="1">
      <alignment horizontal="center" vertical="center"/>
    </xf>
    <xf numFmtId="0" fontId="24" fillId="0" borderId="42" xfId="0" applyFont="1" applyFill="1" applyBorder="1" applyAlignment="1">
      <alignment horizontal="center" vertical="center"/>
    </xf>
    <xf numFmtId="0" fontId="24" fillId="0" borderId="45" xfId="0" applyFont="1" applyFill="1" applyBorder="1" applyAlignment="1">
      <alignment horizontal="center" vertical="center"/>
    </xf>
    <xf numFmtId="0" fontId="24" fillId="24" borderId="42" xfId="0" applyFont="1" applyFill="1" applyBorder="1" applyAlignment="1">
      <alignment horizontal="center" vertical="center"/>
    </xf>
    <xf numFmtId="0" fontId="24" fillId="0" borderId="35" xfId="0" applyFont="1" applyFill="1" applyBorder="1" applyAlignment="1">
      <alignment horizontal="center" vertical="center"/>
    </xf>
    <xf numFmtId="0" fontId="24" fillId="0" borderId="41" xfId="0" applyFont="1" applyFill="1" applyBorder="1" applyAlignment="1">
      <alignment horizontal="center" vertical="center"/>
    </xf>
    <xf numFmtId="0" fontId="24" fillId="24" borderId="34" xfId="0" applyFont="1" applyFill="1" applyBorder="1" applyAlignment="1">
      <alignment horizontal="center" vertical="center"/>
    </xf>
    <xf numFmtId="0" fontId="24" fillId="0" borderId="34" xfId="0" applyFont="1" applyFill="1" applyBorder="1" applyAlignment="1">
      <alignment horizontal="center" vertical="center"/>
    </xf>
    <xf numFmtId="0" fontId="24" fillId="0" borderId="43" xfId="0" applyFont="1" applyFill="1" applyBorder="1" applyAlignment="1">
      <alignment horizontal="center" vertical="center"/>
    </xf>
    <xf numFmtId="0" fontId="24" fillId="0" borderId="44" xfId="0" applyFont="1" applyFill="1" applyBorder="1" applyAlignment="1">
      <alignment horizontal="center" vertical="center"/>
    </xf>
    <xf numFmtId="0" fontId="24" fillId="24" borderId="39" xfId="0" applyFont="1" applyFill="1" applyBorder="1" applyAlignment="1">
      <alignment horizontal="center" vertical="center"/>
    </xf>
    <xf numFmtId="0" fontId="24" fillId="0" borderId="39" xfId="0" applyFont="1" applyFill="1" applyBorder="1" applyAlignment="1">
      <alignment horizontal="center" vertical="center"/>
    </xf>
    <xf numFmtId="0" fontId="24" fillId="0" borderId="38" xfId="0" applyFont="1" applyFill="1" applyBorder="1" applyAlignment="1">
      <alignment horizontal="center" vertical="center"/>
    </xf>
    <xf numFmtId="0" fontId="24" fillId="0" borderId="37" xfId="0" applyFont="1" applyFill="1" applyBorder="1" applyAlignment="1">
      <alignment horizontal="center" vertical="center"/>
    </xf>
    <xf numFmtId="0" fontId="51" fillId="21" borderId="1" xfId="0" applyFont="1" applyFill="1" applyBorder="1" applyAlignment="1">
      <alignment horizontal="center" vertical="center"/>
    </xf>
    <xf numFmtId="0" fontId="51" fillId="2" borderId="2" xfId="0" applyFont="1" applyFill="1" applyBorder="1"/>
    <xf numFmtId="0" fontId="51" fillId="2" borderId="1" xfId="0" applyFont="1" applyFill="1" applyBorder="1"/>
    <xf numFmtId="0" fontId="51" fillId="13" borderId="1" xfId="0" applyFont="1" applyFill="1" applyBorder="1"/>
    <xf numFmtId="0" fontId="52" fillId="21" borderId="1" xfId="0" applyFont="1" applyFill="1" applyBorder="1" applyAlignment="1">
      <alignment horizontal="center" vertical="center"/>
    </xf>
    <xf numFmtId="0" fontId="16" fillId="21" borderId="1" xfId="0" applyFont="1" applyFill="1" applyBorder="1" applyAlignment="1">
      <alignment horizontal="center" vertical="center"/>
    </xf>
    <xf numFmtId="0" fontId="51" fillId="2" borderId="4" xfId="0" applyFont="1" applyFill="1" applyBorder="1"/>
    <xf numFmtId="0" fontId="51" fillId="13" borderId="3" xfId="0" applyFont="1" applyFill="1" applyBorder="1"/>
    <xf numFmtId="0" fontId="51" fillId="2" borderId="4" xfId="0" applyFont="1" applyFill="1" applyBorder="1" applyAlignment="1"/>
    <xf numFmtId="0" fontId="51" fillId="13" borderId="3" xfId="0" applyFont="1" applyFill="1" applyBorder="1" applyAlignment="1"/>
    <xf numFmtId="0" fontId="35" fillId="4" borderId="1" xfId="0" applyFont="1" applyFill="1" applyBorder="1" applyAlignment="1">
      <alignment vertical="center"/>
    </xf>
    <xf numFmtId="0" fontId="46" fillId="0" borderId="0" xfId="0" applyFont="1" applyFill="1" applyBorder="1"/>
    <xf numFmtId="43" fontId="1" fillId="0" borderId="8" xfId="0" applyNumberFormat="1" applyFont="1" applyFill="1" applyBorder="1" applyAlignment="1">
      <alignment horizontal="center"/>
    </xf>
    <xf numFmtId="43" fontId="18" fillId="8" borderId="3" xfId="1" applyFont="1" applyFill="1" applyBorder="1" applyAlignment="1">
      <alignment horizontal="center" vertical="center"/>
    </xf>
    <xf numFmtId="0" fontId="24" fillId="24" borderId="36" xfId="0" applyFont="1" applyFill="1" applyBorder="1" applyAlignment="1">
      <alignment horizontal="center" vertical="center"/>
    </xf>
    <xf numFmtId="0" fontId="24" fillId="24" borderId="1" xfId="0" applyFont="1" applyFill="1" applyBorder="1" applyAlignment="1">
      <alignment horizontal="center" vertical="center"/>
    </xf>
    <xf numFmtId="43" fontId="0" fillId="0" borderId="0" xfId="0" applyNumberFormat="1"/>
    <xf numFmtId="0" fontId="53" fillId="0" borderId="0" xfId="0" applyFont="1"/>
    <xf numFmtId="43" fontId="3" fillId="0" borderId="1" xfId="1" applyFont="1" applyFill="1" applyBorder="1" applyAlignment="1">
      <alignment horizontal="center" vertical="center" wrapText="1"/>
    </xf>
    <xf numFmtId="0" fontId="3" fillId="0" borderId="1" xfId="0" applyFont="1" applyFill="1" applyBorder="1" applyAlignment="1">
      <alignment horizontal="center" vertical="center"/>
    </xf>
    <xf numFmtId="43" fontId="3" fillId="0" borderId="1" xfId="1" applyFont="1" applyFill="1" applyBorder="1" applyAlignment="1">
      <alignment horizontal="left" vertical="center" wrapText="1"/>
    </xf>
    <xf numFmtId="43" fontId="3" fillId="0" borderId="1" xfId="1" applyFont="1" applyFill="1" applyBorder="1" applyAlignment="1">
      <alignment horizontal="right" vertical="center"/>
    </xf>
    <xf numFmtId="43" fontId="7" fillId="0" borderId="1" xfId="1" applyFont="1" applyFill="1" applyBorder="1" applyAlignment="1">
      <alignment horizontal="right" vertical="center"/>
    </xf>
    <xf numFmtId="0" fontId="3" fillId="0" borderId="1"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3" fontId="12" fillId="9" borderId="3" xfId="1" applyFont="1" applyFill="1" applyBorder="1" applyAlignment="1">
      <alignment horizontal="center" vertical="center"/>
    </xf>
    <xf numFmtId="43" fontId="12" fillId="9" borderId="4" xfId="1" applyFont="1" applyFill="1" applyBorder="1" applyAlignment="1">
      <alignment horizontal="center" vertical="center"/>
    </xf>
    <xf numFmtId="43" fontId="12" fillId="9" borderId="2" xfId="1" applyFont="1" applyFill="1" applyBorder="1" applyAlignment="1">
      <alignment horizontal="center" vertical="center"/>
    </xf>
    <xf numFmtId="43" fontId="12" fillId="9" borderId="7" xfId="1" applyFont="1" applyFill="1" applyBorder="1" applyAlignment="1">
      <alignment horizontal="center" vertical="center"/>
    </xf>
    <xf numFmtId="0" fontId="3" fillId="0" borderId="1" xfId="0" applyFont="1" applyFill="1" applyBorder="1" applyAlignment="1">
      <alignment horizontal="left" vertical="center" wrapText="1"/>
    </xf>
    <xf numFmtId="0" fontId="10" fillId="14" borderId="25" xfId="0" applyFont="1" applyFill="1" applyBorder="1" applyAlignment="1">
      <alignment horizontal="center" vertical="center"/>
    </xf>
    <xf numFmtId="0" fontId="10" fillId="14" borderId="14" xfId="0" applyFont="1" applyFill="1" applyBorder="1" applyAlignment="1">
      <alignment horizontal="center" vertical="center"/>
    </xf>
    <xf numFmtId="0" fontId="10" fillId="14" borderId="19"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2" xfId="0" applyFont="1" applyFill="1" applyBorder="1" applyAlignment="1">
      <alignment horizontal="center" vertical="center"/>
    </xf>
    <xf numFmtId="43" fontId="10" fillId="15" borderId="20" xfId="0" applyNumberFormat="1" applyFont="1" applyFill="1" applyBorder="1" applyAlignment="1">
      <alignment horizontal="center" vertical="center"/>
    </xf>
    <xf numFmtId="43" fontId="10" fillId="15" borderId="21" xfId="0" applyNumberFormat="1" applyFont="1" applyFill="1" applyBorder="1" applyAlignment="1">
      <alignment horizontal="center" vertical="center"/>
    </xf>
    <xf numFmtId="43" fontId="10" fillId="15" borderId="30" xfId="0" applyNumberFormat="1" applyFont="1" applyFill="1" applyBorder="1" applyAlignment="1">
      <alignment horizontal="center" vertical="center"/>
    </xf>
    <xf numFmtId="0" fontId="10" fillId="15" borderId="18" xfId="0" applyFont="1" applyFill="1" applyBorder="1" applyAlignment="1">
      <alignment horizontal="center" vertical="center"/>
    </xf>
    <xf numFmtId="0" fontId="10" fillId="15" borderId="16" xfId="0"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vertical="center"/>
    </xf>
    <xf numFmtId="43" fontId="3" fillId="0" borderId="1" xfId="1" applyFont="1" applyFill="1" applyBorder="1" applyAlignment="1">
      <alignment vertical="center"/>
    </xf>
    <xf numFmtId="43" fontId="7" fillId="0" borderId="1" xfId="1" applyFont="1" applyFill="1" applyBorder="1" applyAlignment="1">
      <alignment vertical="center"/>
    </xf>
    <xf numFmtId="43" fontId="10" fillId="9" borderId="0" xfId="0" applyNumberFormat="1" applyFont="1" applyFill="1" applyBorder="1" applyAlignment="1">
      <alignment horizontal="center" vertical="center"/>
    </xf>
    <xf numFmtId="0" fontId="10" fillId="9" borderId="0" xfId="0" applyFont="1" applyFill="1" applyBorder="1" applyAlignment="1">
      <alignment horizontal="center" vertical="center"/>
    </xf>
    <xf numFmtId="0" fontId="3" fillId="15" borderId="1" xfId="0" applyFont="1" applyFill="1" applyBorder="1" applyAlignment="1">
      <alignment vertical="center" wrapText="1"/>
    </xf>
    <xf numFmtId="0" fontId="20" fillId="7" borderId="27" xfId="0" applyFont="1" applyFill="1" applyBorder="1" applyAlignment="1">
      <alignment horizontal="center" vertical="center"/>
    </xf>
    <xf numFmtId="0" fontId="20" fillId="7" borderId="28" xfId="0" applyFont="1" applyFill="1" applyBorder="1" applyAlignment="1">
      <alignment horizontal="center" vertical="center"/>
    </xf>
    <xf numFmtId="0" fontId="20" fillId="7" borderId="29" xfId="0" applyFont="1" applyFill="1" applyBorder="1" applyAlignment="1">
      <alignment horizontal="center" vertical="center"/>
    </xf>
    <xf numFmtId="0" fontId="3" fillId="15" borderId="1" xfId="0" applyFont="1" applyFill="1" applyBorder="1" applyAlignment="1">
      <alignment horizontal="left" vertical="center"/>
    </xf>
    <xf numFmtId="0" fontId="3" fillId="8" borderId="1" xfId="0" applyFont="1" applyFill="1" applyBorder="1" applyAlignment="1">
      <alignment horizontal="left" vertical="center"/>
    </xf>
    <xf numFmtId="0" fontId="3" fillId="5" borderId="28"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43" fontId="3" fillId="0" borderId="1" xfId="1" applyFont="1" applyBorder="1" applyAlignment="1">
      <alignment horizontal="center" vertical="center" wrapText="1"/>
    </xf>
    <xf numFmtId="2" fontId="19" fillId="10" borderId="35" xfId="0" applyNumberFormat="1" applyFont="1" applyFill="1" applyBorder="1" applyAlignment="1">
      <alignment horizontal="center" vertical="center"/>
    </xf>
    <xf numFmtId="2" fontId="19" fillId="10" borderId="33" xfId="0" applyNumberFormat="1" applyFont="1" applyFill="1" applyBorder="1" applyAlignment="1">
      <alignment horizontal="center" vertical="center"/>
    </xf>
    <xf numFmtId="2" fontId="19" fillId="10" borderId="42" xfId="0" applyNumberFormat="1" applyFont="1" applyFill="1" applyBorder="1" applyAlignment="1">
      <alignment horizontal="center" vertical="center"/>
    </xf>
    <xf numFmtId="0" fontId="10" fillId="14" borderId="25" xfId="0" applyFont="1" applyFill="1" applyBorder="1" applyAlignment="1">
      <alignment horizontal="center" vertical="center" wrapText="1"/>
    </xf>
    <xf numFmtId="0" fontId="10" fillId="14" borderId="14" xfId="0" applyFont="1" applyFill="1" applyBorder="1" applyAlignment="1">
      <alignment horizontal="center" vertical="center" wrapText="1"/>
    </xf>
    <xf numFmtId="0" fontId="10" fillId="14" borderId="19" xfId="0" applyFont="1" applyFill="1" applyBorder="1" applyAlignment="1">
      <alignment horizontal="center" vertical="center" wrapText="1"/>
    </xf>
    <xf numFmtId="0" fontId="3" fillId="0" borderId="9" xfId="0" applyFont="1" applyFill="1" applyBorder="1" applyAlignment="1">
      <alignment vertical="center"/>
    </xf>
    <xf numFmtId="0" fontId="10" fillId="4" borderId="1" xfId="0" applyFont="1" applyFill="1" applyBorder="1" applyAlignment="1">
      <alignment horizontal="center" vertical="center"/>
    </xf>
    <xf numFmtId="0" fontId="3" fillId="9" borderId="6" xfId="0" applyFont="1" applyFill="1" applyBorder="1" applyAlignment="1">
      <alignment vertical="center" wrapText="1"/>
    </xf>
    <xf numFmtId="9" fontId="10" fillId="4" borderId="1" xfId="0" applyNumberFormat="1" applyFont="1" applyFill="1" applyBorder="1" applyAlignment="1">
      <alignment horizontal="center" vertical="center"/>
    </xf>
    <xf numFmtId="0" fontId="10" fillId="4" borderId="8" xfId="0" applyFont="1" applyFill="1" applyBorder="1" applyAlignment="1">
      <alignment horizontal="center" vertical="center"/>
    </xf>
    <xf numFmtId="0" fontId="16" fillId="10" borderId="11" xfId="0" applyFont="1" applyFill="1" applyBorder="1" applyAlignment="1">
      <alignment horizontal="center" vertical="center" wrapText="1"/>
    </xf>
    <xf numFmtId="0" fontId="16" fillId="10" borderId="13" xfId="0" applyFont="1" applyFill="1" applyBorder="1" applyAlignment="1">
      <alignment horizontal="center" vertical="center" wrapText="1"/>
    </xf>
    <xf numFmtId="0" fontId="16" fillId="10" borderId="24" xfId="0" applyFont="1" applyFill="1" applyBorder="1" applyAlignment="1">
      <alignment horizontal="center" vertical="center" wrapText="1"/>
    </xf>
    <xf numFmtId="0" fontId="10" fillId="2" borderId="9" xfId="0" applyFont="1" applyFill="1" applyBorder="1" applyAlignment="1">
      <alignment horizontal="left" vertical="center"/>
    </xf>
    <xf numFmtId="0" fontId="10" fillId="2" borderId="1" xfId="0" applyFont="1" applyFill="1" applyBorder="1" applyAlignment="1">
      <alignment horizontal="left" vertical="center"/>
    </xf>
    <xf numFmtId="43" fontId="10" fillId="2" borderId="3" xfId="1" applyFont="1" applyFill="1" applyBorder="1" applyAlignment="1">
      <alignment horizontal="center" vertical="center" wrapText="1"/>
    </xf>
    <xf numFmtId="43" fontId="10" fillId="2" borderId="4" xfId="1" applyFont="1" applyFill="1" applyBorder="1" applyAlignment="1">
      <alignment horizontal="center" vertical="center" wrapText="1"/>
    </xf>
    <xf numFmtId="43" fontId="10" fillId="2" borderId="2" xfId="1" applyFont="1" applyFill="1" applyBorder="1" applyAlignment="1">
      <alignment horizontal="center" vertical="center" wrapText="1"/>
    </xf>
    <xf numFmtId="43" fontId="3" fillId="2" borderId="3" xfId="1" applyFont="1" applyFill="1" applyBorder="1" applyAlignment="1">
      <alignment horizontal="center" vertical="center" wrapText="1"/>
    </xf>
    <xf numFmtId="43" fontId="3" fillId="2" borderId="4" xfId="1" applyFont="1" applyFill="1" applyBorder="1" applyAlignment="1">
      <alignment horizontal="center" vertical="center" wrapText="1"/>
    </xf>
    <xf numFmtId="43" fontId="3" fillId="2" borderId="2"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43" fontId="10" fillId="8" borderId="16" xfId="0" applyNumberFormat="1" applyFont="1" applyFill="1" applyBorder="1" applyAlignment="1">
      <alignment horizontal="center" vertical="center"/>
    </xf>
    <xf numFmtId="0" fontId="10" fillId="8" borderId="17" xfId="0" applyFont="1" applyFill="1" applyBorder="1" applyAlignment="1">
      <alignment horizontal="center" vertical="center"/>
    </xf>
    <xf numFmtId="0" fontId="3" fillId="15" borderId="1" xfId="0" applyFont="1" applyFill="1" applyBorder="1" applyAlignment="1">
      <alignment vertical="center"/>
    </xf>
    <xf numFmtId="0" fontId="3" fillId="0" borderId="1" xfId="0" applyFont="1" applyBorder="1" applyAlignment="1">
      <alignment vertical="center" wrapText="1"/>
    </xf>
    <xf numFmtId="43" fontId="3" fillId="0" borderId="1" xfId="0" applyNumberFormat="1" applyFont="1" applyBorder="1" applyAlignment="1">
      <alignment vertical="center" wrapText="1"/>
    </xf>
    <xf numFmtId="0" fontId="3" fillId="9" borderId="1" xfId="0" applyFont="1" applyFill="1" applyBorder="1" applyAlignment="1">
      <alignment vertical="center"/>
    </xf>
    <xf numFmtId="0" fontId="11" fillId="0" borderId="1" xfId="0" applyFont="1" applyBorder="1" applyAlignment="1">
      <alignment vertical="center" wrapText="1"/>
    </xf>
    <xf numFmtId="0" fontId="3" fillId="2" borderId="1" xfId="0" applyFont="1" applyFill="1" applyBorder="1" applyAlignment="1">
      <alignment horizontal="center" vertical="center"/>
    </xf>
    <xf numFmtId="0" fontId="3" fillId="2" borderId="8" xfId="0" applyFont="1" applyFill="1" applyBorder="1" applyAlignment="1">
      <alignment horizontal="center" vertical="center"/>
    </xf>
    <xf numFmtId="0" fontId="10" fillId="8" borderId="18" xfId="0" applyFont="1" applyFill="1" applyBorder="1" applyAlignment="1">
      <alignment horizontal="center" vertical="center" wrapText="1"/>
    </xf>
    <xf numFmtId="0" fontId="10" fillId="8" borderId="16" xfId="0" applyFont="1" applyFill="1" applyBorder="1" applyAlignment="1">
      <alignment horizontal="center" vertical="center" wrapText="1"/>
    </xf>
    <xf numFmtId="43" fontId="10" fillId="8" borderId="20" xfId="0" applyNumberFormat="1" applyFont="1" applyFill="1" applyBorder="1" applyAlignment="1">
      <alignment horizontal="center" vertical="center"/>
    </xf>
    <xf numFmtId="43" fontId="10" fillId="8" borderId="21" xfId="0" applyNumberFormat="1" applyFont="1" applyFill="1" applyBorder="1" applyAlignment="1">
      <alignment horizontal="center" vertical="center"/>
    </xf>
    <xf numFmtId="43" fontId="10" fillId="8" borderId="22" xfId="0" applyNumberFormat="1"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11" fillId="11" borderId="1" xfId="0" applyFont="1" applyFill="1" applyBorder="1" applyAlignment="1">
      <alignment vertical="center"/>
    </xf>
    <xf numFmtId="0" fontId="11" fillId="0" borderId="1" xfId="0" applyFont="1" applyBorder="1" applyAlignment="1">
      <alignment vertical="center"/>
    </xf>
    <xf numFmtId="0" fontId="3" fillId="0" borderId="8" xfId="0" applyFont="1" applyFill="1" applyBorder="1" applyAlignment="1">
      <alignment horizontal="center" vertical="center"/>
    </xf>
    <xf numFmtId="0" fontId="11" fillId="0" borderId="9" xfId="0" applyFont="1" applyFill="1" applyBorder="1" applyAlignment="1">
      <alignment horizontal="left" vertical="center" wrapText="1"/>
    </xf>
    <xf numFmtId="0" fontId="11" fillId="0" borderId="1" xfId="0" applyFont="1" applyFill="1" applyBorder="1" applyAlignment="1">
      <alignment horizontal="left" vertical="center" wrapText="1"/>
    </xf>
    <xf numFmtId="43" fontId="11" fillId="0" borderId="3" xfId="1" applyFont="1" applyFill="1" applyBorder="1" applyAlignment="1">
      <alignment horizontal="center" vertical="center" wrapText="1"/>
    </xf>
    <xf numFmtId="43" fontId="11" fillId="0" borderId="4" xfId="1" applyFont="1" applyFill="1" applyBorder="1" applyAlignment="1">
      <alignment horizontal="center" vertical="center" wrapText="1"/>
    </xf>
    <xf numFmtId="43" fontId="11" fillId="0" borderId="2" xfId="1" applyFont="1" applyFill="1" applyBorder="1" applyAlignment="1">
      <alignment horizontal="center" vertical="center" wrapText="1"/>
    </xf>
    <xf numFmtId="43" fontId="11" fillId="0" borderId="9" xfId="0" applyNumberFormat="1"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1" xfId="0" applyFont="1" applyFill="1" applyBorder="1" applyAlignment="1">
      <alignment horizontal="left" vertical="center" wrapText="1"/>
    </xf>
    <xf numFmtId="43" fontId="3" fillId="0" borderId="1" xfId="1" applyFont="1" applyFill="1" applyBorder="1" applyAlignment="1">
      <alignment horizontal="center" vertical="center"/>
    </xf>
    <xf numFmtId="0" fontId="3" fillId="0" borderId="1" xfId="0" applyFont="1" applyFill="1" applyBorder="1" applyAlignment="1">
      <alignment horizontal="left" vertical="center"/>
    </xf>
    <xf numFmtId="0" fontId="10" fillId="8" borderId="26" xfId="0" applyFont="1" applyFill="1" applyBorder="1" applyAlignment="1">
      <alignment horizontal="center" vertical="center"/>
    </xf>
    <xf numFmtId="0" fontId="10" fillId="8" borderId="21" xfId="0" applyFont="1" applyFill="1" applyBorder="1" applyAlignment="1">
      <alignment horizontal="center" vertical="center"/>
    </xf>
    <xf numFmtId="0" fontId="10" fillId="8" borderId="22" xfId="0" applyFont="1" applyFill="1" applyBorder="1" applyAlignment="1">
      <alignment horizontal="center" vertical="center"/>
    </xf>
    <xf numFmtId="0" fontId="19" fillId="10" borderId="1" xfId="0" applyFont="1" applyFill="1" applyBorder="1" applyAlignment="1">
      <alignment horizontal="center" vertical="center"/>
    </xf>
    <xf numFmtId="43" fontId="3" fillId="15" borderId="1" xfId="1" applyFont="1" applyFill="1" applyBorder="1" applyAlignment="1">
      <alignment horizontal="left" vertical="center"/>
    </xf>
    <xf numFmtId="43" fontId="3" fillId="0" borderId="1" xfId="1" applyFont="1" applyFill="1" applyBorder="1" applyAlignment="1">
      <alignment horizontal="left" vertical="center"/>
    </xf>
    <xf numFmtId="43" fontId="7" fillId="0" borderId="1" xfId="1" applyFont="1" applyFill="1" applyBorder="1" applyAlignment="1">
      <alignment horizontal="center" vertical="center"/>
    </xf>
    <xf numFmtId="43" fontId="11" fillId="9" borderId="0" xfId="3"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0" fillId="8" borderId="18" xfId="0" applyFont="1" applyFill="1" applyBorder="1" applyAlignment="1">
      <alignment horizontal="center" vertical="center"/>
    </xf>
    <xf numFmtId="0" fontId="10" fillId="8" borderId="16" xfId="0" applyFont="1" applyFill="1" applyBorder="1" applyAlignment="1">
      <alignment horizontal="center" vertical="center"/>
    </xf>
    <xf numFmtId="0" fontId="3" fillId="5" borderId="1" xfId="0" applyFont="1" applyFill="1" applyBorder="1" applyAlignment="1">
      <alignment horizontal="center" vertical="center" wrapText="1"/>
    </xf>
    <xf numFmtId="43" fontId="11" fillId="0" borderId="1" xfId="0" applyNumberFormat="1" applyFont="1" applyBorder="1" applyAlignment="1">
      <alignment horizontal="center" vertical="center" wrapText="1"/>
    </xf>
    <xf numFmtId="43" fontId="11" fillId="0" borderId="8" xfId="0" applyNumberFormat="1" applyFont="1" applyBorder="1" applyAlignment="1">
      <alignment horizontal="center" vertical="center" wrapText="1"/>
    </xf>
    <xf numFmtId="43" fontId="11" fillId="0" borderId="3" xfId="0" applyNumberFormat="1" applyFont="1" applyBorder="1" applyAlignment="1">
      <alignment horizontal="center" vertical="center" wrapText="1"/>
    </xf>
    <xf numFmtId="43" fontId="11" fillId="0" borderId="4" xfId="0" applyNumberFormat="1" applyFont="1" applyBorder="1" applyAlignment="1">
      <alignment horizontal="center" vertical="center" wrapText="1"/>
    </xf>
    <xf numFmtId="43" fontId="11" fillId="0" borderId="2" xfId="0" applyNumberFormat="1" applyFont="1" applyBorder="1" applyAlignment="1">
      <alignment horizontal="center" vertical="center" wrapText="1"/>
    </xf>
    <xf numFmtId="43" fontId="11" fillId="0" borderId="1" xfId="3" applyFont="1" applyBorder="1" applyAlignment="1">
      <alignment horizontal="center" vertical="center" wrapText="1"/>
    </xf>
    <xf numFmtId="43" fontId="11" fillId="0" borderId="8" xfId="3" applyFont="1" applyBorder="1" applyAlignment="1">
      <alignment horizontal="center" vertical="center" wrapText="1"/>
    </xf>
    <xf numFmtId="0" fontId="13" fillId="4" borderId="1" xfId="0" applyFont="1" applyFill="1" applyBorder="1" applyAlignment="1">
      <alignment horizontal="center" vertical="center"/>
    </xf>
    <xf numFmtId="43"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0" fontId="11" fillId="0" borderId="8" xfId="0" applyFont="1" applyBorder="1" applyAlignment="1">
      <alignment horizontal="center" vertical="center"/>
    </xf>
    <xf numFmtId="43" fontId="11" fillId="9" borderId="0" xfId="0" applyNumberFormat="1" applyFont="1" applyFill="1" applyBorder="1" applyAlignment="1">
      <alignment horizontal="center" vertical="center"/>
    </xf>
    <xf numFmtId="0" fontId="11" fillId="9" borderId="0" xfId="0" applyFont="1" applyFill="1" applyBorder="1" applyAlignment="1">
      <alignment horizontal="center" vertical="center"/>
    </xf>
    <xf numFmtId="0" fontId="11" fillId="9" borderId="0" xfId="3" applyNumberFormat="1" applyFont="1" applyFill="1" applyBorder="1" applyAlignment="1">
      <alignment horizontal="center" vertical="center" wrapText="1"/>
    </xf>
    <xf numFmtId="0" fontId="21" fillId="5" borderId="27" xfId="0" applyFont="1" applyFill="1" applyBorder="1" applyAlignment="1">
      <alignment horizontal="center" vertical="center"/>
    </xf>
    <xf numFmtId="0" fontId="21" fillId="5" borderId="28" xfId="0" applyFont="1" applyFill="1" applyBorder="1" applyAlignment="1">
      <alignment horizontal="center" vertical="center"/>
    </xf>
    <xf numFmtId="0" fontId="21" fillId="5" borderId="29" xfId="0" applyFont="1" applyFill="1" applyBorder="1" applyAlignment="1">
      <alignment horizontal="center" vertical="center"/>
    </xf>
    <xf numFmtId="43" fontId="11" fillId="0" borderId="3" xfId="0" applyNumberFormat="1" applyFont="1" applyBorder="1" applyAlignment="1">
      <alignment horizontal="center"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0" fillId="15" borderId="26" xfId="0" applyFont="1" applyFill="1" applyBorder="1" applyAlignment="1">
      <alignment horizontal="center" vertical="center"/>
    </xf>
    <xf numFmtId="0" fontId="10" fillId="15" borderId="21" xfId="0" applyFont="1" applyFill="1" applyBorder="1" applyAlignment="1">
      <alignment horizontal="center" vertical="center"/>
    </xf>
    <xf numFmtId="0" fontId="10" fillId="15" borderId="22" xfId="0" applyFont="1" applyFill="1" applyBorder="1" applyAlignment="1">
      <alignment horizontal="center" vertical="center"/>
    </xf>
    <xf numFmtId="0" fontId="10" fillId="15" borderId="30" xfId="0" applyFont="1" applyFill="1" applyBorder="1" applyAlignment="1">
      <alignment horizontal="center" vertical="center"/>
    </xf>
    <xf numFmtId="43" fontId="10" fillId="15" borderId="16" xfId="0" applyNumberFormat="1" applyFont="1" applyFill="1" applyBorder="1" applyAlignment="1">
      <alignment horizontal="center" vertical="center"/>
    </xf>
    <xf numFmtId="0" fontId="10" fillId="15" borderId="17" xfId="0" applyFont="1" applyFill="1" applyBorder="1" applyAlignment="1">
      <alignment horizontal="center" vertical="center"/>
    </xf>
    <xf numFmtId="0" fontId="12" fillId="0" borderId="18" xfId="0" applyFont="1" applyBorder="1" applyAlignment="1">
      <alignment vertical="center" wrapText="1"/>
    </xf>
    <xf numFmtId="0" fontId="12" fillId="0" borderId="16" xfId="0" applyFont="1" applyBorder="1" applyAlignment="1">
      <alignment vertical="center" wrapText="1"/>
    </xf>
    <xf numFmtId="0" fontId="13" fillId="16" borderId="9" xfId="0" applyFont="1" applyFill="1" applyBorder="1" applyAlignment="1">
      <alignment horizontal="center" vertical="center"/>
    </xf>
    <xf numFmtId="0" fontId="13" fillId="16" borderId="1" xfId="0" applyFont="1" applyFill="1" applyBorder="1" applyAlignment="1">
      <alignment horizontal="center" vertical="center"/>
    </xf>
    <xf numFmtId="0" fontId="13" fillId="16" borderId="8" xfId="0" applyFont="1" applyFill="1" applyBorder="1" applyAlignment="1">
      <alignment horizontal="center" vertical="center"/>
    </xf>
    <xf numFmtId="0" fontId="13" fillId="7" borderId="9" xfId="0" applyFont="1" applyFill="1" applyBorder="1" applyAlignment="1">
      <alignment horizontal="left" vertical="center"/>
    </xf>
    <xf numFmtId="0" fontId="13" fillId="7" borderId="1" xfId="0" applyFont="1" applyFill="1" applyBorder="1" applyAlignment="1">
      <alignment horizontal="left" vertical="center"/>
    </xf>
    <xf numFmtId="0" fontId="13" fillId="7" borderId="1" xfId="0" applyFont="1" applyFill="1" applyBorder="1" applyAlignment="1">
      <alignment horizontal="center" vertical="center"/>
    </xf>
    <xf numFmtId="0" fontId="13" fillId="7" borderId="8" xfId="0" applyFont="1" applyFill="1" applyBorder="1" applyAlignment="1">
      <alignment horizontal="center" vertical="center"/>
    </xf>
    <xf numFmtId="0" fontId="11" fillId="11" borderId="27" xfId="0" applyFont="1" applyFill="1" applyBorder="1" applyAlignment="1">
      <alignment vertical="center"/>
    </xf>
    <xf numFmtId="0" fontId="11" fillId="11" borderId="28" xfId="0" applyFont="1" applyFill="1" applyBorder="1" applyAlignment="1">
      <alignment vertical="center"/>
    </xf>
    <xf numFmtId="0" fontId="12" fillId="0" borderId="9" xfId="0" applyFont="1" applyBorder="1" applyAlignment="1">
      <alignment vertical="center"/>
    </xf>
    <xf numFmtId="0" fontId="12" fillId="0" borderId="1" xfId="0" applyFont="1" applyBorder="1" applyAlignment="1">
      <alignment vertical="center"/>
    </xf>
    <xf numFmtId="0" fontId="28" fillId="0" borderId="0" xfId="0" applyFont="1" applyBorder="1" applyAlignment="1">
      <alignment horizontal="left" vertical="center"/>
    </xf>
    <xf numFmtId="0" fontId="3" fillId="0" borderId="0" xfId="0" applyFont="1" applyBorder="1" applyAlignment="1">
      <alignment horizontal="left" vertical="center"/>
    </xf>
    <xf numFmtId="0" fontId="1" fillId="0" borderId="10" xfId="0" applyFont="1" applyBorder="1" applyAlignment="1">
      <alignment horizontal="center" vertical="center"/>
    </xf>
    <xf numFmtId="0" fontId="1" fillId="0" borderId="32" xfId="0" applyFont="1" applyBorder="1" applyAlignment="1">
      <alignment horizontal="center" vertical="center"/>
    </xf>
    <xf numFmtId="0" fontId="1" fillId="0" borderId="9" xfId="0" applyFont="1" applyBorder="1" applyAlignment="1">
      <alignment horizontal="center"/>
    </xf>
    <xf numFmtId="0" fontId="1" fillId="0" borderId="1" xfId="0" applyFont="1" applyBorder="1" applyAlignment="1">
      <alignment horizont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xf>
    <xf numFmtId="0" fontId="1" fillId="8" borderId="9" xfId="0" applyFont="1" applyFill="1" applyBorder="1" applyAlignment="1">
      <alignment horizontal="center"/>
    </xf>
    <xf numFmtId="0" fontId="1" fillId="8" borderId="1" xfId="0" applyFont="1" applyFill="1" applyBorder="1" applyAlignment="1">
      <alignment horizontal="center"/>
    </xf>
    <xf numFmtId="0" fontId="1" fillId="8" borderId="8" xfId="0" applyFont="1" applyFill="1" applyBorder="1" applyAlignment="1">
      <alignment horizontal="center"/>
    </xf>
    <xf numFmtId="0" fontId="1" fillId="9" borderId="15" xfId="0" applyFont="1" applyFill="1" applyBorder="1" applyAlignment="1">
      <alignment horizontal="center" vertical="center"/>
    </xf>
    <xf numFmtId="0" fontId="1" fillId="9" borderId="2" xfId="0" applyFont="1" applyFill="1" applyBorder="1" applyAlignment="1">
      <alignment horizontal="center" vertical="center"/>
    </xf>
    <xf numFmtId="0" fontId="22" fillId="4" borderId="18" xfId="0" applyFont="1" applyFill="1" applyBorder="1" applyAlignment="1">
      <alignment horizontal="center" vertical="center"/>
    </xf>
    <xf numFmtId="0" fontId="22" fillId="4" borderId="16" xfId="0" applyFont="1" applyFill="1" applyBorder="1" applyAlignment="1">
      <alignment horizontal="center" vertical="center"/>
    </xf>
    <xf numFmtId="0" fontId="22" fillId="4" borderId="27" xfId="0" applyFont="1" applyFill="1" applyBorder="1" applyAlignment="1">
      <alignment horizontal="center" vertical="center" wrapText="1"/>
    </xf>
    <xf numFmtId="0" fontId="22" fillId="4" borderId="28"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22" fillId="4" borderId="9"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1" fillId="7" borderId="9"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50" xfId="0" applyFont="1" applyBorder="1" applyAlignment="1">
      <alignment horizontal="center" vertical="center"/>
    </xf>
    <xf numFmtId="0" fontId="1" fillId="0" borderId="10"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32" xfId="0" applyFont="1" applyBorder="1" applyAlignment="1">
      <alignment horizontal="center" vertical="center" wrapText="1"/>
    </xf>
    <xf numFmtId="0" fontId="1" fillId="16" borderId="9" xfId="0" applyFont="1" applyFill="1" applyBorder="1" applyAlignment="1">
      <alignment horizontal="center"/>
    </xf>
    <xf numFmtId="0" fontId="1" fillId="16" borderId="1" xfId="0" applyFont="1" applyFill="1" applyBorder="1" applyAlignment="1">
      <alignment horizontal="center"/>
    </xf>
    <xf numFmtId="0" fontId="1" fillId="16" borderId="8" xfId="0" applyFont="1" applyFill="1" applyBorder="1" applyAlignment="1">
      <alignment horizontal="center"/>
    </xf>
    <xf numFmtId="0" fontId="1" fillId="0" borderId="1" xfId="0" applyFont="1" applyBorder="1" applyAlignment="1">
      <alignment horizontal="center" vertical="center"/>
    </xf>
    <xf numFmtId="0" fontId="1" fillId="0" borderId="9" xfId="0" applyFont="1" applyBorder="1" applyAlignment="1">
      <alignment horizontal="center" vertical="center" wrapText="1"/>
    </xf>
    <xf numFmtId="0" fontId="34" fillId="0" borderId="36" xfId="0" applyFont="1" applyBorder="1" applyAlignment="1">
      <alignment horizontal="left"/>
    </xf>
    <xf numFmtId="0" fontId="1" fillId="8" borderId="9" xfId="0" applyFont="1" applyFill="1" applyBorder="1" applyAlignment="1">
      <alignment horizontal="center" vertical="center"/>
    </xf>
    <xf numFmtId="0" fontId="1" fillId="8" borderId="1" xfId="0" applyFont="1" applyFill="1" applyBorder="1" applyAlignment="1">
      <alignment horizontal="center" vertical="center"/>
    </xf>
    <xf numFmtId="0" fontId="1" fillId="8" borderId="8" xfId="0" applyFont="1" applyFill="1" applyBorder="1" applyAlignment="1">
      <alignment horizontal="center" vertical="center"/>
    </xf>
    <xf numFmtId="0" fontId="17" fillId="17" borderId="23" xfId="0" applyFont="1" applyFill="1" applyBorder="1" applyAlignment="1">
      <alignment horizontal="center" vertical="center"/>
    </xf>
    <xf numFmtId="0" fontId="17" fillId="17" borderId="13" xfId="0" applyFont="1" applyFill="1" applyBorder="1" applyAlignment="1">
      <alignment horizontal="center" vertical="center"/>
    </xf>
    <xf numFmtId="0" fontId="17" fillId="17" borderId="24" xfId="0" applyFont="1" applyFill="1" applyBorder="1" applyAlignment="1">
      <alignment horizontal="center" vertical="center"/>
    </xf>
    <xf numFmtId="0" fontId="1" fillId="8" borderId="15"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7" xfId="0" applyFont="1" applyFill="1" applyBorder="1" applyAlignment="1">
      <alignment horizontal="center" vertical="center"/>
    </xf>
    <xf numFmtId="0" fontId="1" fillId="7" borderId="9"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0" fillId="14" borderId="23" xfId="0" applyFont="1" applyFill="1" applyBorder="1" applyAlignment="1">
      <alignment horizontal="center"/>
    </xf>
    <xf numFmtId="0" fontId="10" fillId="14" borderId="13" xfId="0" applyFont="1" applyFill="1" applyBorder="1" applyAlignment="1">
      <alignment horizontal="center"/>
    </xf>
    <xf numFmtId="0" fontId="10" fillId="14" borderId="24" xfId="0" applyFont="1" applyFill="1" applyBorder="1" applyAlignment="1">
      <alignment horizontal="center"/>
    </xf>
    <xf numFmtId="43" fontId="18" fillId="0" borderId="1" xfId="1" applyFont="1" applyFill="1" applyBorder="1" applyAlignment="1">
      <alignment horizontal="center" vertical="center"/>
    </xf>
    <xf numFmtId="43" fontId="18" fillId="0" borderId="8" xfId="1" applyFont="1" applyFill="1" applyBorder="1" applyAlignment="1">
      <alignment horizontal="center" vertical="center"/>
    </xf>
    <xf numFmtId="0" fontId="18" fillId="4" borderId="28" xfId="0" applyFont="1" applyFill="1" applyBorder="1" applyAlignment="1">
      <alignment horizontal="center" vertical="center" wrapText="1"/>
    </xf>
    <xf numFmtId="0" fontId="18" fillId="4" borderId="29" xfId="0" applyFont="1" applyFill="1" applyBorder="1" applyAlignment="1">
      <alignment horizontal="center" vertical="center" wrapText="1"/>
    </xf>
    <xf numFmtId="0" fontId="22" fillId="4" borderId="18" xfId="0" applyFont="1" applyFill="1" applyBorder="1" applyAlignment="1">
      <alignment horizontal="center"/>
    </xf>
    <xf numFmtId="0" fontId="22" fillId="4" borderId="16" xfId="0" applyFont="1" applyFill="1" applyBorder="1" applyAlignment="1">
      <alignment horizontal="center"/>
    </xf>
    <xf numFmtId="43" fontId="17" fillId="4" borderId="16" xfId="0" applyNumberFormat="1" applyFont="1" applyFill="1" applyBorder="1" applyAlignment="1">
      <alignment horizontal="center"/>
    </xf>
    <xf numFmtId="43" fontId="17" fillId="4" borderId="17" xfId="0" applyNumberFormat="1" applyFont="1" applyFill="1" applyBorder="1" applyAlignment="1">
      <alignment horizontal="center"/>
    </xf>
    <xf numFmtId="0" fontId="35" fillId="0" borderId="1" xfId="0" applyFont="1" applyBorder="1" applyAlignment="1">
      <alignment horizontal="left"/>
    </xf>
    <xf numFmtId="0" fontId="22" fillId="14" borderId="18" xfId="0" applyFont="1" applyFill="1" applyBorder="1" applyAlignment="1">
      <alignment horizontal="center" vertical="center"/>
    </xf>
    <xf numFmtId="0" fontId="22" fillId="14" borderId="16" xfId="0" applyFont="1" applyFill="1" applyBorder="1" applyAlignment="1">
      <alignment horizontal="center" vertical="center"/>
    </xf>
    <xf numFmtId="0" fontId="1" fillId="8" borderId="15" xfId="0" applyFont="1" applyFill="1" applyBorder="1" applyAlignment="1">
      <alignment horizontal="center"/>
    </xf>
    <xf numFmtId="0" fontId="1" fillId="8" borderId="4" xfId="0" applyFont="1" applyFill="1" applyBorder="1" applyAlignment="1">
      <alignment horizontal="center"/>
    </xf>
    <xf numFmtId="0" fontId="1" fillId="8" borderId="2" xfId="0" applyFont="1" applyFill="1" applyBorder="1" applyAlignment="1">
      <alignment horizontal="center"/>
    </xf>
    <xf numFmtId="0" fontId="1" fillId="8" borderId="9" xfId="0" applyFont="1" applyFill="1" applyBorder="1" applyAlignment="1">
      <alignment horizontal="center" vertical="top"/>
    </xf>
    <xf numFmtId="0" fontId="1" fillId="8" borderId="1" xfId="0" applyFont="1" applyFill="1" applyBorder="1" applyAlignment="1">
      <alignment horizontal="center" vertical="top"/>
    </xf>
    <xf numFmtId="0" fontId="1" fillId="8" borderId="8" xfId="0" applyFont="1" applyFill="1" applyBorder="1" applyAlignment="1">
      <alignment horizontal="center" vertical="top"/>
    </xf>
    <xf numFmtId="0" fontId="12" fillId="0" borderId="1" xfId="0" applyFont="1" applyBorder="1" applyAlignment="1">
      <alignment horizontal="left"/>
    </xf>
    <xf numFmtId="0" fontId="24" fillId="0" borderId="23" xfId="0" applyFont="1" applyBorder="1" applyAlignment="1">
      <alignment horizontal="left" vertical="center" wrapText="1"/>
    </xf>
    <xf numFmtId="0" fontId="24" fillId="0" borderId="13" xfId="0" applyFont="1" applyBorder="1" applyAlignment="1">
      <alignment horizontal="left" vertical="center" wrapText="1"/>
    </xf>
    <xf numFmtId="0" fontId="24" fillId="0" borderId="40" xfId="0" applyFont="1" applyBorder="1" applyAlignment="1">
      <alignment horizontal="left" vertical="center" wrapText="1"/>
    </xf>
    <xf numFmtId="0" fontId="19" fillId="3" borderId="35" xfId="0" applyFont="1" applyFill="1" applyBorder="1" applyAlignment="1">
      <alignment horizontal="left" vertical="center"/>
    </xf>
    <xf numFmtId="0" fontId="19" fillId="3" borderId="33" xfId="0" applyFont="1" applyFill="1" applyBorder="1" applyAlignment="1">
      <alignment horizontal="left" vertical="center"/>
    </xf>
    <xf numFmtId="0" fontId="1" fillId="2" borderId="27" xfId="0" applyFont="1" applyFill="1" applyBorder="1" applyAlignment="1">
      <alignment horizontal="left"/>
    </xf>
    <xf numFmtId="0" fontId="1" fillId="2" borderId="28" xfId="0" applyFont="1" applyFill="1" applyBorder="1" applyAlignment="1">
      <alignment horizontal="left"/>
    </xf>
    <xf numFmtId="0" fontId="1" fillId="2" borderId="9" xfId="0" applyFont="1" applyFill="1" applyBorder="1" applyAlignment="1">
      <alignment horizontal="left"/>
    </xf>
    <xf numFmtId="0" fontId="1" fillId="2" borderId="1" xfId="0" applyFont="1" applyFill="1" applyBorder="1" applyAlignment="1">
      <alignment horizontal="left"/>
    </xf>
    <xf numFmtId="0" fontId="38" fillId="0" borderId="1" xfId="0" applyFont="1" applyBorder="1" applyAlignment="1">
      <alignment horizontal="left" vertical="center" wrapText="1"/>
    </xf>
    <xf numFmtId="0" fontId="24" fillId="21" borderId="23" xfId="0" applyFont="1" applyFill="1" applyBorder="1" applyAlignment="1">
      <alignment horizontal="left" vertical="center" wrapText="1"/>
    </xf>
    <xf numFmtId="0" fontId="24" fillId="21" borderId="13" xfId="0" applyFont="1" applyFill="1" applyBorder="1" applyAlignment="1">
      <alignment horizontal="left" vertical="center" wrapText="1"/>
    </xf>
    <xf numFmtId="0" fontId="24" fillId="21" borderId="24" xfId="0" applyFont="1" applyFill="1" applyBorder="1" applyAlignment="1">
      <alignment horizontal="left" vertical="center" wrapText="1"/>
    </xf>
    <xf numFmtId="0" fontId="24" fillId="21" borderId="25" xfId="0" applyFont="1" applyFill="1" applyBorder="1" applyAlignment="1">
      <alignment horizontal="left" vertical="center" wrapText="1"/>
    </xf>
    <xf numFmtId="0" fontId="24" fillId="21" borderId="14" xfId="0" applyFont="1" applyFill="1" applyBorder="1" applyAlignment="1">
      <alignment horizontal="left" vertical="center" wrapText="1"/>
    </xf>
    <xf numFmtId="0" fontId="24" fillId="21" borderId="19" xfId="0" applyFont="1" applyFill="1" applyBorder="1" applyAlignment="1">
      <alignment horizontal="left" vertical="center" wrapText="1"/>
    </xf>
    <xf numFmtId="0" fontId="24" fillId="21" borderId="38" xfId="0" applyFont="1" applyFill="1" applyBorder="1" applyAlignment="1">
      <alignment horizontal="left" vertical="center" wrapText="1"/>
    </xf>
    <xf numFmtId="0" fontId="24" fillId="21" borderId="36" xfId="0" applyFont="1" applyFill="1" applyBorder="1" applyAlignment="1">
      <alignment horizontal="left" vertical="center" wrapText="1"/>
    </xf>
    <xf numFmtId="0" fontId="24" fillId="21" borderId="39" xfId="0" applyFont="1" applyFill="1" applyBorder="1" applyAlignment="1">
      <alignment horizontal="left" vertical="center" wrapText="1"/>
    </xf>
    <xf numFmtId="0" fontId="1" fillId="2" borderId="18" xfId="0" applyFont="1" applyFill="1" applyBorder="1" applyAlignment="1">
      <alignment horizontal="left"/>
    </xf>
    <xf numFmtId="0" fontId="1" fillId="2" borderId="16" xfId="0" applyFont="1" applyFill="1" applyBorder="1" applyAlignment="1">
      <alignment horizontal="left"/>
    </xf>
    <xf numFmtId="0" fontId="38" fillId="0" borderId="36" xfId="0" applyFont="1" applyBorder="1" applyAlignment="1">
      <alignment horizontal="left"/>
    </xf>
    <xf numFmtId="0" fontId="9" fillId="22" borderId="1" xfId="0" applyFont="1" applyFill="1" applyBorder="1" applyAlignment="1">
      <alignment horizontal="center" vertical="center"/>
    </xf>
    <xf numFmtId="0" fontId="24" fillId="18" borderId="33" xfId="0" applyFont="1" applyFill="1" applyBorder="1" applyAlignment="1">
      <alignment horizontal="left" vertical="center"/>
    </xf>
    <xf numFmtId="0" fontId="24" fillId="18" borderId="42" xfId="0" applyFont="1" applyFill="1" applyBorder="1" applyAlignment="1">
      <alignment horizontal="left" vertical="center"/>
    </xf>
    <xf numFmtId="0" fontId="24" fillId="21" borderId="40" xfId="0" applyFont="1" applyFill="1" applyBorder="1" applyAlignment="1">
      <alignment horizontal="left" vertical="center" wrapText="1"/>
    </xf>
    <xf numFmtId="0" fontId="24" fillId="18" borderId="23" xfId="0" applyFont="1" applyFill="1" applyBorder="1" applyAlignment="1">
      <alignment horizontal="left" vertical="center"/>
    </xf>
    <xf numFmtId="0" fontId="24" fillId="18" borderId="13" xfId="0" applyFont="1" applyFill="1" applyBorder="1" applyAlignment="1">
      <alignment horizontal="left" vertical="center"/>
    </xf>
    <xf numFmtId="0" fontId="24" fillId="18" borderId="24" xfId="0" applyFont="1" applyFill="1" applyBorder="1" applyAlignment="1">
      <alignment horizontal="left" vertical="center"/>
    </xf>
    <xf numFmtId="0" fontId="24" fillId="21" borderId="23" xfId="0" applyFont="1" applyFill="1" applyBorder="1" applyAlignment="1">
      <alignment horizontal="left" vertical="center"/>
    </xf>
    <xf numFmtId="0" fontId="24" fillId="21" borderId="13" xfId="0" applyFont="1" applyFill="1" applyBorder="1" applyAlignment="1">
      <alignment horizontal="left" vertical="center"/>
    </xf>
    <xf numFmtId="0" fontId="24" fillId="21" borderId="40" xfId="0" applyFont="1" applyFill="1" applyBorder="1" applyAlignment="1">
      <alignment horizontal="left" vertical="center"/>
    </xf>
    <xf numFmtId="0" fontId="35" fillId="5" borderId="3" xfId="0" applyFont="1" applyFill="1" applyBorder="1" applyAlignment="1">
      <alignment horizontal="center" vertical="center"/>
    </xf>
    <xf numFmtId="0" fontId="35" fillId="5" borderId="4" xfId="0" applyFont="1" applyFill="1" applyBorder="1" applyAlignment="1">
      <alignment horizontal="center" vertical="center"/>
    </xf>
    <xf numFmtId="0" fontId="35" fillId="5" borderId="2" xfId="0" applyFont="1" applyFill="1" applyBorder="1" applyAlignment="1">
      <alignment horizontal="center" vertical="center"/>
    </xf>
    <xf numFmtId="0" fontId="24" fillId="21" borderId="24" xfId="0" applyFont="1" applyFill="1" applyBorder="1" applyAlignment="1">
      <alignment horizontal="left" vertical="center"/>
    </xf>
    <xf numFmtId="0" fontId="24" fillId="18" borderId="35" xfId="0" applyFont="1" applyFill="1" applyBorder="1" applyAlignment="1">
      <alignment horizontal="left" vertical="center"/>
    </xf>
    <xf numFmtId="0" fontId="35" fillId="4" borderId="3" xfId="0" applyFont="1" applyFill="1" applyBorder="1" applyAlignment="1">
      <alignment horizontal="center" vertical="center"/>
    </xf>
    <xf numFmtId="0" fontId="35" fillId="4" borderId="4" xfId="0" applyFont="1" applyFill="1" applyBorder="1" applyAlignment="1">
      <alignment horizontal="center" vertical="center"/>
    </xf>
    <xf numFmtId="0" fontId="35" fillId="4" borderId="1" xfId="0" applyFont="1" applyFill="1" applyBorder="1" applyAlignment="1">
      <alignment horizontal="center" vertical="center"/>
    </xf>
    <xf numFmtId="0" fontId="46" fillId="0" borderId="0" xfId="0" applyFont="1" applyFill="1" applyBorder="1" applyAlignment="1">
      <alignment horizontal="center" vertical="center" wrapText="1"/>
    </xf>
    <xf numFmtId="0" fontId="0" fillId="0" borderId="26" xfId="0" applyBorder="1" applyAlignment="1">
      <alignment horizontal="center"/>
    </xf>
    <xf numFmtId="0" fontId="0" fillId="0" borderId="21" xfId="0" applyBorder="1" applyAlignment="1">
      <alignment horizontal="center"/>
    </xf>
    <xf numFmtId="0" fontId="0" fillId="0" borderId="30" xfId="0" applyBorder="1" applyAlignment="1">
      <alignment horizontal="center"/>
    </xf>
    <xf numFmtId="0" fontId="10" fillId="4" borderId="27"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5" borderId="25" xfId="0" applyFont="1" applyFill="1" applyBorder="1" applyAlignment="1">
      <alignment horizontal="center" vertical="center"/>
    </xf>
    <xf numFmtId="0" fontId="9" fillId="5" borderId="14" xfId="0" applyFont="1" applyFill="1" applyBorder="1" applyAlignment="1">
      <alignment horizontal="center" vertical="center"/>
    </xf>
    <xf numFmtId="0" fontId="9" fillId="5" borderId="19" xfId="0" applyFont="1" applyFill="1" applyBorder="1" applyAlignment="1">
      <alignment horizontal="center" vertical="center"/>
    </xf>
    <xf numFmtId="0" fontId="35" fillId="5" borderId="7" xfId="0" applyFont="1" applyFill="1" applyBorder="1" applyAlignment="1">
      <alignment horizontal="center" vertical="center"/>
    </xf>
    <xf numFmtId="0" fontId="35" fillId="4" borderId="2" xfId="0" applyFont="1" applyFill="1" applyBorder="1" applyAlignment="1">
      <alignment horizontal="center" vertical="center"/>
    </xf>
    <xf numFmtId="0" fontId="9" fillId="4" borderId="46" xfId="0" applyFont="1" applyFill="1" applyBorder="1" applyAlignment="1">
      <alignment horizontal="center" vertical="center"/>
    </xf>
    <xf numFmtId="0" fontId="9" fillId="4" borderId="14" xfId="0" applyFont="1" applyFill="1" applyBorder="1" applyAlignment="1">
      <alignment horizontal="center" vertical="center"/>
    </xf>
    <xf numFmtId="0" fontId="37" fillId="4" borderId="25" xfId="0" applyFont="1" applyFill="1" applyBorder="1" applyAlignment="1">
      <alignment horizontal="center"/>
    </xf>
    <xf numFmtId="0" fontId="37" fillId="4" borderId="14" xfId="0" applyFont="1" applyFill="1" applyBorder="1" applyAlignment="1">
      <alignment horizontal="center"/>
    </xf>
    <xf numFmtId="0" fontId="37" fillId="4" borderId="19" xfId="0" applyFont="1" applyFill="1" applyBorder="1" applyAlignment="1">
      <alignment horizontal="center"/>
    </xf>
    <xf numFmtId="0" fontId="0" fillId="6" borderId="1" xfId="0" applyFill="1" applyBorder="1" applyAlignment="1">
      <alignment horizontal="center"/>
    </xf>
    <xf numFmtId="0" fontId="0" fillId="0" borderId="3" xfId="0" applyBorder="1" applyAlignment="1">
      <alignment horizontal="center" vertical="center"/>
    </xf>
    <xf numFmtId="0" fontId="0" fillId="0" borderId="2" xfId="0" applyBorder="1" applyAlignment="1">
      <alignment horizontal="center" vertical="center"/>
    </xf>
    <xf numFmtId="0" fontId="36" fillId="0" borderId="5" xfId="0" applyFont="1" applyBorder="1" applyAlignment="1">
      <alignment horizontal="left"/>
    </xf>
    <xf numFmtId="0" fontId="33" fillId="10" borderId="0" xfId="0" applyFont="1" applyFill="1" applyAlignment="1">
      <alignment horizontal="center" vertical="center"/>
    </xf>
    <xf numFmtId="0" fontId="32" fillId="23" borderId="1" xfId="0" applyFont="1" applyFill="1" applyBorder="1" applyAlignment="1">
      <alignment horizontal="center"/>
    </xf>
    <xf numFmtId="0" fontId="26" fillId="13" borderId="6" xfId="0" applyFont="1" applyFill="1" applyBorder="1" applyAlignment="1">
      <alignment horizontal="center" vertical="center"/>
    </xf>
    <xf numFmtId="0" fontId="26" fillId="13" borderId="31" xfId="0" applyFont="1" applyFill="1" applyBorder="1" applyAlignment="1">
      <alignment horizontal="center" vertical="center"/>
    </xf>
    <xf numFmtId="0" fontId="26" fillId="21" borderId="3" xfId="0" applyFont="1" applyFill="1" applyBorder="1" applyAlignment="1">
      <alignment horizontal="center" vertical="center" wrapText="1"/>
    </xf>
    <xf numFmtId="0" fontId="26" fillId="21" borderId="2" xfId="0" applyFont="1" applyFill="1" applyBorder="1" applyAlignment="1">
      <alignment horizontal="center" vertical="center" wrapText="1"/>
    </xf>
    <xf numFmtId="0" fontId="26" fillId="2" borderId="6" xfId="0" applyFont="1" applyFill="1" applyBorder="1" applyAlignment="1">
      <alignment horizontal="center" vertical="center"/>
    </xf>
    <xf numFmtId="0" fontId="26" fillId="2" borderId="31" xfId="0" applyFont="1" applyFill="1" applyBorder="1" applyAlignment="1">
      <alignment horizontal="center" vertical="center"/>
    </xf>
    <xf numFmtId="0" fontId="24" fillId="2" borderId="37" xfId="0" applyFont="1" applyFill="1" applyBorder="1" applyAlignment="1">
      <alignment horizontal="center" vertical="center"/>
    </xf>
    <xf numFmtId="0" fontId="24" fillId="2" borderId="41" xfId="0" applyFont="1" applyFill="1" applyBorder="1" applyAlignment="1">
      <alignment horizontal="center" vertical="center"/>
    </xf>
    <xf numFmtId="0" fontId="18" fillId="19" borderId="38" xfId="0" applyFont="1" applyFill="1" applyBorder="1" applyAlignment="1">
      <alignment horizontal="center" vertical="center" wrapText="1"/>
    </xf>
    <xf numFmtId="0" fontId="18" fillId="19" borderId="36" xfId="0" applyFont="1" applyFill="1" applyBorder="1" applyAlignment="1">
      <alignment horizontal="center" vertical="center" wrapText="1"/>
    </xf>
    <xf numFmtId="0" fontId="18" fillId="19" borderId="39" xfId="0" applyFont="1" applyFill="1" applyBorder="1" applyAlignment="1">
      <alignment horizontal="center" vertical="center" wrapText="1"/>
    </xf>
    <xf numFmtId="0" fontId="18" fillId="19" borderId="35" xfId="0" applyFont="1" applyFill="1" applyBorder="1" applyAlignment="1">
      <alignment horizontal="center" vertical="center" wrapText="1"/>
    </xf>
    <xf numFmtId="0" fontId="18" fillId="19" borderId="33" xfId="0" applyFont="1" applyFill="1" applyBorder="1" applyAlignment="1">
      <alignment horizontal="center" vertical="center" wrapText="1"/>
    </xf>
    <xf numFmtId="0" fontId="18" fillId="19" borderId="42" xfId="0" applyFont="1" applyFill="1" applyBorder="1" applyAlignment="1">
      <alignment horizontal="center" vertical="center" wrapText="1"/>
    </xf>
    <xf numFmtId="0" fontId="18" fillId="19" borderId="23" xfId="0" applyFont="1" applyFill="1" applyBorder="1" applyAlignment="1">
      <alignment horizontal="center" vertical="center"/>
    </xf>
    <xf numFmtId="0" fontId="18" fillId="19" borderId="13" xfId="0" applyFont="1" applyFill="1" applyBorder="1" applyAlignment="1">
      <alignment horizontal="center" vertical="center"/>
    </xf>
    <xf numFmtId="0" fontId="25" fillId="0" borderId="23" xfId="0" applyFont="1" applyBorder="1" applyAlignment="1">
      <alignment horizontal="center" vertical="center"/>
    </xf>
    <xf numFmtId="0" fontId="25" fillId="0" borderId="13" xfId="0" applyFont="1" applyBorder="1" applyAlignment="1">
      <alignment horizontal="center" vertical="center"/>
    </xf>
    <xf numFmtId="0" fontId="25" fillId="0" borderId="24" xfId="0" applyFont="1" applyBorder="1" applyAlignment="1">
      <alignment horizontal="center" vertical="center"/>
    </xf>
    <xf numFmtId="0" fontId="35" fillId="0" borderId="5" xfId="0" applyFont="1" applyBorder="1" applyAlignment="1">
      <alignment horizontal="left" vertical="top"/>
    </xf>
    <xf numFmtId="0" fontId="35" fillId="8" borderId="1" xfId="0" applyFont="1" applyFill="1" applyBorder="1" applyAlignment="1">
      <alignment horizontal="center" vertical="center" wrapText="1"/>
    </xf>
    <xf numFmtId="0" fontId="35" fillId="8" borderId="3" xfId="0" applyFont="1" applyFill="1" applyBorder="1" applyAlignment="1">
      <alignment horizontal="center" vertical="center"/>
    </xf>
    <xf numFmtId="0" fontId="35" fillId="8" borderId="4" xfId="0" applyFont="1" applyFill="1" applyBorder="1" applyAlignment="1">
      <alignment horizontal="center" vertical="center"/>
    </xf>
    <xf numFmtId="0" fontId="35" fillId="8" borderId="2" xfId="0" applyFont="1" applyFill="1" applyBorder="1" applyAlignment="1">
      <alignment horizontal="center" vertical="center"/>
    </xf>
    <xf numFmtId="0" fontId="1" fillId="4" borderId="1" xfId="0" applyFont="1" applyFill="1" applyBorder="1" applyAlignment="1">
      <alignment horizontal="center"/>
    </xf>
    <xf numFmtId="0" fontId="1" fillId="4" borderId="1" xfId="0" applyFont="1" applyFill="1" applyBorder="1" applyAlignment="1">
      <alignment horizontal="center" wrapText="1"/>
    </xf>
  </cellXfs>
  <cellStyles count="43">
    <cellStyle name="Millares" xfId="1" builtinId="3"/>
    <cellStyle name="Millares 10" xfId="5" xr:uid="{00000000-0005-0000-0000-000001000000}"/>
    <cellStyle name="Millares 11" xfId="24" xr:uid="{00000000-0005-0000-0000-000002000000}"/>
    <cellStyle name="Millares 2" xfId="3" xr:uid="{00000000-0005-0000-0000-000003000000}"/>
    <cellStyle name="Millares 2 2" xfId="13" xr:uid="{00000000-0005-0000-0000-000004000000}"/>
    <cellStyle name="Millares 2 2 2" xfId="21" xr:uid="{00000000-0005-0000-0000-000005000000}"/>
    <cellStyle name="Millares 2 2 2 2" xfId="40" xr:uid="{00000000-0005-0000-0000-000006000000}"/>
    <cellStyle name="Millares 2 2 3" xfId="32" xr:uid="{00000000-0005-0000-0000-000007000000}"/>
    <cellStyle name="Millares 2 3" xfId="11" xr:uid="{00000000-0005-0000-0000-000008000000}"/>
    <cellStyle name="Millares 2 3 2" xfId="19" xr:uid="{00000000-0005-0000-0000-000009000000}"/>
    <cellStyle name="Millares 2 3 2 2" xfId="38" xr:uid="{00000000-0005-0000-0000-00000A000000}"/>
    <cellStyle name="Millares 2 3 3" xfId="30" xr:uid="{00000000-0005-0000-0000-00000B000000}"/>
    <cellStyle name="Millares 2 4" xfId="9" xr:uid="{00000000-0005-0000-0000-00000C000000}"/>
    <cellStyle name="Millares 2 4 2" xfId="17" xr:uid="{00000000-0005-0000-0000-00000D000000}"/>
    <cellStyle name="Millares 2 4 2 2" xfId="36" xr:uid="{00000000-0005-0000-0000-00000E000000}"/>
    <cellStyle name="Millares 2 4 3" xfId="28" xr:uid="{00000000-0005-0000-0000-00000F000000}"/>
    <cellStyle name="Millares 2 5" xfId="15" xr:uid="{00000000-0005-0000-0000-000010000000}"/>
    <cellStyle name="Millares 2 5 2" xfId="34" xr:uid="{00000000-0005-0000-0000-000011000000}"/>
    <cellStyle name="Millares 2 6" xfId="7" xr:uid="{00000000-0005-0000-0000-000012000000}"/>
    <cellStyle name="Millares 2 7" xfId="26" xr:uid="{00000000-0005-0000-0000-000013000000}"/>
    <cellStyle name="Millares 3" xfId="2" xr:uid="{00000000-0005-0000-0000-000014000000}"/>
    <cellStyle name="Millares 3 2" xfId="20" xr:uid="{00000000-0005-0000-0000-000015000000}"/>
    <cellStyle name="Millares 3 2 2" xfId="39" xr:uid="{00000000-0005-0000-0000-000016000000}"/>
    <cellStyle name="Millares 3 3" xfId="12" xr:uid="{00000000-0005-0000-0000-000017000000}"/>
    <cellStyle name="Millares 3 4" xfId="31" xr:uid="{00000000-0005-0000-0000-000018000000}"/>
    <cellStyle name="Millares 4" xfId="10" xr:uid="{00000000-0005-0000-0000-000019000000}"/>
    <cellStyle name="Millares 4 2" xfId="18" xr:uid="{00000000-0005-0000-0000-00001A000000}"/>
    <cellStyle name="Millares 4 2 2" xfId="37" xr:uid="{00000000-0005-0000-0000-00001B000000}"/>
    <cellStyle name="Millares 4 3" xfId="29" xr:uid="{00000000-0005-0000-0000-00001C000000}"/>
    <cellStyle name="Millares 5" xfId="8" xr:uid="{00000000-0005-0000-0000-00001D000000}"/>
    <cellStyle name="Millares 5 2" xfId="16" xr:uid="{00000000-0005-0000-0000-00001E000000}"/>
    <cellStyle name="Millares 5 2 2" xfId="35" xr:uid="{00000000-0005-0000-0000-00001F000000}"/>
    <cellStyle name="Millares 5 3" xfId="27" xr:uid="{00000000-0005-0000-0000-000020000000}"/>
    <cellStyle name="Millares 6" xfId="14" xr:uid="{00000000-0005-0000-0000-000021000000}"/>
    <cellStyle name="Millares 6 2" xfId="33" xr:uid="{00000000-0005-0000-0000-000022000000}"/>
    <cellStyle name="Millares 7" xfId="6" xr:uid="{00000000-0005-0000-0000-000023000000}"/>
    <cellStyle name="Millares 7 2" xfId="25" xr:uid="{00000000-0005-0000-0000-000024000000}"/>
    <cellStyle name="Millares 8" xfId="22" xr:uid="{00000000-0005-0000-0000-000025000000}"/>
    <cellStyle name="Millares 8 2" xfId="41" xr:uid="{00000000-0005-0000-0000-000026000000}"/>
    <cellStyle name="Millares 9" xfId="4" xr:uid="{00000000-0005-0000-0000-000027000000}"/>
    <cellStyle name="Millares 9 2" xfId="23" xr:uid="{00000000-0005-0000-0000-000028000000}"/>
    <cellStyle name="Millares 9 3" xfId="42" xr:uid="{00000000-0005-0000-0000-000029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204108</xdr:colOff>
      <xdr:row>1</xdr:row>
      <xdr:rowOff>68035</xdr:rowOff>
    </xdr:from>
    <xdr:to>
      <xdr:col>5</xdr:col>
      <xdr:colOff>117930</xdr:colOff>
      <xdr:row>1</xdr:row>
      <xdr:rowOff>763360</xdr:rowOff>
    </xdr:to>
    <xdr:pic>
      <xdr:nvPicPr>
        <xdr:cNvPr id="4" name="Imagen 3">
          <a:extLst>
            <a:ext uri="{FF2B5EF4-FFF2-40B4-BE49-F238E27FC236}">
              <a16:creationId xmlns:a16="http://schemas.microsoft.com/office/drawing/2014/main" id="{776AF4B7-F87D-4C45-BEDB-EC43970CB5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644" y="258535"/>
          <a:ext cx="27305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435428</xdr:colOff>
      <xdr:row>1</xdr:row>
      <xdr:rowOff>40821</xdr:rowOff>
    </xdr:from>
    <xdr:to>
      <xdr:col>32</xdr:col>
      <xdr:colOff>282637</xdr:colOff>
      <xdr:row>1</xdr:row>
      <xdr:rowOff>897436</xdr:rowOff>
    </xdr:to>
    <xdr:pic>
      <xdr:nvPicPr>
        <xdr:cNvPr id="6" name="Imagen 2">
          <a:extLst>
            <a:ext uri="{FF2B5EF4-FFF2-40B4-BE49-F238E27FC236}">
              <a16:creationId xmlns:a16="http://schemas.microsoft.com/office/drawing/2014/main" id="{198E2A37-4A9D-4F86-9EF5-C1F64DF3FC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9464" y="231321"/>
          <a:ext cx="2133600" cy="860425"/>
        </a:xfrm>
        <a:prstGeom prst="rect">
          <a:avLst/>
        </a:prstGeom>
        <a:noFill/>
        <a:ln w="9525">
          <a:solidFill>
            <a:srgbClr val="7F7F7F"/>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AJ176"/>
  <sheetViews>
    <sheetView tabSelected="1" view="pageBreakPreview" topLeftCell="A79" zoomScale="40" zoomScaleNormal="60" zoomScaleSheetLayoutView="40" workbookViewId="0">
      <selection activeCell="O144" sqref="O144"/>
    </sheetView>
  </sheetViews>
  <sheetFormatPr baseColWidth="10" defaultRowHeight="15" x14ac:dyDescent="0.25"/>
  <cols>
    <col min="1" max="1" width="3.85546875" style="9" customWidth="1"/>
    <col min="2" max="2" width="6.7109375" style="5" customWidth="1"/>
    <col min="3" max="3" width="11.42578125" style="5" customWidth="1"/>
    <col min="4" max="4" width="22" style="5" customWidth="1"/>
    <col min="5" max="5" width="8.85546875" style="5" customWidth="1"/>
    <col min="6" max="6" width="5.140625" style="5" customWidth="1"/>
    <col min="7" max="7" width="13" style="5" customWidth="1"/>
    <col min="8" max="8" width="23.85546875" style="5" customWidth="1"/>
    <col min="9" max="9" width="16.28515625" style="5" customWidth="1"/>
    <col min="10" max="10" width="17" style="6" customWidth="1"/>
    <col min="11" max="11" width="7.85546875" style="5" customWidth="1"/>
    <col min="12" max="12" width="18.28515625" style="5" customWidth="1"/>
    <col min="13" max="13" width="12.42578125" style="5" bestFit="1" customWidth="1"/>
    <col min="14" max="14" width="9.28515625" style="5" customWidth="1"/>
    <col min="15" max="15" width="22.7109375" style="5" customWidth="1"/>
    <col min="16" max="16" width="19.5703125" style="5" customWidth="1"/>
    <col min="17" max="17" width="14" style="5" customWidth="1"/>
    <col min="18" max="18" width="8.140625" style="5" customWidth="1"/>
    <col min="19" max="19" width="11" style="5" customWidth="1"/>
    <col min="20" max="20" width="12.28515625" style="5" customWidth="1"/>
    <col min="21" max="21" width="19.28515625" style="5" customWidth="1"/>
    <col min="22" max="22" width="12.28515625" style="5" customWidth="1"/>
    <col min="23" max="23" width="22.28515625" style="6" customWidth="1"/>
    <col min="24" max="24" width="7.140625" style="5" customWidth="1"/>
    <col min="25" max="25" width="14" style="5" customWidth="1"/>
    <col min="26" max="26" width="11.7109375" style="5" customWidth="1"/>
    <col min="27" max="27" width="13.28515625" style="5" customWidth="1"/>
    <col min="28" max="28" width="16.7109375" style="5" customWidth="1"/>
    <col min="29" max="29" width="13.5703125" style="5" customWidth="1"/>
    <col min="30" max="30" width="13.140625" style="5" customWidth="1"/>
    <col min="31" max="31" width="9.140625" style="5" customWidth="1"/>
    <col min="32" max="32" width="11.85546875" style="5" customWidth="1"/>
    <col min="33" max="33" width="19.85546875" style="7" customWidth="1"/>
    <col min="34" max="34" width="31.28515625" customWidth="1"/>
    <col min="35" max="35" width="27" customWidth="1"/>
    <col min="36" max="36" width="14.7109375" customWidth="1"/>
  </cols>
  <sheetData>
    <row r="1" spans="2:35" s="9" customFormat="1" ht="15.75" thickBot="1" x14ac:dyDescent="0.3">
      <c r="B1" s="5"/>
      <c r="C1" s="5"/>
      <c r="D1" s="5"/>
      <c r="E1" s="5"/>
      <c r="F1" s="5"/>
      <c r="G1" s="5"/>
      <c r="H1" s="5"/>
      <c r="I1" s="5"/>
      <c r="J1" s="6"/>
      <c r="K1" s="5"/>
      <c r="L1" s="5"/>
      <c r="M1" s="5"/>
      <c r="N1" s="5"/>
      <c r="O1" s="5"/>
      <c r="P1" s="5"/>
      <c r="Q1" s="5"/>
      <c r="R1" s="5"/>
      <c r="S1" s="5"/>
      <c r="T1" s="5"/>
      <c r="U1" s="5"/>
      <c r="V1" s="5"/>
      <c r="W1" s="6"/>
      <c r="X1" s="5"/>
      <c r="Y1" s="5"/>
      <c r="Z1" s="5"/>
      <c r="AA1" s="5"/>
      <c r="AB1" s="5"/>
      <c r="AC1" s="5"/>
      <c r="AD1" s="5"/>
      <c r="AE1" s="5"/>
      <c r="AF1" s="5"/>
      <c r="AG1" s="7"/>
    </row>
    <row r="2" spans="2:35" s="9" customFormat="1" ht="76.5" customHeight="1" thickBot="1" x14ac:dyDescent="0.3">
      <c r="B2" s="88"/>
      <c r="C2" s="89"/>
      <c r="D2" s="89"/>
      <c r="E2" s="89"/>
      <c r="F2" s="90"/>
      <c r="G2" s="368" t="s">
        <v>304</v>
      </c>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c r="AG2" s="369"/>
      <c r="AH2" s="370"/>
    </row>
    <row r="3" spans="2:35" s="3" customFormat="1" ht="19.5" customHeight="1" thickBot="1" x14ac:dyDescent="0.3">
      <c r="B3" s="11"/>
      <c r="C3" s="11"/>
      <c r="D3" s="11"/>
      <c r="E3" s="11"/>
      <c r="F3" s="11"/>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22"/>
    </row>
    <row r="4" spans="2:35" ht="34.5" customHeight="1" x14ac:dyDescent="0.25">
      <c r="B4" s="348" t="s">
        <v>226</v>
      </c>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c r="AH4" s="350"/>
      <c r="AI4" s="91"/>
    </row>
    <row r="5" spans="2:35" s="1" customFormat="1" ht="46.5" customHeight="1" x14ac:dyDescent="0.25">
      <c r="B5" s="190" t="s">
        <v>6</v>
      </c>
      <c r="C5" s="423" t="s">
        <v>0</v>
      </c>
      <c r="D5" s="423"/>
      <c r="E5" s="423"/>
      <c r="F5" s="184" t="s">
        <v>13</v>
      </c>
      <c r="G5" s="184" t="s">
        <v>4</v>
      </c>
      <c r="H5" s="184" t="s">
        <v>70</v>
      </c>
      <c r="I5" s="184" t="s">
        <v>71</v>
      </c>
      <c r="J5" s="184" t="s">
        <v>1</v>
      </c>
      <c r="K5" s="184" t="s">
        <v>4</v>
      </c>
      <c r="L5" s="184" t="s">
        <v>72</v>
      </c>
      <c r="M5" s="184" t="s">
        <v>43</v>
      </c>
      <c r="N5" s="184" t="s">
        <v>73</v>
      </c>
      <c r="O5" s="184" t="s">
        <v>74</v>
      </c>
      <c r="P5" s="184" t="s">
        <v>75</v>
      </c>
      <c r="Q5" s="184" t="s">
        <v>2</v>
      </c>
      <c r="R5" s="184" t="s">
        <v>4</v>
      </c>
      <c r="S5" s="184" t="s">
        <v>76</v>
      </c>
      <c r="T5" s="184" t="s">
        <v>73</v>
      </c>
      <c r="U5" s="184" t="s">
        <v>74</v>
      </c>
      <c r="V5" s="184" t="s">
        <v>77</v>
      </c>
      <c r="W5" s="184" t="s">
        <v>5</v>
      </c>
      <c r="X5" s="184" t="s">
        <v>13</v>
      </c>
      <c r="Y5" s="184" t="s">
        <v>14</v>
      </c>
      <c r="Z5" s="184" t="s">
        <v>78</v>
      </c>
      <c r="AA5" s="184" t="s">
        <v>74</v>
      </c>
      <c r="AB5" s="184" t="s">
        <v>79</v>
      </c>
      <c r="AC5" s="184" t="s">
        <v>7</v>
      </c>
      <c r="AD5" s="184" t="s">
        <v>4</v>
      </c>
      <c r="AE5" s="184" t="s">
        <v>80</v>
      </c>
      <c r="AF5" s="184" t="s">
        <v>74</v>
      </c>
      <c r="AG5" s="184" t="s">
        <v>81</v>
      </c>
      <c r="AH5" s="184" t="s">
        <v>116</v>
      </c>
    </row>
    <row r="6" spans="2:35" s="1" customFormat="1" ht="15.75" customHeight="1" x14ac:dyDescent="0.25">
      <c r="B6" s="187" t="s">
        <v>205</v>
      </c>
      <c r="C6" s="351" t="s">
        <v>63</v>
      </c>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c r="AD6" s="351"/>
      <c r="AE6" s="351"/>
      <c r="AF6" s="351"/>
      <c r="AG6" s="351"/>
      <c r="AH6" s="191">
        <f>I7+I10</f>
        <v>47263.713184545457</v>
      </c>
      <c r="AI6" s="49"/>
    </row>
    <row r="7" spans="2:35" s="1" customFormat="1" ht="16.899999999999999" customHeight="1" x14ac:dyDescent="0.25">
      <c r="B7" s="354">
        <v>1.1000000000000001</v>
      </c>
      <c r="C7" s="355" t="s">
        <v>103</v>
      </c>
      <c r="D7" s="355"/>
      <c r="E7" s="355"/>
      <c r="F7" s="354" t="s">
        <v>8</v>
      </c>
      <c r="G7" s="356">
        <v>1</v>
      </c>
      <c r="H7" s="356">
        <f>U7+U8+U9</f>
        <v>3800</v>
      </c>
      <c r="I7" s="356">
        <f>G7*H7</f>
        <v>3800</v>
      </c>
      <c r="J7" s="186"/>
      <c r="K7" s="183"/>
      <c r="L7" s="183"/>
      <c r="M7" s="183"/>
      <c r="N7" s="183"/>
      <c r="O7" s="183"/>
      <c r="P7" s="183"/>
      <c r="Q7" s="183" t="s">
        <v>104</v>
      </c>
      <c r="R7" s="188">
        <v>1</v>
      </c>
      <c r="S7" s="188">
        <f>Apoyo!B13</f>
        <v>70</v>
      </c>
      <c r="T7" s="188">
        <v>20</v>
      </c>
      <c r="U7" s="14">
        <f>V7/G7</f>
        <v>1400</v>
      </c>
      <c r="V7" s="188">
        <f t="shared" ref="V7:V12" si="0">T7*S7</f>
        <v>1400</v>
      </c>
      <c r="W7" s="183"/>
      <c r="X7" s="183"/>
      <c r="Y7" s="183"/>
      <c r="Z7" s="183"/>
      <c r="AA7" s="183"/>
      <c r="AB7" s="183"/>
      <c r="AC7" s="183"/>
      <c r="AD7" s="183"/>
      <c r="AE7" s="183"/>
      <c r="AF7" s="183"/>
      <c r="AG7" s="183"/>
      <c r="AH7" s="192"/>
    </row>
    <row r="8" spans="2:35" s="1" customFormat="1" ht="16.899999999999999" customHeight="1" x14ac:dyDescent="0.25">
      <c r="B8" s="354"/>
      <c r="C8" s="355"/>
      <c r="D8" s="355"/>
      <c r="E8" s="355"/>
      <c r="F8" s="354"/>
      <c r="G8" s="356"/>
      <c r="H8" s="356"/>
      <c r="I8" s="356"/>
      <c r="J8" s="186"/>
      <c r="K8" s="183"/>
      <c r="L8" s="183"/>
      <c r="M8" s="183"/>
      <c r="N8" s="183"/>
      <c r="O8" s="183"/>
      <c r="P8" s="183"/>
      <c r="Q8" s="183" t="s">
        <v>105</v>
      </c>
      <c r="R8" s="188">
        <v>1</v>
      </c>
      <c r="S8" s="188">
        <f>Apoyo!B12</f>
        <v>60</v>
      </c>
      <c r="T8" s="188">
        <v>20</v>
      </c>
      <c r="U8" s="14">
        <f>V8/G7</f>
        <v>1200</v>
      </c>
      <c r="V8" s="188">
        <f t="shared" si="0"/>
        <v>1200</v>
      </c>
      <c r="W8" s="183"/>
      <c r="X8" s="183"/>
      <c r="Y8" s="183"/>
      <c r="Z8" s="183"/>
      <c r="AA8" s="183"/>
      <c r="AB8" s="183"/>
      <c r="AC8" s="183"/>
      <c r="AD8" s="183"/>
      <c r="AE8" s="183"/>
      <c r="AF8" s="183"/>
      <c r="AG8" s="183"/>
      <c r="AH8" s="192"/>
    </row>
    <row r="9" spans="2:35" s="1" customFormat="1" ht="19.899999999999999" customHeight="1" x14ac:dyDescent="0.25">
      <c r="B9" s="354"/>
      <c r="C9" s="355"/>
      <c r="D9" s="355"/>
      <c r="E9" s="355"/>
      <c r="F9" s="354"/>
      <c r="G9" s="356"/>
      <c r="H9" s="356"/>
      <c r="I9" s="356"/>
      <c r="J9" s="186"/>
      <c r="K9" s="183"/>
      <c r="L9" s="183"/>
      <c r="M9" s="183"/>
      <c r="N9" s="183"/>
      <c r="O9" s="183"/>
      <c r="P9" s="183"/>
      <c r="Q9" s="183" t="s">
        <v>106</v>
      </c>
      <c r="R9" s="188">
        <v>1</v>
      </c>
      <c r="S9" s="188">
        <f>Apoyo!B11</f>
        <v>60</v>
      </c>
      <c r="T9" s="188">
        <v>20</v>
      </c>
      <c r="U9" s="14">
        <f>V9/G7</f>
        <v>1200</v>
      </c>
      <c r="V9" s="188">
        <f t="shared" si="0"/>
        <v>1200</v>
      </c>
      <c r="W9" s="183"/>
      <c r="X9" s="183"/>
      <c r="Y9" s="183"/>
      <c r="Z9" s="183"/>
      <c r="AA9" s="183"/>
      <c r="AB9" s="183"/>
      <c r="AC9" s="183"/>
      <c r="AD9" s="183"/>
      <c r="AE9" s="183"/>
      <c r="AF9" s="183"/>
      <c r="AG9" s="183"/>
      <c r="AH9" s="192"/>
    </row>
    <row r="10" spans="2:35" s="2" customFormat="1" ht="14.25" customHeight="1" x14ac:dyDescent="0.25">
      <c r="B10" s="317">
        <v>1.2</v>
      </c>
      <c r="C10" s="341" t="s">
        <v>284</v>
      </c>
      <c r="D10" s="341"/>
      <c r="E10" s="341"/>
      <c r="F10" s="317" t="s">
        <v>8</v>
      </c>
      <c r="G10" s="316">
        <v>1</v>
      </c>
      <c r="H10" s="316">
        <f>O10+O12+U10+U12+O11+U11+AA11</f>
        <v>43463.713184545457</v>
      </c>
      <c r="I10" s="316">
        <f>G10*H10</f>
        <v>43463.713184545457</v>
      </c>
      <c r="J10" s="185" t="s">
        <v>61</v>
      </c>
      <c r="K10" s="185">
        <v>1</v>
      </c>
      <c r="L10" s="185">
        <v>39000</v>
      </c>
      <c r="M10" s="185">
        <v>1</v>
      </c>
      <c r="N10" s="185">
        <v>1</v>
      </c>
      <c r="O10" s="185">
        <f>P10/G10</f>
        <v>39000</v>
      </c>
      <c r="P10" s="185">
        <f>L10*N10</f>
        <v>39000</v>
      </c>
      <c r="Q10" s="185" t="s">
        <v>20</v>
      </c>
      <c r="R10" s="185">
        <v>5</v>
      </c>
      <c r="S10" s="185">
        <f>R10*Apoyo!B8</f>
        <v>200</v>
      </c>
      <c r="T10" s="185">
        <v>3</v>
      </c>
      <c r="U10" s="185">
        <f>V10/G10</f>
        <v>600</v>
      </c>
      <c r="V10" s="185">
        <f t="shared" si="0"/>
        <v>600</v>
      </c>
      <c r="W10" s="185"/>
      <c r="X10" s="185"/>
      <c r="Y10" s="185"/>
      <c r="Z10" s="185"/>
      <c r="AA10" s="185"/>
      <c r="AB10" s="185"/>
      <c r="AC10" s="185"/>
      <c r="AD10" s="185"/>
      <c r="AE10" s="185"/>
      <c r="AF10" s="185"/>
      <c r="AG10" s="185"/>
      <c r="AH10" s="193"/>
    </row>
    <row r="11" spans="2:35" s="2" customFormat="1" ht="18.75" customHeight="1" x14ac:dyDescent="0.25">
      <c r="B11" s="317"/>
      <c r="C11" s="341"/>
      <c r="D11" s="341"/>
      <c r="E11" s="341"/>
      <c r="F11" s="317"/>
      <c r="G11" s="316"/>
      <c r="H11" s="316"/>
      <c r="I11" s="316"/>
      <c r="J11" s="188" t="s">
        <v>92</v>
      </c>
      <c r="K11" s="188">
        <v>2</v>
      </c>
      <c r="L11" s="185">
        <f>(22.5*8)*K11</f>
        <v>360</v>
      </c>
      <c r="M11" s="188">
        <v>1</v>
      </c>
      <c r="N11" s="188">
        <v>3</v>
      </c>
      <c r="O11" s="188">
        <f>P11/G10</f>
        <v>1080</v>
      </c>
      <c r="P11" s="188">
        <f t="shared" ref="P11" si="1">L11*N11</f>
        <v>1080</v>
      </c>
      <c r="Q11" s="185" t="s">
        <v>227</v>
      </c>
      <c r="R11" s="185">
        <v>2</v>
      </c>
      <c r="S11" s="185">
        <f>R11*Apoyo!B9</f>
        <v>100</v>
      </c>
      <c r="T11" s="185">
        <v>3</v>
      </c>
      <c r="U11" s="185">
        <f>V11/G10</f>
        <v>300</v>
      </c>
      <c r="V11" s="185">
        <f t="shared" si="0"/>
        <v>300</v>
      </c>
      <c r="W11" s="185" t="s">
        <v>10</v>
      </c>
      <c r="X11" s="185" t="s">
        <v>115</v>
      </c>
      <c r="Y11" s="185">
        <v>102</v>
      </c>
      <c r="Z11" s="185">
        <f>Apoyo!B14</f>
        <v>5.678115</v>
      </c>
      <c r="AA11" s="185">
        <f>AB11/G10</f>
        <v>579.16773000000001</v>
      </c>
      <c r="AB11" s="185">
        <f>Y11*Z11</f>
        <v>579.16773000000001</v>
      </c>
      <c r="AC11" s="185"/>
      <c r="AD11" s="185"/>
      <c r="AE11" s="185"/>
      <c r="AF11" s="185"/>
      <c r="AG11" s="185"/>
      <c r="AH11" s="193"/>
    </row>
    <row r="12" spans="2:35" s="2" customFormat="1" ht="24.75" customHeight="1" x14ac:dyDescent="0.25">
      <c r="B12" s="317"/>
      <c r="C12" s="341"/>
      <c r="D12" s="341"/>
      <c r="E12" s="341"/>
      <c r="F12" s="317"/>
      <c r="G12" s="316"/>
      <c r="H12" s="316"/>
      <c r="I12" s="316"/>
      <c r="J12" s="185" t="s">
        <v>47</v>
      </c>
      <c r="K12" s="185">
        <v>2</v>
      </c>
      <c r="L12" s="125">
        <f>+K12*(800/3.3)</f>
        <v>484.84848484848487</v>
      </c>
      <c r="M12" s="185">
        <v>1</v>
      </c>
      <c r="N12" s="185">
        <v>3</v>
      </c>
      <c r="O12" s="125">
        <f>P12/G10</f>
        <v>1454.5454545454545</v>
      </c>
      <c r="P12" s="125">
        <f>L12*N12</f>
        <v>1454.5454545454545</v>
      </c>
      <c r="Q12" s="185" t="s">
        <v>64</v>
      </c>
      <c r="R12" s="185">
        <v>3</v>
      </c>
      <c r="S12" s="185">
        <f>R12*Apoyo!B10</f>
        <v>150</v>
      </c>
      <c r="T12" s="185">
        <v>3</v>
      </c>
      <c r="U12" s="185">
        <f>V12/G10</f>
        <v>450</v>
      </c>
      <c r="V12" s="185">
        <f t="shared" si="0"/>
        <v>450</v>
      </c>
      <c r="W12" s="185"/>
      <c r="X12" s="185"/>
      <c r="Y12" s="185"/>
      <c r="Z12" s="185"/>
      <c r="AA12" s="185"/>
      <c r="AB12" s="185"/>
      <c r="AC12" s="185"/>
      <c r="AD12" s="185"/>
      <c r="AE12" s="185"/>
      <c r="AF12" s="185"/>
      <c r="AG12" s="185"/>
      <c r="AH12" s="193"/>
    </row>
    <row r="13" spans="2:35" ht="20.45" customHeight="1" x14ac:dyDescent="0.25">
      <c r="B13" s="187" t="s">
        <v>206</v>
      </c>
      <c r="C13" s="351" t="s">
        <v>228</v>
      </c>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191">
        <f>I14+I18+I19+I26</f>
        <v>122265.88282727273</v>
      </c>
      <c r="AI13" s="50"/>
    </row>
    <row r="14" spans="2:35" s="3" customFormat="1" ht="60.75" customHeight="1" x14ac:dyDescent="0.25">
      <c r="B14" s="317">
        <v>2.1</v>
      </c>
      <c r="C14" s="329" t="s">
        <v>229</v>
      </c>
      <c r="D14" s="329"/>
      <c r="E14" s="329"/>
      <c r="F14" s="354" t="s">
        <v>108</v>
      </c>
      <c r="G14" s="316">
        <v>500</v>
      </c>
      <c r="H14" s="316">
        <f>O14+O15+O16+O17+U14+U15+AA14+AA15+AA16+AA17</f>
        <v>54.744127563636354</v>
      </c>
      <c r="I14" s="316">
        <f>H14*G14</f>
        <v>27372.063781818179</v>
      </c>
      <c r="J14" s="185" t="s">
        <v>49</v>
      </c>
      <c r="K14" s="185">
        <v>1</v>
      </c>
      <c r="L14" s="185">
        <f>(33.16*8)*K14</f>
        <v>265.27999999999997</v>
      </c>
      <c r="M14" s="185">
        <f>1000*K14</f>
        <v>1000</v>
      </c>
      <c r="N14" s="185">
        <v>12</v>
      </c>
      <c r="O14" s="185">
        <f>P14/G14</f>
        <v>6.366719999999999</v>
      </c>
      <c r="P14" s="185">
        <f t="shared" ref="P14:P19" si="2">L14*N14</f>
        <v>3183.3599999999997</v>
      </c>
      <c r="Q14" s="185" t="s">
        <v>3</v>
      </c>
      <c r="R14" s="185">
        <v>4</v>
      </c>
      <c r="S14" s="185">
        <f>R14*Apoyo!B9</f>
        <v>200</v>
      </c>
      <c r="T14" s="185">
        <v>12</v>
      </c>
      <c r="U14" s="185">
        <f>V14/G14</f>
        <v>4.8</v>
      </c>
      <c r="V14" s="185">
        <f>T14*S14</f>
        <v>2400</v>
      </c>
      <c r="W14" s="185"/>
      <c r="X14" s="185"/>
      <c r="Y14" s="185"/>
      <c r="Z14" s="185"/>
      <c r="AA14" s="185"/>
      <c r="AB14" s="185"/>
      <c r="AC14" s="185"/>
      <c r="AD14" s="185"/>
      <c r="AE14" s="185"/>
      <c r="AF14" s="185"/>
      <c r="AG14" s="185"/>
      <c r="AH14" s="194"/>
    </row>
    <row r="15" spans="2:35" s="3" customFormat="1" ht="31.5" customHeight="1" x14ac:dyDescent="0.25">
      <c r="B15" s="317"/>
      <c r="C15" s="329"/>
      <c r="D15" s="329"/>
      <c r="E15" s="329"/>
      <c r="F15" s="354"/>
      <c r="G15" s="316"/>
      <c r="H15" s="316"/>
      <c r="I15" s="316"/>
      <c r="J15" s="195" t="s">
        <v>230</v>
      </c>
      <c r="K15" s="185">
        <v>1</v>
      </c>
      <c r="L15" s="185">
        <f>(300/3.3)*K15</f>
        <v>90.909090909090921</v>
      </c>
      <c r="M15" s="185">
        <f t="shared" ref="M15:M16" si="3">1000*K15</f>
        <v>1000</v>
      </c>
      <c r="N15" s="185">
        <v>12</v>
      </c>
      <c r="O15" s="185">
        <f>P15/G14</f>
        <v>2.1818181818181821</v>
      </c>
      <c r="P15" s="185">
        <f t="shared" si="2"/>
        <v>1090.909090909091</v>
      </c>
      <c r="Q15" s="185" t="s">
        <v>16</v>
      </c>
      <c r="R15" s="185">
        <v>5</v>
      </c>
      <c r="S15" s="185">
        <f>R15*Apoyo!B8</f>
        <v>200</v>
      </c>
      <c r="T15" s="185">
        <v>12</v>
      </c>
      <c r="U15" s="185">
        <f>V15/G14</f>
        <v>4.8</v>
      </c>
      <c r="V15" s="185">
        <f>T15*S15</f>
        <v>2400</v>
      </c>
      <c r="W15" s="185" t="s">
        <v>10</v>
      </c>
      <c r="X15" s="185" t="s">
        <v>115</v>
      </c>
      <c r="Y15" s="185">
        <f>12*30*4</f>
        <v>1440</v>
      </c>
      <c r="Z15" s="185">
        <f>Apoyo!B14</f>
        <v>5.678115</v>
      </c>
      <c r="AA15" s="185">
        <f>AB15/G14</f>
        <v>16.352971199999999</v>
      </c>
      <c r="AB15" s="185">
        <f>Y15*Z15</f>
        <v>8176.4856</v>
      </c>
      <c r="AC15" s="185"/>
      <c r="AD15" s="185"/>
      <c r="AE15" s="185"/>
      <c r="AF15" s="185"/>
      <c r="AG15" s="185"/>
      <c r="AH15" s="194"/>
    </row>
    <row r="16" spans="2:35" s="3" customFormat="1" ht="27" customHeight="1" x14ac:dyDescent="0.25">
      <c r="B16" s="317"/>
      <c r="C16" s="329"/>
      <c r="D16" s="329"/>
      <c r="E16" s="329"/>
      <c r="F16" s="354"/>
      <c r="G16" s="316"/>
      <c r="H16" s="316"/>
      <c r="I16" s="316"/>
      <c r="J16" s="195" t="s">
        <v>231</v>
      </c>
      <c r="K16" s="185">
        <v>1</v>
      </c>
      <c r="L16" s="185">
        <f>((182.92/3.3)*8)*K16</f>
        <v>443.44242424242424</v>
      </c>
      <c r="M16" s="185">
        <f t="shared" si="3"/>
        <v>1000</v>
      </c>
      <c r="N16" s="185">
        <v>12</v>
      </c>
      <c r="O16" s="185">
        <f>P16/G14</f>
        <v>10.642618181818181</v>
      </c>
      <c r="P16" s="185">
        <f t="shared" si="2"/>
        <v>5321.3090909090906</v>
      </c>
      <c r="Q16" s="185"/>
      <c r="R16" s="185"/>
      <c r="S16" s="185"/>
      <c r="T16" s="185"/>
      <c r="U16" s="185"/>
      <c r="V16" s="185"/>
      <c r="W16" s="185"/>
      <c r="X16" s="185"/>
      <c r="Y16" s="185"/>
      <c r="Z16" s="185"/>
      <c r="AA16" s="185"/>
      <c r="AB16" s="185"/>
      <c r="AC16" s="185"/>
      <c r="AD16" s="185"/>
      <c r="AE16" s="185"/>
      <c r="AF16" s="185"/>
      <c r="AG16" s="185"/>
      <c r="AH16" s="194"/>
    </row>
    <row r="17" spans="2:35" s="3" customFormat="1" ht="66" customHeight="1" x14ac:dyDescent="0.25">
      <c r="B17" s="317"/>
      <c r="C17" s="329"/>
      <c r="D17" s="329"/>
      <c r="E17" s="329"/>
      <c r="F17" s="354"/>
      <c r="G17" s="316"/>
      <c r="H17" s="316"/>
      <c r="I17" s="316"/>
      <c r="J17" s="185" t="s">
        <v>232</v>
      </c>
      <c r="K17" s="116">
        <v>1</v>
      </c>
      <c r="L17" s="185">
        <f>(50*8)*K17</f>
        <v>400</v>
      </c>
      <c r="M17" s="185">
        <f>1000*K17</f>
        <v>1000</v>
      </c>
      <c r="N17" s="185">
        <v>12</v>
      </c>
      <c r="O17" s="185">
        <f>P17/G14</f>
        <v>9.6</v>
      </c>
      <c r="P17" s="185">
        <f t="shared" si="2"/>
        <v>4800</v>
      </c>
      <c r="Q17" s="185"/>
      <c r="R17" s="185"/>
      <c r="S17" s="185"/>
      <c r="T17" s="185"/>
      <c r="U17" s="185"/>
      <c r="V17" s="185"/>
      <c r="W17" s="185"/>
      <c r="X17" s="185"/>
      <c r="Y17" s="185"/>
      <c r="Z17" s="185"/>
      <c r="AA17" s="185"/>
      <c r="AB17" s="185"/>
      <c r="AC17" s="185"/>
      <c r="AD17" s="185"/>
      <c r="AE17" s="185"/>
      <c r="AF17" s="185"/>
      <c r="AG17" s="185"/>
      <c r="AH17" s="194"/>
    </row>
    <row r="18" spans="2:35" s="3" customFormat="1" ht="66" customHeight="1" x14ac:dyDescent="0.25">
      <c r="B18" s="183">
        <v>2.2000000000000002</v>
      </c>
      <c r="C18" s="329" t="s">
        <v>84</v>
      </c>
      <c r="D18" s="329"/>
      <c r="E18" s="329"/>
      <c r="F18" s="187" t="s">
        <v>44</v>
      </c>
      <c r="G18" s="185">
        <v>15</v>
      </c>
      <c r="H18" s="185">
        <f>O18+U18</f>
        <v>136.36363636363637</v>
      </c>
      <c r="I18" s="185">
        <f>G18*H18</f>
        <v>2045.4545454545455</v>
      </c>
      <c r="J18" s="185" t="s">
        <v>90</v>
      </c>
      <c r="K18" s="185">
        <v>1</v>
      </c>
      <c r="L18" s="185">
        <f>120/3.3</f>
        <v>36.363636363636367</v>
      </c>
      <c r="M18" s="185">
        <v>1</v>
      </c>
      <c r="N18" s="185">
        <v>15</v>
      </c>
      <c r="O18" s="185">
        <f>P18/G18</f>
        <v>36.363636363636367</v>
      </c>
      <c r="P18" s="185">
        <f t="shared" si="2"/>
        <v>545.4545454545455</v>
      </c>
      <c r="Q18" s="185" t="s">
        <v>91</v>
      </c>
      <c r="R18" s="185">
        <v>2</v>
      </c>
      <c r="S18" s="185">
        <f>R18*Apoyo!B9</f>
        <v>100</v>
      </c>
      <c r="T18" s="185">
        <v>15</v>
      </c>
      <c r="U18" s="185">
        <f>V18/G18</f>
        <v>100</v>
      </c>
      <c r="V18" s="185">
        <f>T18*S18</f>
        <v>1500</v>
      </c>
      <c r="W18" s="185"/>
      <c r="X18" s="185"/>
      <c r="Y18" s="185"/>
      <c r="Z18" s="185"/>
      <c r="AA18" s="185"/>
      <c r="AB18" s="185"/>
      <c r="AC18" s="185"/>
      <c r="AD18" s="185"/>
      <c r="AE18" s="185"/>
      <c r="AF18" s="185"/>
      <c r="AG18" s="185"/>
      <c r="AH18" s="194"/>
    </row>
    <row r="19" spans="2:35" s="3" customFormat="1" ht="54" customHeight="1" x14ac:dyDescent="0.25">
      <c r="B19" s="317">
        <v>2.2999999999999998</v>
      </c>
      <c r="C19" s="329" t="s">
        <v>82</v>
      </c>
      <c r="D19" s="329"/>
      <c r="E19" s="329"/>
      <c r="F19" s="317" t="s">
        <v>107</v>
      </c>
      <c r="G19" s="316">
        <v>450</v>
      </c>
      <c r="H19" s="316">
        <f>O19+U19+U20+AA19+AA20+AA22+AA23+AA24+AA25+AA21</f>
        <v>185.3</v>
      </c>
      <c r="I19" s="316">
        <f>G19*H19</f>
        <v>83385</v>
      </c>
      <c r="J19" s="185" t="s">
        <v>92</v>
      </c>
      <c r="K19" s="185">
        <v>2</v>
      </c>
      <c r="L19" s="185">
        <f>(22.5*8)*K19</f>
        <v>360</v>
      </c>
      <c r="M19" s="185">
        <v>1000</v>
      </c>
      <c r="N19" s="185">
        <v>12</v>
      </c>
      <c r="O19" s="185">
        <f>P19/G19</f>
        <v>9.6</v>
      </c>
      <c r="P19" s="185">
        <f t="shared" si="2"/>
        <v>4320</v>
      </c>
      <c r="Q19" s="185" t="s">
        <v>16</v>
      </c>
      <c r="R19" s="185">
        <v>6</v>
      </c>
      <c r="S19" s="185">
        <f>R19*Apoyo!B8</f>
        <v>240</v>
      </c>
      <c r="T19" s="185">
        <v>12</v>
      </c>
      <c r="U19" s="185">
        <f>V19/G19</f>
        <v>6.4</v>
      </c>
      <c r="V19" s="185">
        <f>T19*S19</f>
        <v>2880</v>
      </c>
      <c r="W19" s="185" t="s">
        <v>52</v>
      </c>
      <c r="X19" s="125" t="s">
        <v>108</v>
      </c>
      <c r="Y19" s="125">
        <f>G19</f>
        <v>450</v>
      </c>
      <c r="Z19" s="125">
        <v>8</v>
      </c>
      <c r="AA19" s="185">
        <f>AB19/G19</f>
        <v>8</v>
      </c>
      <c r="AB19" s="185">
        <f t="shared" ref="AB19:AB24" si="4">Y19*Z19</f>
        <v>3600</v>
      </c>
      <c r="AC19" s="185"/>
      <c r="AD19" s="185"/>
      <c r="AE19" s="185"/>
      <c r="AF19" s="185"/>
      <c r="AG19" s="185"/>
      <c r="AH19" s="194"/>
    </row>
    <row r="20" spans="2:35" s="3" customFormat="1" ht="34.5" customHeight="1" x14ac:dyDescent="0.25">
      <c r="B20" s="317"/>
      <c r="C20" s="329"/>
      <c r="D20" s="329"/>
      <c r="E20" s="329"/>
      <c r="F20" s="317"/>
      <c r="G20" s="316"/>
      <c r="H20" s="316"/>
      <c r="I20" s="316"/>
      <c r="J20" s="58"/>
      <c r="K20" s="15"/>
      <c r="L20" s="125"/>
      <c r="M20" s="125"/>
      <c r="N20" s="125"/>
      <c r="O20" s="125"/>
      <c r="P20" s="125"/>
      <c r="Q20" s="185" t="s">
        <v>3</v>
      </c>
      <c r="R20" s="185">
        <v>2</v>
      </c>
      <c r="S20" s="185">
        <f>R20*Apoyo!B9</f>
        <v>100</v>
      </c>
      <c r="T20" s="185">
        <v>12</v>
      </c>
      <c r="U20" s="185">
        <f>V20/G19</f>
        <v>2.6666666666666665</v>
      </c>
      <c r="V20" s="185">
        <f>T20*S20</f>
        <v>1200</v>
      </c>
      <c r="W20" s="185" t="s">
        <v>93</v>
      </c>
      <c r="X20" s="125" t="s">
        <v>13</v>
      </c>
      <c r="Y20" s="125">
        <f>4*((G19/20)/3)</f>
        <v>30</v>
      </c>
      <c r="Z20" s="125">
        <v>100</v>
      </c>
      <c r="AA20" s="185">
        <f>AB20/G19</f>
        <v>6.666666666666667</v>
      </c>
      <c r="AB20" s="185">
        <f t="shared" si="4"/>
        <v>3000</v>
      </c>
      <c r="AC20" s="185"/>
      <c r="AD20" s="185"/>
      <c r="AE20" s="185"/>
      <c r="AF20" s="185"/>
      <c r="AG20" s="185"/>
      <c r="AH20" s="194"/>
    </row>
    <row r="21" spans="2:35" s="3" customFormat="1" ht="34.5" customHeight="1" x14ac:dyDescent="0.25">
      <c r="B21" s="317"/>
      <c r="C21" s="329"/>
      <c r="D21" s="329"/>
      <c r="E21" s="329"/>
      <c r="F21" s="317"/>
      <c r="G21" s="316"/>
      <c r="H21" s="316"/>
      <c r="I21" s="316"/>
      <c r="J21" s="58"/>
      <c r="K21" s="15"/>
      <c r="L21" s="246"/>
      <c r="M21" s="246"/>
      <c r="N21" s="246"/>
      <c r="O21" s="246"/>
      <c r="P21" s="246"/>
      <c r="Q21" s="245"/>
      <c r="R21" s="245"/>
      <c r="S21" s="245"/>
      <c r="T21" s="245"/>
      <c r="U21" s="245"/>
      <c r="V21" s="245"/>
      <c r="W21" s="245" t="s">
        <v>10</v>
      </c>
      <c r="X21" s="245" t="s">
        <v>115</v>
      </c>
      <c r="Y21" s="245">
        <v>480</v>
      </c>
      <c r="Z21" s="245">
        <f>Apoyo!B20</f>
        <v>75</v>
      </c>
      <c r="AA21" s="245">
        <f>AB21/G19</f>
        <v>80</v>
      </c>
      <c r="AB21" s="245">
        <f>Y21*Z21</f>
        <v>36000</v>
      </c>
      <c r="AC21" s="245"/>
      <c r="AD21" s="245"/>
      <c r="AE21" s="245"/>
      <c r="AF21" s="245"/>
      <c r="AG21" s="245"/>
      <c r="AH21" s="194"/>
    </row>
    <row r="22" spans="2:35" s="3" customFormat="1" ht="34.5" customHeight="1" x14ac:dyDescent="0.25">
      <c r="B22" s="317"/>
      <c r="C22" s="329"/>
      <c r="D22" s="329"/>
      <c r="E22" s="329"/>
      <c r="F22" s="317"/>
      <c r="G22" s="316"/>
      <c r="H22" s="316"/>
      <c r="I22" s="316"/>
      <c r="J22" s="58"/>
      <c r="K22" s="15"/>
      <c r="L22" s="125"/>
      <c r="M22" s="125"/>
      <c r="N22" s="125"/>
      <c r="O22" s="125"/>
      <c r="P22" s="125"/>
      <c r="Q22" s="125"/>
      <c r="R22" s="125"/>
      <c r="S22" s="125"/>
      <c r="T22" s="125"/>
      <c r="U22" s="125"/>
      <c r="V22" s="185"/>
      <c r="W22" s="185" t="s">
        <v>53</v>
      </c>
      <c r="X22" s="125" t="s">
        <v>13</v>
      </c>
      <c r="Y22" s="125">
        <f>80*((G19/20)/3)</f>
        <v>600</v>
      </c>
      <c r="Z22" s="125">
        <v>4</v>
      </c>
      <c r="AA22" s="185">
        <f>AB22/G19</f>
        <v>5.333333333333333</v>
      </c>
      <c r="AB22" s="185">
        <f t="shared" si="4"/>
        <v>2400</v>
      </c>
      <c r="AC22" s="185"/>
      <c r="AD22" s="185"/>
      <c r="AE22" s="185"/>
      <c r="AF22" s="185"/>
      <c r="AG22" s="185"/>
      <c r="AH22" s="194"/>
    </row>
    <row r="23" spans="2:35" s="3" customFormat="1" ht="34.5" customHeight="1" x14ac:dyDescent="0.25">
      <c r="B23" s="317"/>
      <c r="C23" s="329"/>
      <c r="D23" s="329"/>
      <c r="E23" s="329"/>
      <c r="F23" s="317"/>
      <c r="G23" s="316"/>
      <c r="H23" s="316"/>
      <c r="I23" s="316"/>
      <c r="J23" s="58"/>
      <c r="K23" s="15"/>
      <c r="L23" s="125"/>
      <c r="M23" s="125"/>
      <c r="N23" s="125"/>
      <c r="O23" s="125"/>
      <c r="P23" s="125"/>
      <c r="Q23" s="125"/>
      <c r="R23" s="125"/>
      <c r="S23" s="125"/>
      <c r="T23" s="125"/>
      <c r="U23" s="125"/>
      <c r="V23" s="185"/>
      <c r="W23" s="185" t="s">
        <v>54</v>
      </c>
      <c r="X23" s="125" t="s">
        <v>56</v>
      </c>
      <c r="Y23" s="125">
        <f>146*((G19/20)/3)</f>
        <v>1095</v>
      </c>
      <c r="Z23" s="125">
        <v>5</v>
      </c>
      <c r="AA23" s="185">
        <f>AB23/G19</f>
        <v>12.166666666666666</v>
      </c>
      <c r="AB23" s="185">
        <f t="shared" si="4"/>
        <v>5475</v>
      </c>
      <c r="AC23" s="185"/>
      <c r="AD23" s="185"/>
      <c r="AE23" s="185"/>
      <c r="AF23" s="185"/>
      <c r="AG23" s="185"/>
      <c r="AH23" s="194"/>
    </row>
    <row r="24" spans="2:35" s="3" customFormat="1" ht="34.5" customHeight="1" x14ac:dyDescent="0.25">
      <c r="B24" s="317"/>
      <c r="C24" s="329"/>
      <c r="D24" s="329"/>
      <c r="E24" s="329"/>
      <c r="F24" s="317"/>
      <c r="G24" s="316"/>
      <c r="H24" s="316"/>
      <c r="I24" s="316"/>
      <c r="J24" s="58"/>
      <c r="K24" s="15"/>
      <c r="L24" s="125"/>
      <c r="M24" s="125"/>
      <c r="N24" s="125"/>
      <c r="O24" s="125"/>
      <c r="P24" s="125"/>
      <c r="Q24" s="125"/>
      <c r="R24" s="125"/>
      <c r="S24" s="125"/>
      <c r="T24" s="125"/>
      <c r="U24" s="125"/>
      <c r="V24" s="185"/>
      <c r="W24" s="185" t="s">
        <v>55</v>
      </c>
      <c r="X24" s="125" t="s">
        <v>13</v>
      </c>
      <c r="Y24" s="125">
        <f>(Y22*4)+(Y20*6)</f>
        <v>2580</v>
      </c>
      <c r="Z24" s="125">
        <v>1.5</v>
      </c>
      <c r="AA24" s="185">
        <f>AB24/G19</f>
        <v>8.6</v>
      </c>
      <c r="AB24" s="185">
        <f t="shared" si="4"/>
        <v>3870</v>
      </c>
      <c r="AC24" s="185"/>
      <c r="AD24" s="185"/>
      <c r="AE24" s="185"/>
      <c r="AF24" s="185"/>
      <c r="AG24" s="185"/>
      <c r="AH24" s="194"/>
    </row>
    <row r="25" spans="2:35" s="3" customFormat="1" ht="33" customHeight="1" x14ac:dyDescent="0.25">
      <c r="B25" s="317"/>
      <c r="C25" s="329"/>
      <c r="D25" s="329"/>
      <c r="E25" s="329"/>
      <c r="F25" s="317"/>
      <c r="G25" s="316"/>
      <c r="H25" s="316"/>
      <c r="I25" s="316"/>
      <c r="J25" s="58"/>
      <c r="K25" s="15"/>
      <c r="L25" s="125"/>
      <c r="M25" s="125"/>
      <c r="N25" s="125"/>
      <c r="O25" s="125"/>
      <c r="P25" s="125"/>
      <c r="Q25" s="125"/>
      <c r="R25" s="125"/>
      <c r="S25" s="125"/>
      <c r="T25" s="125"/>
      <c r="U25" s="125"/>
      <c r="V25" s="185"/>
      <c r="W25" s="185" t="s">
        <v>94</v>
      </c>
      <c r="X25" s="187" t="s">
        <v>108</v>
      </c>
      <c r="Y25" s="125">
        <f>4*(20+(G18/20)+(G18/20))</f>
        <v>86</v>
      </c>
      <c r="Z25" s="125">
        <v>8</v>
      </c>
      <c r="AA25" s="185">
        <f>AB25/G18</f>
        <v>45.866666666666667</v>
      </c>
      <c r="AB25" s="185">
        <f t="shared" ref="AB25:AB29" si="5">Y25*Z25</f>
        <v>688</v>
      </c>
      <c r="AC25" s="185"/>
      <c r="AD25" s="185"/>
      <c r="AE25" s="185"/>
      <c r="AF25" s="185"/>
      <c r="AG25" s="185"/>
      <c r="AH25" s="194"/>
    </row>
    <row r="26" spans="2:35" s="3" customFormat="1" ht="39" customHeight="1" x14ac:dyDescent="0.25">
      <c r="B26" s="317">
        <v>2.4</v>
      </c>
      <c r="C26" s="329" t="s">
        <v>58</v>
      </c>
      <c r="D26" s="329"/>
      <c r="E26" s="329"/>
      <c r="F26" s="354" t="s">
        <v>108</v>
      </c>
      <c r="G26" s="316">
        <v>1356</v>
      </c>
      <c r="H26" s="316">
        <f>O26+O27+O28+U26+U27+U28+AA26+AA27+AA28+AA29+AA30+AF26+AF27+AF28</f>
        <v>6.9788823746312687</v>
      </c>
      <c r="I26" s="316">
        <f>G26*H26</f>
        <v>9463.3644999999997</v>
      </c>
      <c r="J26" s="185" t="s">
        <v>92</v>
      </c>
      <c r="K26" s="185">
        <v>1</v>
      </c>
      <c r="L26" s="185">
        <f>(22.5*8)*K26</f>
        <v>180</v>
      </c>
      <c r="M26" s="185">
        <f>2000*K26</f>
        <v>2000</v>
      </c>
      <c r="N26" s="185">
        <v>5</v>
      </c>
      <c r="O26" s="185">
        <f>P26/G26</f>
        <v>0.66371681415929207</v>
      </c>
      <c r="P26" s="185">
        <f>L26*N26</f>
        <v>900</v>
      </c>
      <c r="Q26" s="185" t="s">
        <v>16</v>
      </c>
      <c r="R26" s="185">
        <v>6</v>
      </c>
      <c r="S26" s="185">
        <f>R26*Apoyo!B8</f>
        <v>240</v>
      </c>
      <c r="T26" s="185">
        <v>5</v>
      </c>
      <c r="U26" s="185">
        <f>V26/G26</f>
        <v>0.88495575221238942</v>
      </c>
      <c r="V26" s="185">
        <f>T26*S26</f>
        <v>1200</v>
      </c>
      <c r="W26" s="185" t="s">
        <v>17</v>
      </c>
      <c r="X26" s="187" t="s">
        <v>108</v>
      </c>
      <c r="Y26" s="185">
        <f>G26</f>
        <v>1356</v>
      </c>
      <c r="Z26" s="185">
        <v>2</v>
      </c>
      <c r="AA26" s="185">
        <f>AB26/G26</f>
        <v>2</v>
      </c>
      <c r="AB26" s="185">
        <f t="shared" si="5"/>
        <v>2712</v>
      </c>
      <c r="AC26" s="125" t="s">
        <v>11</v>
      </c>
      <c r="AD26" s="125">
        <f>R27</f>
        <v>3</v>
      </c>
      <c r="AE26" s="125">
        <v>9.59</v>
      </c>
      <c r="AF26" s="185">
        <f>AG26/G26</f>
        <v>2.1216814159292035E-2</v>
      </c>
      <c r="AG26" s="185">
        <f>AD26*AE26</f>
        <v>28.77</v>
      </c>
      <c r="AH26" s="194"/>
    </row>
    <row r="27" spans="2:35" s="3" customFormat="1" ht="33" customHeight="1" x14ac:dyDescent="0.25">
      <c r="B27" s="317"/>
      <c r="C27" s="329"/>
      <c r="D27" s="329"/>
      <c r="E27" s="329"/>
      <c r="F27" s="354"/>
      <c r="G27" s="316"/>
      <c r="H27" s="316"/>
      <c r="I27" s="316"/>
      <c r="J27" s="185" t="s">
        <v>95</v>
      </c>
      <c r="K27" s="185">
        <v>3</v>
      </c>
      <c r="L27" s="185">
        <f>(9.37*8)*K27</f>
        <v>224.88</v>
      </c>
      <c r="M27" s="185">
        <f>666*K27</f>
        <v>1998</v>
      </c>
      <c r="N27" s="185">
        <v>5</v>
      </c>
      <c r="O27" s="185">
        <f>P27/G26</f>
        <v>0.82920353982300887</v>
      </c>
      <c r="P27" s="185">
        <f>L27*N27</f>
        <v>1124.4000000000001</v>
      </c>
      <c r="Q27" s="185" t="s">
        <v>21</v>
      </c>
      <c r="R27" s="185">
        <v>3</v>
      </c>
      <c r="S27" s="185">
        <f>R27*Apoyo!B9</f>
        <v>150</v>
      </c>
      <c r="T27" s="185">
        <v>5</v>
      </c>
      <c r="U27" s="185">
        <f>V27/G26</f>
        <v>0.55309734513274333</v>
      </c>
      <c r="V27" s="185">
        <f>T27*S27</f>
        <v>750</v>
      </c>
      <c r="W27" s="185" t="s">
        <v>10</v>
      </c>
      <c r="X27" s="185" t="s">
        <v>115</v>
      </c>
      <c r="Y27" s="185">
        <f>5*30*2</f>
        <v>300</v>
      </c>
      <c r="Z27" s="185">
        <f>Apoyo!B14</f>
        <v>5.678115</v>
      </c>
      <c r="AA27" s="185">
        <f>AB27/G26</f>
        <v>1.2562201327433629</v>
      </c>
      <c r="AB27" s="185">
        <f t="shared" si="5"/>
        <v>1703.4345000000001</v>
      </c>
      <c r="AC27" s="125" t="s">
        <v>48</v>
      </c>
      <c r="AD27" s="125">
        <f>AD26</f>
        <v>3</v>
      </c>
      <c r="AE27" s="125">
        <v>9.59</v>
      </c>
      <c r="AF27" s="185">
        <f>AG27/G26</f>
        <v>2.1216814159292035E-2</v>
      </c>
      <c r="AG27" s="185">
        <f>AD27*AE27</f>
        <v>28.77</v>
      </c>
      <c r="AH27" s="194"/>
    </row>
    <row r="28" spans="2:35" s="3" customFormat="1" ht="33" customHeight="1" x14ac:dyDescent="0.25">
      <c r="B28" s="317"/>
      <c r="C28" s="329"/>
      <c r="D28" s="329"/>
      <c r="E28" s="329"/>
      <c r="F28" s="354"/>
      <c r="G28" s="316"/>
      <c r="H28" s="316"/>
      <c r="I28" s="316"/>
      <c r="J28" s="185" t="s">
        <v>18</v>
      </c>
      <c r="K28" s="185">
        <v>1</v>
      </c>
      <c r="L28" s="185">
        <f>(12.68*8)*K28</f>
        <v>101.44</v>
      </c>
      <c r="M28" s="185">
        <f>2000*K28</f>
        <v>2000</v>
      </c>
      <c r="N28" s="185">
        <v>5</v>
      </c>
      <c r="O28" s="185">
        <f>P28/G26</f>
        <v>0.37404129793510321</v>
      </c>
      <c r="P28" s="185">
        <f>L28*N28</f>
        <v>507.2</v>
      </c>
      <c r="Q28" s="185" t="s">
        <v>19</v>
      </c>
      <c r="R28" s="185">
        <v>1</v>
      </c>
      <c r="S28" s="185">
        <f>R28*Apoyo!B13</f>
        <v>70</v>
      </c>
      <c r="T28" s="185">
        <v>5</v>
      </c>
      <c r="U28" s="185">
        <f>V28/G26</f>
        <v>0.25811209439528021</v>
      </c>
      <c r="V28" s="185">
        <f>T28*S28</f>
        <v>350</v>
      </c>
      <c r="W28" s="185"/>
      <c r="X28" s="185"/>
      <c r="Y28" s="185"/>
      <c r="Z28" s="185"/>
      <c r="AA28" s="185"/>
      <c r="AB28" s="185"/>
      <c r="AC28" s="125" t="s">
        <v>12</v>
      </c>
      <c r="AD28" s="125">
        <f>AD27</f>
        <v>3</v>
      </c>
      <c r="AE28" s="125">
        <v>44.93</v>
      </c>
      <c r="AF28" s="185">
        <f>AG28/G26</f>
        <v>9.9402654867256635E-2</v>
      </c>
      <c r="AG28" s="185">
        <f>AD28*AE28</f>
        <v>134.79</v>
      </c>
      <c r="AH28" s="194"/>
    </row>
    <row r="29" spans="2:35" s="3" customFormat="1" ht="33" customHeight="1" x14ac:dyDescent="0.25">
      <c r="B29" s="317"/>
      <c r="C29" s="329"/>
      <c r="D29" s="329"/>
      <c r="E29" s="329"/>
      <c r="F29" s="354"/>
      <c r="G29" s="316"/>
      <c r="H29" s="316"/>
      <c r="I29" s="316"/>
      <c r="J29" s="188"/>
      <c r="K29" s="188"/>
      <c r="L29" s="188"/>
      <c r="M29" s="188"/>
      <c r="N29" s="188"/>
      <c r="O29" s="188"/>
      <c r="P29" s="188"/>
      <c r="Q29" s="188"/>
      <c r="R29" s="188"/>
      <c r="S29" s="188"/>
      <c r="T29" s="188"/>
      <c r="U29" s="188"/>
      <c r="V29" s="188"/>
      <c r="W29" s="188" t="s">
        <v>57</v>
      </c>
      <c r="X29" s="188" t="s">
        <v>115</v>
      </c>
      <c r="Y29" s="188">
        <v>10</v>
      </c>
      <c r="Z29" s="188">
        <v>2.4</v>
      </c>
      <c r="AA29" s="188">
        <f>AB29/G26</f>
        <v>1.7699115044247787E-2</v>
      </c>
      <c r="AB29" s="188">
        <f t="shared" si="5"/>
        <v>24</v>
      </c>
      <c r="AC29" s="188"/>
      <c r="AD29" s="188"/>
      <c r="AE29" s="188"/>
      <c r="AF29" s="188"/>
      <c r="AG29" s="188"/>
      <c r="AH29" s="194"/>
    </row>
    <row r="30" spans="2:35" s="3" customFormat="1" ht="23.25" customHeight="1" x14ac:dyDescent="0.25">
      <c r="B30" s="317"/>
      <c r="C30" s="329"/>
      <c r="D30" s="329"/>
      <c r="E30" s="329"/>
      <c r="F30" s="354"/>
      <c r="G30" s="316"/>
      <c r="H30" s="316"/>
      <c r="I30" s="316"/>
      <c r="J30" s="188"/>
      <c r="K30" s="188"/>
      <c r="L30" s="188"/>
      <c r="M30" s="188"/>
      <c r="N30" s="188"/>
      <c r="O30" s="188"/>
      <c r="P30" s="188"/>
      <c r="Q30" s="188"/>
      <c r="R30" s="188"/>
      <c r="S30" s="188"/>
      <c r="T30" s="188"/>
      <c r="U30" s="188"/>
      <c r="V30" s="188"/>
      <c r="W30" s="188"/>
      <c r="X30" s="187"/>
      <c r="Y30" s="188"/>
      <c r="Z30" s="123"/>
      <c r="AA30" s="188"/>
      <c r="AB30" s="188"/>
      <c r="AC30" s="188"/>
      <c r="AD30" s="188"/>
      <c r="AE30" s="188"/>
      <c r="AF30" s="188"/>
      <c r="AG30" s="188"/>
      <c r="AH30" s="194"/>
    </row>
    <row r="31" spans="2:35" ht="23.25" customHeight="1" x14ac:dyDescent="0.25">
      <c r="B31" s="187" t="s">
        <v>207</v>
      </c>
      <c r="C31" s="351" t="s">
        <v>288</v>
      </c>
      <c r="D31" s="351"/>
      <c r="E31" s="351"/>
      <c r="F31" s="351"/>
      <c r="G31" s="351"/>
      <c r="H31" s="351"/>
      <c r="I31" s="351"/>
      <c r="J31" s="351"/>
      <c r="K31" s="351"/>
      <c r="L31" s="351"/>
      <c r="M31" s="351"/>
      <c r="N31" s="351"/>
      <c r="O31" s="351"/>
      <c r="P31" s="351"/>
      <c r="Q31" s="351"/>
      <c r="R31" s="351"/>
      <c r="S31" s="351"/>
      <c r="T31" s="351"/>
      <c r="U31" s="351"/>
      <c r="V31" s="351"/>
      <c r="W31" s="351"/>
      <c r="X31" s="351"/>
      <c r="Y31" s="351"/>
      <c r="Z31" s="351"/>
      <c r="AA31" s="351"/>
      <c r="AB31" s="351"/>
      <c r="AC31" s="351"/>
      <c r="AD31" s="351"/>
      <c r="AE31" s="351"/>
      <c r="AF31" s="351"/>
      <c r="AG31" s="351"/>
      <c r="AH31" s="191">
        <f>I32+I33+I35+I36</f>
        <v>2457788.7940863636</v>
      </c>
      <c r="AI31" s="50"/>
    </row>
    <row r="32" spans="2:35" s="3" customFormat="1" ht="57" customHeight="1" x14ac:dyDescent="0.25">
      <c r="B32" s="183">
        <v>3.1</v>
      </c>
      <c r="C32" s="409" t="s">
        <v>233</v>
      </c>
      <c r="D32" s="409"/>
      <c r="E32" s="409"/>
      <c r="F32" s="183" t="s">
        <v>56</v>
      </c>
      <c r="G32" s="125">
        <v>800</v>
      </c>
      <c r="H32" s="185">
        <f>O32+U32+AA32</f>
        <v>4.6530000000000005</v>
      </c>
      <c r="I32" s="185">
        <f>H32*G32</f>
        <v>3722.4000000000005</v>
      </c>
      <c r="J32" s="185" t="s">
        <v>232</v>
      </c>
      <c r="K32" s="116">
        <v>1</v>
      </c>
      <c r="L32" s="185">
        <f>(50*8)*K32</f>
        <v>400</v>
      </c>
      <c r="M32" s="185">
        <f>1000*K32</f>
        <v>1000</v>
      </c>
      <c r="N32" s="185">
        <v>6</v>
      </c>
      <c r="O32" s="125">
        <f>P32/G32</f>
        <v>3</v>
      </c>
      <c r="P32" s="125">
        <f t="shared" ref="P32:P36" si="6">L32*N32</f>
        <v>2400</v>
      </c>
      <c r="Q32" s="185" t="s">
        <v>3</v>
      </c>
      <c r="R32" s="185">
        <v>1</v>
      </c>
      <c r="S32" s="185">
        <f>R32*Apoyo!B9</f>
        <v>50</v>
      </c>
      <c r="T32" s="185">
        <v>6</v>
      </c>
      <c r="U32" s="185">
        <f>V32/G32</f>
        <v>0.375</v>
      </c>
      <c r="V32" s="185">
        <f t="shared" ref="V32:V36" si="7">T32*S32</f>
        <v>300</v>
      </c>
      <c r="W32" s="185" t="s">
        <v>10</v>
      </c>
      <c r="X32" s="185" t="s">
        <v>115</v>
      </c>
      <c r="Y32" s="185">
        <v>180</v>
      </c>
      <c r="Z32" s="185">
        <v>5.68</v>
      </c>
      <c r="AA32" s="185">
        <f>AB32/G32</f>
        <v>1.278</v>
      </c>
      <c r="AB32" s="185">
        <f>Y32*Z32</f>
        <v>1022.4</v>
      </c>
      <c r="AC32" s="125"/>
      <c r="AD32" s="125"/>
      <c r="AE32" s="125"/>
      <c r="AF32" s="125"/>
      <c r="AG32" s="125"/>
      <c r="AH32" s="196"/>
    </row>
    <row r="33" spans="2:35" s="3" customFormat="1" ht="44.25" customHeight="1" x14ac:dyDescent="0.25">
      <c r="B33" s="317">
        <v>3.2</v>
      </c>
      <c r="C33" s="409" t="s">
        <v>235</v>
      </c>
      <c r="D33" s="409"/>
      <c r="E33" s="409"/>
      <c r="F33" s="317" t="s">
        <v>162</v>
      </c>
      <c r="G33" s="408">
        <v>55373.6155</v>
      </c>
      <c r="H33" s="316">
        <f>O33+U33+U34+AA33+AA34</f>
        <v>10.596021682022913</v>
      </c>
      <c r="I33" s="316">
        <f>G33*H33</f>
        <v>586740.03045000008</v>
      </c>
      <c r="J33" s="185" t="s">
        <v>232</v>
      </c>
      <c r="K33" s="116">
        <v>3</v>
      </c>
      <c r="L33" s="185">
        <f>(52.64*8)*K33</f>
        <v>1263.3600000000001</v>
      </c>
      <c r="M33" s="185">
        <f>155*K33</f>
        <v>465</v>
      </c>
      <c r="N33" s="185">
        <v>287</v>
      </c>
      <c r="O33" s="185">
        <f>P33/G33</f>
        <v>6.5479618176638663</v>
      </c>
      <c r="P33" s="185">
        <f t="shared" si="6"/>
        <v>362584.32000000007</v>
      </c>
      <c r="Q33" s="185" t="s">
        <v>3</v>
      </c>
      <c r="R33" s="185">
        <v>3</v>
      </c>
      <c r="S33" s="185">
        <f>R33*Apoyo!B9</f>
        <v>150</v>
      </c>
      <c r="T33" s="185">
        <v>287</v>
      </c>
      <c r="U33" s="185">
        <f>V33/G33</f>
        <v>0.77744607447566794</v>
      </c>
      <c r="V33" s="185">
        <f t="shared" si="7"/>
        <v>43050</v>
      </c>
      <c r="W33" s="185" t="s">
        <v>10</v>
      </c>
      <c r="X33" s="185" t="s">
        <v>115</v>
      </c>
      <c r="Y33" s="185">
        <f>3*30*287</f>
        <v>25830</v>
      </c>
      <c r="Z33" s="185">
        <f>Apoyo!B14</f>
        <v>5.678115</v>
      </c>
      <c r="AA33" s="185">
        <f>AB33/G33</f>
        <v>2.6486569303028444</v>
      </c>
      <c r="AB33" s="185">
        <f>Y33*Z33</f>
        <v>146665.71045000001</v>
      </c>
      <c r="AC33" s="125"/>
      <c r="AD33" s="125"/>
      <c r="AE33" s="125"/>
      <c r="AF33" s="125"/>
      <c r="AG33" s="125"/>
      <c r="AH33" s="196"/>
    </row>
    <row r="34" spans="2:35" s="3" customFormat="1" ht="40.5" customHeight="1" x14ac:dyDescent="0.25">
      <c r="B34" s="317"/>
      <c r="C34" s="409"/>
      <c r="D34" s="409"/>
      <c r="E34" s="409"/>
      <c r="F34" s="317"/>
      <c r="G34" s="408"/>
      <c r="H34" s="316"/>
      <c r="I34" s="316"/>
      <c r="J34" s="185"/>
      <c r="K34" s="116"/>
      <c r="L34" s="185"/>
      <c r="M34" s="185"/>
      <c r="N34" s="185"/>
      <c r="O34" s="125"/>
      <c r="P34" s="125"/>
      <c r="Q34" s="125" t="s">
        <v>20</v>
      </c>
      <c r="R34" s="125">
        <v>3</v>
      </c>
      <c r="S34" s="185">
        <f>R34*Apoyo!B8</f>
        <v>120</v>
      </c>
      <c r="T34" s="185">
        <v>287</v>
      </c>
      <c r="U34" s="185">
        <f>V34/G33</f>
        <v>0.62195685958053437</v>
      </c>
      <c r="V34" s="125">
        <f t="shared" si="7"/>
        <v>34440</v>
      </c>
      <c r="W34" s="185"/>
      <c r="X34" s="185"/>
      <c r="Y34" s="185"/>
      <c r="Z34" s="185"/>
      <c r="AA34" s="185"/>
      <c r="AB34" s="185"/>
      <c r="AC34" s="125"/>
      <c r="AD34" s="125"/>
      <c r="AE34" s="125"/>
      <c r="AF34" s="125"/>
      <c r="AG34" s="125"/>
      <c r="AH34" s="196"/>
    </row>
    <row r="35" spans="2:35" s="3" customFormat="1" ht="70.5" customHeight="1" x14ac:dyDescent="0.25">
      <c r="B35" s="183">
        <v>3.3</v>
      </c>
      <c r="C35" s="329" t="s">
        <v>84</v>
      </c>
      <c r="D35" s="329"/>
      <c r="E35" s="329"/>
      <c r="F35" s="183" t="s">
        <v>44</v>
      </c>
      <c r="G35" s="214">
        <v>287</v>
      </c>
      <c r="H35" s="213">
        <f>O35+U35</f>
        <v>136.36363636363637</v>
      </c>
      <c r="I35" s="185">
        <f>G35*H35</f>
        <v>39136.36363636364</v>
      </c>
      <c r="J35" s="185" t="s">
        <v>90</v>
      </c>
      <c r="K35" s="185">
        <v>1</v>
      </c>
      <c r="L35" s="185">
        <f>120/3.3</f>
        <v>36.363636363636367</v>
      </c>
      <c r="M35" s="185">
        <v>1</v>
      </c>
      <c r="N35" s="185">
        <v>287</v>
      </c>
      <c r="O35" s="185">
        <f>P35/G35</f>
        <v>36.363636363636367</v>
      </c>
      <c r="P35" s="185">
        <f t="shared" si="6"/>
        <v>10436.363636363638</v>
      </c>
      <c r="Q35" s="185" t="s">
        <v>91</v>
      </c>
      <c r="R35" s="185">
        <v>2</v>
      </c>
      <c r="S35" s="185">
        <f>R35*Apoyo!B9</f>
        <v>100</v>
      </c>
      <c r="T35" s="185">
        <v>287</v>
      </c>
      <c r="U35" s="185">
        <f>V35/G35</f>
        <v>100</v>
      </c>
      <c r="V35" s="185">
        <f t="shared" si="7"/>
        <v>28700</v>
      </c>
      <c r="W35" s="185"/>
      <c r="X35" s="185"/>
      <c r="Y35" s="185"/>
      <c r="Z35" s="185"/>
      <c r="AA35" s="185"/>
      <c r="AB35" s="185"/>
      <c r="AC35" s="125"/>
      <c r="AD35" s="125"/>
      <c r="AE35" s="125"/>
      <c r="AF35" s="125"/>
      <c r="AG35" s="125"/>
      <c r="AH35" s="196"/>
    </row>
    <row r="36" spans="2:35" s="3" customFormat="1" ht="58.9" customHeight="1" x14ac:dyDescent="0.25">
      <c r="B36" s="317">
        <v>3.4</v>
      </c>
      <c r="C36" s="329" t="s">
        <v>293</v>
      </c>
      <c r="D36" s="329"/>
      <c r="E36" s="329"/>
      <c r="F36" s="317" t="s">
        <v>107</v>
      </c>
      <c r="G36" s="316">
        <f>G33</f>
        <v>55373.6155</v>
      </c>
      <c r="H36" s="316">
        <f>O36+O37+U36+AA36</f>
        <v>33.015543296066696</v>
      </c>
      <c r="I36" s="316">
        <f>G36*H36</f>
        <v>1828189.9999999998</v>
      </c>
      <c r="J36" s="185" t="s">
        <v>232</v>
      </c>
      <c r="K36" s="116">
        <v>1</v>
      </c>
      <c r="L36" s="185">
        <f>(50*8)*K36</f>
        <v>400</v>
      </c>
      <c r="M36" s="185">
        <f>155*K36</f>
        <v>155</v>
      </c>
      <c r="N36" s="185">
        <v>287</v>
      </c>
      <c r="O36" s="185">
        <f>P36/G36</f>
        <v>2.0731895319351143</v>
      </c>
      <c r="P36" s="185">
        <f t="shared" si="6"/>
        <v>114800</v>
      </c>
      <c r="Q36" s="185" t="s">
        <v>3</v>
      </c>
      <c r="R36" s="185">
        <v>3</v>
      </c>
      <c r="S36" s="185">
        <f>R36*Apoyo!B9</f>
        <v>150</v>
      </c>
      <c r="T36" s="185">
        <v>287</v>
      </c>
      <c r="U36" s="185">
        <f>V36/G36</f>
        <v>0.77744607447566794</v>
      </c>
      <c r="V36" s="185">
        <f t="shared" si="7"/>
        <v>43050</v>
      </c>
      <c r="W36" s="245" t="s">
        <v>10</v>
      </c>
      <c r="X36" s="245" t="s">
        <v>115</v>
      </c>
      <c r="Y36" s="245">
        <f>3*30*287</f>
        <v>25830</v>
      </c>
      <c r="Z36" s="245">
        <f>Apoyo!B17</f>
        <v>50</v>
      </c>
      <c r="AA36" s="245">
        <f>AB36/G36</f>
        <v>23.323382234270039</v>
      </c>
      <c r="AB36" s="245">
        <f>Y36*Z36</f>
        <v>1291500</v>
      </c>
      <c r="AC36" s="125"/>
      <c r="AD36" s="125"/>
      <c r="AE36" s="125"/>
      <c r="AF36" s="185"/>
      <c r="AG36" s="185"/>
      <c r="AH36" s="196"/>
    </row>
    <row r="37" spans="2:35" s="3" customFormat="1" ht="49.15" customHeight="1" x14ac:dyDescent="0.25">
      <c r="B37" s="317"/>
      <c r="C37" s="329"/>
      <c r="D37" s="329"/>
      <c r="E37" s="329"/>
      <c r="F37" s="317"/>
      <c r="G37" s="316"/>
      <c r="H37" s="316"/>
      <c r="I37" s="316"/>
      <c r="J37" s="185" t="s">
        <v>281</v>
      </c>
      <c r="K37" s="116">
        <v>2</v>
      </c>
      <c r="L37" s="185">
        <f>(82.5*8)*K37</f>
        <v>1320</v>
      </c>
      <c r="M37" s="185">
        <f>12*6*K37</f>
        <v>144</v>
      </c>
      <c r="N37" s="185">
        <v>287</v>
      </c>
      <c r="O37" s="125">
        <f>P37/G36</f>
        <v>6.8415254553858782</v>
      </c>
      <c r="P37" s="125">
        <f>L37*N37</f>
        <v>378840</v>
      </c>
      <c r="Q37" s="125"/>
      <c r="R37" s="125"/>
      <c r="S37" s="185"/>
      <c r="T37" s="185"/>
      <c r="U37" s="185">
        <f>350*G40</f>
        <v>19380765.425000001</v>
      </c>
      <c r="V37" s="125"/>
      <c r="W37" s="185"/>
      <c r="X37" s="185"/>
      <c r="Y37" s="185"/>
      <c r="Z37" s="185"/>
      <c r="AA37" s="185"/>
      <c r="AB37" s="185"/>
      <c r="AC37" s="125"/>
      <c r="AD37" s="125"/>
      <c r="AE37" s="125"/>
      <c r="AF37" s="185"/>
      <c r="AG37" s="185"/>
      <c r="AH37" s="196"/>
    </row>
    <row r="38" spans="2:35" ht="22.5" customHeight="1" x14ac:dyDescent="0.25">
      <c r="B38" s="183" t="s">
        <v>208</v>
      </c>
      <c r="C38" s="352" t="s">
        <v>236</v>
      </c>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191">
        <f>I39+I40+I42+I44+I45+I46</f>
        <v>24744238.148620002</v>
      </c>
      <c r="AI38" s="50"/>
    </row>
    <row r="39" spans="2:35" s="3" customFormat="1" ht="58.5" customHeight="1" x14ac:dyDescent="0.25">
      <c r="B39" s="183">
        <v>4.0999999999999996</v>
      </c>
      <c r="C39" s="329" t="s">
        <v>237</v>
      </c>
      <c r="D39" s="329"/>
      <c r="E39" s="329"/>
      <c r="F39" s="183" t="s">
        <v>107</v>
      </c>
      <c r="G39" s="213">
        <f>G36</f>
        <v>55373.6155</v>
      </c>
      <c r="H39" s="185">
        <f>O39+U39+AA39</f>
        <v>8.4913170461119716</v>
      </c>
      <c r="I39" s="185">
        <f>H39*G39</f>
        <v>470194.92520000006</v>
      </c>
      <c r="J39" s="185" t="s">
        <v>50</v>
      </c>
      <c r="K39" s="116">
        <v>2</v>
      </c>
      <c r="L39" s="185">
        <f>(67.87*8)*K39</f>
        <v>1085.92</v>
      </c>
      <c r="M39" s="185">
        <v>100</v>
      </c>
      <c r="N39" s="125">
        <v>308</v>
      </c>
      <c r="O39" s="125">
        <f>P39/G39</f>
        <v>6.0401214004167754</v>
      </c>
      <c r="P39" s="125">
        <f>L39*N39</f>
        <v>334463.36000000004</v>
      </c>
      <c r="Q39" s="125" t="s">
        <v>3</v>
      </c>
      <c r="R39" s="185">
        <v>2</v>
      </c>
      <c r="S39" s="185">
        <f>R39*Apoyo!B9</f>
        <v>100</v>
      </c>
      <c r="T39" s="125">
        <v>308</v>
      </c>
      <c r="U39" s="185">
        <f>V39/G39</f>
        <v>0.5562215817386893</v>
      </c>
      <c r="V39" s="125">
        <f t="shared" ref="V39:V46" si="8">T39*S39</f>
        <v>30800</v>
      </c>
      <c r="W39" s="185" t="s">
        <v>10</v>
      </c>
      <c r="X39" s="125" t="s">
        <v>115</v>
      </c>
      <c r="Y39" s="125">
        <f>2*30*T39</f>
        <v>18480</v>
      </c>
      <c r="Z39" s="125">
        <f>Apoyo!B14</f>
        <v>5.678115</v>
      </c>
      <c r="AA39" s="125">
        <f>AB39/G39</f>
        <v>1.8949740639565065</v>
      </c>
      <c r="AB39" s="125">
        <f>Y39*Z39</f>
        <v>104931.5652</v>
      </c>
      <c r="AC39" s="125"/>
      <c r="AD39" s="125"/>
      <c r="AE39" s="125"/>
      <c r="AF39" s="185"/>
      <c r="AG39" s="185"/>
      <c r="AH39" s="196"/>
    </row>
    <row r="40" spans="2:35" s="3" customFormat="1" ht="52.5" customHeight="1" x14ac:dyDescent="0.25">
      <c r="B40" s="317">
        <v>4.2</v>
      </c>
      <c r="C40" s="329" t="s">
        <v>238</v>
      </c>
      <c r="D40" s="329"/>
      <c r="E40" s="329"/>
      <c r="F40" s="317" t="s">
        <v>162</v>
      </c>
      <c r="G40" s="316">
        <f>G39</f>
        <v>55373.6155</v>
      </c>
      <c r="H40" s="316">
        <f>O40+U40+U41+AA40+AA41</f>
        <v>427.04035278715008</v>
      </c>
      <c r="I40" s="316">
        <f>H40*G40</f>
        <v>23646768.298220001</v>
      </c>
      <c r="J40" s="185" t="s">
        <v>239</v>
      </c>
      <c r="K40" s="116">
        <v>1</v>
      </c>
      <c r="L40" s="246">
        <f>350*G40*K40/N40</f>
        <v>62924.563068181822</v>
      </c>
      <c r="M40" s="185">
        <v>100</v>
      </c>
      <c r="N40" s="125">
        <v>308</v>
      </c>
      <c r="O40" s="125">
        <f>P40/G40</f>
        <v>350</v>
      </c>
      <c r="P40" s="125">
        <f>L40*N40</f>
        <v>19380765.425000001</v>
      </c>
      <c r="Q40" s="125" t="s">
        <v>3</v>
      </c>
      <c r="R40" s="185">
        <v>3</v>
      </c>
      <c r="S40" s="185">
        <f>R40*Apoyo!B9</f>
        <v>150</v>
      </c>
      <c r="T40" s="125">
        <f>T39</f>
        <v>308</v>
      </c>
      <c r="U40" s="185">
        <f>V40/G40</f>
        <v>0.83433237260803383</v>
      </c>
      <c r="V40" s="125">
        <f t="shared" si="8"/>
        <v>46200</v>
      </c>
      <c r="W40" s="245" t="s">
        <v>10</v>
      </c>
      <c r="X40" s="246" t="s">
        <v>115</v>
      </c>
      <c r="Y40" s="246">
        <f>797*3*308</f>
        <v>736428</v>
      </c>
      <c r="Z40" s="125">
        <f>Apoyo!B14</f>
        <v>5.678115</v>
      </c>
      <c r="AA40" s="125">
        <f>AB40/G40</f>
        <v>75.514716448666789</v>
      </c>
      <c r="AB40" s="125">
        <f>Y40*Z40</f>
        <v>4181522.87322</v>
      </c>
      <c r="AC40" s="125"/>
      <c r="AD40" s="125"/>
      <c r="AE40" s="125"/>
      <c r="AF40" s="20"/>
      <c r="AG40" s="185"/>
      <c r="AH40" s="196"/>
    </row>
    <row r="41" spans="2:35" s="3" customFormat="1" ht="19.5" customHeight="1" x14ac:dyDescent="0.25">
      <c r="B41" s="317"/>
      <c r="C41" s="329"/>
      <c r="D41" s="329"/>
      <c r="E41" s="329"/>
      <c r="F41" s="317"/>
      <c r="G41" s="316"/>
      <c r="H41" s="316"/>
      <c r="I41" s="316"/>
      <c r="J41" s="185"/>
      <c r="K41" s="116"/>
      <c r="L41" s="125"/>
      <c r="M41" s="185"/>
      <c r="N41" s="125"/>
      <c r="O41" s="125"/>
      <c r="P41" s="125"/>
      <c r="Q41" s="125" t="s">
        <v>16</v>
      </c>
      <c r="R41" s="185">
        <v>3</v>
      </c>
      <c r="S41" s="185">
        <f>R41*Apoyo!B8</f>
        <v>120</v>
      </c>
      <c r="T41" s="125">
        <f>T40</f>
        <v>308</v>
      </c>
      <c r="U41" s="185">
        <f>V41/G40</f>
        <v>0.66746589808642709</v>
      </c>
      <c r="V41" s="125">
        <f t="shared" si="8"/>
        <v>36960</v>
      </c>
      <c r="W41" s="185" t="s">
        <v>42</v>
      </c>
      <c r="X41" s="125" t="s">
        <v>162</v>
      </c>
      <c r="Y41" s="125">
        <f>1500*44/1000</f>
        <v>66</v>
      </c>
      <c r="Z41" s="125">
        <v>20</v>
      </c>
      <c r="AA41" s="125">
        <f>AB41/G40</f>
        <v>2.3838067788800966E-2</v>
      </c>
      <c r="AB41" s="125">
        <f>Y41*Z41</f>
        <v>1320</v>
      </c>
      <c r="AC41" s="125"/>
      <c r="AD41" s="125"/>
      <c r="AE41" s="125"/>
      <c r="AF41" s="20"/>
      <c r="AG41" s="185"/>
      <c r="AH41" s="196"/>
    </row>
    <row r="42" spans="2:35" s="3" customFormat="1" ht="42" customHeight="1" x14ac:dyDescent="0.25">
      <c r="B42" s="317">
        <v>4.3</v>
      </c>
      <c r="C42" s="321" t="s">
        <v>240</v>
      </c>
      <c r="D42" s="321"/>
      <c r="E42" s="321"/>
      <c r="F42" s="317" t="s">
        <v>44</v>
      </c>
      <c r="G42" s="316">
        <f>N39</f>
        <v>308</v>
      </c>
      <c r="H42" s="316">
        <f>O42+U42+AA42+U43</f>
        <v>1566.6069</v>
      </c>
      <c r="I42" s="316">
        <f>H42*G42</f>
        <v>482514.9252</v>
      </c>
      <c r="J42" s="185" t="s">
        <v>241</v>
      </c>
      <c r="K42" s="116">
        <v>2</v>
      </c>
      <c r="L42" s="185">
        <f>(67.87*8)*K42</f>
        <v>1085.92</v>
      </c>
      <c r="M42" s="185">
        <v>100</v>
      </c>
      <c r="N42" s="125">
        <f>N39</f>
        <v>308</v>
      </c>
      <c r="O42" s="125">
        <f>P42/G42</f>
        <v>1085.92</v>
      </c>
      <c r="P42" s="125">
        <f>L42*N42</f>
        <v>334463.36000000004</v>
      </c>
      <c r="Q42" s="125" t="s">
        <v>3</v>
      </c>
      <c r="R42" s="185">
        <v>2</v>
      </c>
      <c r="S42" s="185">
        <f>R42*Apoyo!B9</f>
        <v>100</v>
      </c>
      <c r="T42" s="125">
        <f>T39</f>
        <v>308</v>
      </c>
      <c r="U42" s="185">
        <f>V42/G42</f>
        <v>100</v>
      </c>
      <c r="V42" s="125">
        <f t="shared" si="8"/>
        <v>30800</v>
      </c>
      <c r="W42" s="185" t="s">
        <v>10</v>
      </c>
      <c r="X42" s="125" t="s">
        <v>115</v>
      </c>
      <c r="Y42" s="125">
        <f>308*2*30</f>
        <v>18480</v>
      </c>
      <c r="Z42" s="125">
        <f>Z40</f>
        <v>5.678115</v>
      </c>
      <c r="AA42" s="125">
        <f>AB42/G42</f>
        <v>340.68689999999998</v>
      </c>
      <c r="AB42" s="125">
        <f>Y42*Z42</f>
        <v>104931.5652</v>
      </c>
      <c r="AC42" s="185"/>
      <c r="AD42" s="185"/>
      <c r="AE42" s="185"/>
      <c r="AF42" s="185"/>
      <c r="AG42" s="185"/>
      <c r="AH42" s="196"/>
    </row>
    <row r="43" spans="2:35" s="3" customFormat="1" ht="42" customHeight="1" x14ac:dyDescent="0.25">
      <c r="B43" s="317"/>
      <c r="C43" s="321"/>
      <c r="D43" s="321"/>
      <c r="E43" s="321"/>
      <c r="F43" s="317"/>
      <c r="G43" s="316"/>
      <c r="H43" s="316"/>
      <c r="I43" s="316"/>
      <c r="J43" s="185"/>
      <c r="K43" s="116"/>
      <c r="L43" s="185">
        <f>350*G40</f>
        <v>19380765.425000001</v>
      </c>
      <c r="M43" s="185"/>
      <c r="N43" s="125"/>
      <c r="O43" s="125"/>
      <c r="P43" s="125"/>
      <c r="Q43" s="125" t="s">
        <v>16</v>
      </c>
      <c r="R43" s="185">
        <v>2</v>
      </c>
      <c r="S43" s="185">
        <f>Apoyo!B8</f>
        <v>40</v>
      </c>
      <c r="T43" s="125">
        <f>T42</f>
        <v>308</v>
      </c>
      <c r="U43" s="185">
        <f>V43/G42</f>
        <v>40</v>
      </c>
      <c r="V43" s="125">
        <f t="shared" ref="V43" si="9">T43*S43</f>
        <v>12320</v>
      </c>
      <c r="W43" s="185"/>
      <c r="X43" s="125"/>
      <c r="Y43" s="125"/>
      <c r="Z43" s="125"/>
      <c r="AA43" s="125"/>
      <c r="AB43" s="125"/>
      <c r="AC43" s="185"/>
      <c r="AD43" s="185"/>
      <c r="AE43" s="185"/>
      <c r="AF43" s="185"/>
      <c r="AG43" s="185"/>
      <c r="AH43" s="196"/>
    </row>
    <row r="44" spans="2:35" s="3" customFormat="1" ht="48" customHeight="1" x14ac:dyDescent="0.25">
      <c r="B44" s="183">
        <v>4.4000000000000004</v>
      </c>
      <c r="C44" s="329" t="s">
        <v>252</v>
      </c>
      <c r="D44" s="329"/>
      <c r="E44" s="329"/>
      <c r="F44" s="158" t="s">
        <v>44</v>
      </c>
      <c r="G44" s="159">
        <f>N42</f>
        <v>308</v>
      </c>
      <c r="H44" s="157">
        <f>U44</f>
        <v>140</v>
      </c>
      <c r="I44" s="116">
        <f>H44*G44</f>
        <v>43120</v>
      </c>
      <c r="J44" s="185"/>
      <c r="K44" s="116"/>
      <c r="L44" s="125"/>
      <c r="M44" s="125"/>
      <c r="N44" s="125"/>
      <c r="O44" s="125"/>
      <c r="P44" s="125"/>
      <c r="Q44" s="125" t="s">
        <v>104</v>
      </c>
      <c r="R44" s="185">
        <v>2</v>
      </c>
      <c r="S44" s="125">
        <f>R44*Apoyo!B13</f>
        <v>140</v>
      </c>
      <c r="T44" s="125">
        <f>T39</f>
        <v>308</v>
      </c>
      <c r="U44" s="185">
        <f>V44/G44</f>
        <v>140</v>
      </c>
      <c r="V44" s="125">
        <f t="shared" si="8"/>
        <v>43120</v>
      </c>
      <c r="W44" s="185"/>
      <c r="X44" s="183"/>
      <c r="Y44" s="185"/>
      <c r="Z44" s="185"/>
      <c r="AA44" s="185"/>
      <c r="AB44" s="185"/>
      <c r="AC44" s="125"/>
      <c r="AD44" s="125"/>
      <c r="AE44" s="125"/>
      <c r="AF44" s="185"/>
      <c r="AG44" s="185"/>
      <c r="AH44" s="196"/>
    </row>
    <row r="45" spans="2:35" s="3" customFormat="1" ht="48" customHeight="1" x14ac:dyDescent="0.25">
      <c r="B45" s="183">
        <v>4.5</v>
      </c>
      <c r="C45" s="329" t="s">
        <v>242</v>
      </c>
      <c r="D45" s="329"/>
      <c r="E45" s="329"/>
      <c r="F45" s="129" t="s">
        <v>44</v>
      </c>
      <c r="G45" s="117">
        <f>G44</f>
        <v>308</v>
      </c>
      <c r="H45" s="122">
        <f>U45</f>
        <v>150</v>
      </c>
      <c r="I45" s="117">
        <f>H45*G45</f>
        <v>46200</v>
      </c>
      <c r="J45" s="188"/>
      <c r="K45" s="117"/>
      <c r="L45" s="123"/>
      <c r="M45" s="123"/>
      <c r="N45" s="123"/>
      <c r="O45" s="123"/>
      <c r="P45" s="123"/>
      <c r="Q45" s="123" t="s">
        <v>243</v>
      </c>
      <c r="R45" s="185">
        <v>3</v>
      </c>
      <c r="S45" s="185">
        <f>R45*Apoyo!B17</f>
        <v>150</v>
      </c>
      <c r="T45" s="123">
        <f>T44</f>
        <v>308</v>
      </c>
      <c r="U45" s="188">
        <f>V45/G45</f>
        <v>150</v>
      </c>
      <c r="V45" s="123">
        <f t="shared" si="8"/>
        <v>46200</v>
      </c>
      <c r="W45" s="185"/>
      <c r="X45" s="183"/>
      <c r="Y45" s="185"/>
      <c r="Z45" s="185"/>
      <c r="AA45" s="185"/>
      <c r="AB45" s="185"/>
      <c r="AC45" s="125"/>
      <c r="AD45" s="125"/>
      <c r="AE45" s="125"/>
      <c r="AF45" s="185"/>
      <c r="AG45" s="185"/>
      <c r="AH45" s="196"/>
    </row>
    <row r="46" spans="2:35" s="3" customFormat="1" ht="31.5" customHeight="1" x14ac:dyDescent="0.25">
      <c r="B46" s="183">
        <v>4.5999999999999996</v>
      </c>
      <c r="C46" s="329" t="s">
        <v>291</v>
      </c>
      <c r="D46" s="329"/>
      <c r="E46" s="329"/>
      <c r="F46" s="129" t="s">
        <v>44</v>
      </c>
      <c r="G46" s="117">
        <f>G45</f>
        <v>308</v>
      </c>
      <c r="H46" s="122">
        <f>U46</f>
        <v>180</v>
      </c>
      <c r="I46" s="117">
        <f>H46*G46</f>
        <v>55440</v>
      </c>
      <c r="J46" s="188"/>
      <c r="K46" s="117"/>
      <c r="L46" s="123"/>
      <c r="M46" s="123"/>
      <c r="N46" s="123"/>
      <c r="O46" s="123"/>
      <c r="P46" s="123"/>
      <c r="Q46" s="123" t="s">
        <v>106</v>
      </c>
      <c r="R46" s="185">
        <v>3</v>
      </c>
      <c r="S46" s="123">
        <f>R46*Apoyo!B11</f>
        <v>180</v>
      </c>
      <c r="T46" s="123">
        <f>T45</f>
        <v>308</v>
      </c>
      <c r="U46" s="188">
        <f>V46/G46</f>
        <v>180</v>
      </c>
      <c r="V46" s="123">
        <f t="shared" si="8"/>
        <v>55440</v>
      </c>
      <c r="W46" s="185"/>
      <c r="X46" s="183"/>
      <c r="Y46" s="185"/>
      <c r="Z46" s="185"/>
      <c r="AA46" s="185"/>
      <c r="AB46" s="185"/>
      <c r="AC46" s="125"/>
      <c r="AD46" s="125"/>
      <c r="AE46" s="125"/>
      <c r="AF46" s="185"/>
      <c r="AG46" s="185"/>
      <c r="AH46" s="196"/>
    </row>
    <row r="47" spans="2:35" s="3" customFormat="1" ht="27.75" customHeight="1" x14ac:dyDescent="0.25">
      <c r="B47" s="183" t="s">
        <v>209</v>
      </c>
      <c r="C47" s="414" t="s">
        <v>244</v>
      </c>
      <c r="D47" s="414"/>
      <c r="E47" s="414"/>
      <c r="F47" s="414"/>
      <c r="G47" s="414"/>
      <c r="H47" s="414"/>
      <c r="I47" s="414"/>
      <c r="J47" s="414"/>
      <c r="K47" s="414"/>
      <c r="L47" s="414"/>
      <c r="M47" s="414"/>
      <c r="N47" s="414"/>
      <c r="O47" s="414"/>
      <c r="P47" s="414"/>
      <c r="Q47" s="414"/>
      <c r="R47" s="414"/>
      <c r="S47" s="414"/>
      <c r="T47" s="414"/>
      <c r="U47" s="414"/>
      <c r="V47" s="414"/>
      <c r="W47" s="414"/>
      <c r="X47" s="414"/>
      <c r="Y47" s="414"/>
      <c r="Z47" s="414"/>
      <c r="AA47" s="414"/>
      <c r="AB47" s="414"/>
      <c r="AC47" s="414"/>
      <c r="AD47" s="414"/>
      <c r="AE47" s="414"/>
      <c r="AF47" s="414"/>
      <c r="AG47" s="414"/>
      <c r="AH47" s="191">
        <f>I48+I49+I53+I55+I57+I58+I59+I51</f>
        <v>6019865.8055221215</v>
      </c>
    </row>
    <row r="48" spans="2:35" s="3" customFormat="1" ht="63.75" customHeight="1" x14ac:dyDescent="0.25">
      <c r="B48" s="183">
        <v>5.0999999999999996</v>
      </c>
      <c r="C48" s="415" t="s">
        <v>287</v>
      </c>
      <c r="D48" s="415"/>
      <c r="E48" s="415"/>
      <c r="F48" s="183" t="s">
        <v>107</v>
      </c>
      <c r="G48" s="116">
        <f>G39*0.3</f>
        <v>16612.084650000001</v>
      </c>
      <c r="H48" s="156">
        <f>+O48+U48+AA48</f>
        <v>33.392832503414915</v>
      </c>
      <c r="I48" s="157">
        <f>H48*G48</f>
        <v>554724.56024999998</v>
      </c>
      <c r="J48" s="185" t="s">
        <v>232</v>
      </c>
      <c r="K48" s="116">
        <v>3</v>
      </c>
      <c r="L48" s="185">
        <f>(50*8)*K48</f>
        <v>1200</v>
      </c>
      <c r="M48" s="185">
        <v>155</v>
      </c>
      <c r="N48" s="125">
        <v>315</v>
      </c>
      <c r="O48" s="125">
        <f>P48/G48</f>
        <v>22.754519252946377</v>
      </c>
      <c r="P48" s="125">
        <f>L48*N48</f>
        <v>378000</v>
      </c>
      <c r="Q48" s="125" t="s">
        <v>3</v>
      </c>
      <c r="R48" s="125">
        <v>1</v>
      </c>
      <c r="S48" s="185">
        <f>R48*Apoyo!B9</f>
        <v>50</v>
      </c>
      <c r="T48" s="125">
        <v>315</v>
      </c>
      <c r="U48" s="188">
        <f>V48/G48</f>
        <v>0.94810496887276574</v>
      </c>
      <c r="V48" s="123">
        <f t="shared" ref="V48:V57" si="10">T48*S48</f>
        <v>15750</v>
      </c>
      <c r="W48" s="188" t="s">
        <v>10</v>
      </c>
      <c r="X48" s="123" t="s">
        <v>115</v>
      </c>
      <c r="Y48" s="123">
        <f>3*315*30</f>
        <v>28350</v>
      </c>
      <c r="Z48" s="123">
        <f>Apoyo!B14</f>
        <v>5.678115</v>
      </c>
      <c r="AA48" s="123">
        <f>AB48/G48</f>
        <v>9.6902082815957726</v>
      </c>
      <c r="AB48" s="123">
        <f>Y48*Z48</f>
        <v>160974.56025000001</v>
      </c>
      <c r="AC48" s="123"/>
      <c r="AD48" s="123"/>
      <c r="AE48" s="123"/>
      <c r="AF48" s="188"/>
      <c r="AG48" s="123"/>
      <c r="AH48" s="196"/>
    </row>
    <row r="49" spans="2:35" s="3" customFormat="1" ht="43.15" customHeight="1" x14ac:dyDescent="0.25">
      <c r="B49" s="317">
        <v>5.2</v>
      </c>
      <c r="C49" s="318" t="s">
        <v>295</v>
      </c>
      <c r="D49" s="318"/>
      <c r="E49" s="318"/>
      <c r="F49" s="317" t="s">
        <v>107</v>
      </c>
      <c r="G49" s="319">
        <f>G48</f>
        <v>16612.084650000001</v>
      </c>
      <c r="H49" s="320">
        <f>O50+U49+U50+AA49</f>
        <v>32.803947251737604</v>
      </c>
      <c r="I49" s="319">
        <f>H49*G49</f>
        <v>544941.9486</v>
      </c>
      <c r="J49" s="185"/>
      <c r="K49" s="116"/>
      <c r="L49" s="185"/>
      <c r="M49" s="185"/>
      <c r="N49" s="185">
        <v>315</v>
      </c>
      <c r="O49" s="185"/>
      <c r="P49" s="185"/>
      <c r="Q49" s="185" t="s">
        <v>3</v>
      </c>
      <c r="R49" s="185">
        <v>2</v>
      </c>
      <c r="S49" s="185">
        <f>R49*Apoyo!B9</f>
        <v>100</v>
      </c>
      <c r="T49" s="185">
        <f>T48</f>
        <v>315</v>
      </c>
      <c r="U49" s="185">
        <f>V49/G49</f>
        <v>1.8962099377455315</v>
      </c>
      <c r="V49" s="185">
        <f t="shared" si="10"/>
        <v>31500</v>
      </c>
      <c r="W49" s="185" t="s">
        <v>10</v>
      </c>
      <c r="X49" s="185" t="s">
        <v>115</v>
      </c>
      <c r="Y49" s="123">
        <f>2*294*30</f>
        <v>17640</v>
      </c>
      <c r="Z49" s="185">
        <f>Z48</f>
        <v>5.678115</v>
      </c>
      <c r="AA49" s="185">
        <f>AB49/G49</f>
        <v>6.0294629307707028</v>
      </c>
      <c r="AB49" s="185">
        <f>Y49*Z49</f>
        <v>100161.9486</v>
      </c>
      <c r="AC49" s="123"/>
      <c r="AD49" s="123"/>
      <c r="AE49" s="123"/>
      <c r="AF49" s="188"/>
      <c r="AG49" s="123"/>
      <c r="AH49" s="196"/>
    </row>
    <row r="50" spans="2:35" s="3" customFormat="1" ht="41.25" customHeight="1" x14ac:dyDescent="0.25">
      <c r="B50" s="317"/>
      <c r="C50" s="318"/>
      <c r="D50" s="318"/>
      <c r="E50" s="318"/>
      <c r="F50" s="317"/>
      <c r="G50" s="319"/>
      <c r="H50" s="320"/>
      <c r="I50" s="319"/>
      <c r="J50" s="185" t="s">
        <v>281</v>
      </c>
      <c r="K50" s="116">
        <v>2</v>
      </c>
      <c r="L50" s="185">
        <f>(82.5*8)*K50</f>
        <v>1320</v>
      </c>
      <c r="M50" s="185">
        <f>12*6*K50</f>
        <v>144</v>
      </c>
      <c r="N50" s="185">
        <v>294</v>
      </c>
      <c r="O50" s="125">
        <f>P50/G49</f>
        <v>23.361306433024946</v>
      </c>
      <c r="P50" s="125">
        <f>L50*N50</f>
        <v>388080</v>
      </c>
      <c r="Q50" s="125" t="s">
        <v>20</v>
      </c>
      <c r="R50" s="125">
        <v>2</v>
      </c>
      <c r="S50" s="185">
        <f>R50*Apoyo!B8</f>
        <v>80</v>
      </c>
      <c r="T50" s="185">
        <f>T49</f>
        <v>315</v>
      </c>
      <c r="U50" s="188">
        <f>V50/G49</f>
        <v>1.5169679501964253</v>
      </c>
      <c r="V50" s="123">
        <f t="shared" si="10"/>
        <v>25200</v>
      </c>
      <c r="W50" s="188"/>
      <c r="X50" s="188"/>
      <c r="Y50" s="188"/>
      <c r="Z50" s="188"/>
      <c r="AA50" s="188"/>
      <c r="AB50" s="188"/>
      <c r="AC50" s="123"/>
      <c r="AD50" s="123"/>
      <c r="AE50" s="123"/>
      <c r="AF50" s="123"/>
      <c r="AG50" s="123"/>
      <c r="AH50" s="196"/>
    </row>
    <row r="51" spans="2:35" s="3" customFormat="1" ht="41.25" customHeight="1" x14ac:dyDescent="0.25">
      <c r="B51" s="317">
        <v>5.3</v>
      </c>
      <c r="C51" s="318" t="s">
        <v>296</v>
      </c>
      <c r="D51" s="318"/>
      <c r="E51" s="318"/>
      <c r="F51" s="317" t="s">
        <v>107</v>
      </c>
      <c r="G51" s="319">
        <v>11727</v>
      </c>
      <c r="H51" s="320">
        <f>O51+O52+U51+AA51</f>
        <v>85.184687473352099</v>
      </c>
      <c r="I51" s="319">
        <f>H51*G51</f>
        <v>998960.83000000007</v>
      </c>
      <c r="J51" s="185" t="s">
        <v>232</v>
      </c>
      <c r="K51" s="116">
        <v>2</v>
      </c>
      <c r="L51" s="185">
        <f>(50*8)*K51</f>
        <v>800</v>
      </c>
      <c r="M51" s="185">
        <f>155*K51</f>
        <v>310</v>
      </c>
      <c r="N51" s="185">
        <v>329</v>
      </c>
      <c r="O51" s="185">
        <f>P51/G51</f>
        <v>22.443932804638866</v>
      </c>
      <c r="P51" s="185">
        <f t="shared" ref="P51" si="11">L51*N51</f>
        <v>263200</v>
      </c>
      <c r="Q51" s="185" t="s">
        <v>3</v>
      </c>
      <c r="R51" s="185">
        <v>2</v>
      </c>
      <c r="S51" s="185">
        <f>R51*Apoyo!B11</f>
        <v>120</v>
      </c>
      <c r="T51" s="185">
        <v>294</v>
      </c>
      <c r="U51" s="185">
        <f>V51/G51</f>
        <v>3.0084420567920183</v>
      </c>
      <c r="V51" s="185">
        <f t="shared" ref="V51" si="12">T51*S51</f>
        <v>35280</v>
      </c>
      <c r="W51" s="185" t="s">
        <v>10</v>
      </c>
      <c r="X51" s="185" t="s">
        <v>115</v>
      </c>
      <c r="Y51" s="188">
        <f>350*4*30</f>
        <v>42000</v>
      </c>
      <c r="Z51" s="185">
        <f>Z49</f>
        <v>5.678115</v>
      </c>
      <c r="AA51" s="185">
        <f>AB51/G51</f>
        <v>20.336047582501916</v>
      </c>
      <c r="AB51" s="185">
        <f>Y51*Z51</f>
        <v>238480.83</v>
      </c>
      <c r="AC51" s="123"/>
      <c r="AD51" s="123"/>
      <c r="AE51" s="123"/>
      <c r="AF51" s="123"/>
      <c r="AG51" s="123"/>
      <c r="AH51" s="196"/>
    </row>
    <row r="52" spans="2:35" s="3" customFormat="1" ht="41.25" customHeight="1" x14ac:dyDescent="0.25">
      <c r="B52" s="317"/>
      <c r="C52" s="318"/>
      <c r="D52" s="318"/>
      <c r="E52" s="318"/>
      <c r="F52" s="317"/>
      <c r="G52" s="319"/>
      <c r="H52" s="320"/>
      <c r="I52" s="319"/>
      <c r="J52" s="185" t="s">
        <v>281</v>
      </c>
      <c r="K52" s="116">
        <v>2</v>
      </c>
      <c r="L52" s="185">
        <f>(82.5*8)*K52</f>
        <v>1320</v>
      </c>
      <c r="M52" s="185">
        <f>12*6*K52</f>
        <v>144</v>
      </c>
      <c r="N52" s="185">
        <v>350</v>
      </c>
      <c r="O52" s="125">
        <f>P52/G51</f>
        <v>39.39626502941929</v>
      </c>
      <c r="P52" s="125">
        <f>L52*N52</f>
        <v>462000</v>
      </c>
      <c r="Q52" s="125"/>
      <c r="R52" s="125"/>
      <c r="S52" s="185"/>
      <c r="T52" s="185"/>
      <c r="U52" s="188"/>
      <c r="V52" s="123"/>
      <c r="W52" s="188"/>
      <c r="X52" s="188"/>
      <c r="Y52" s="188"/>
      <c r="Z52" s="188"/>
      <c r="AA52" s="188"/>
      <c r="AB52" s="188"/>
      <c r="AC52" s="123"/>
      <c r="AD52" s="123"/>
      <c r="AE52" s="123"/>
      <c r="AF52" s="123"/>
      <c r="AG52" s="123"/>
      <c r="AH52" s="196"/>
    </row>
    <row r="53" spans="2:35" s="3" customFormat="1" ht="27.75" customHeight="1" x14ac:dyDescent="0.25">
      <c r="B53" s="317">
        <v>5.4</v>
      </c>
      <c r="C53" s="329" t="s">
        <v>245</v>
      </c>
      <c r="D53" s="329"/>
      <c r="E53" s="329"/>
      <c r="F53" s="317" t="s">
        <v>107</v>
      </c>
      <c r="G53" s="408">
        <v>11727</v>
      </c>
      <c r="H53" s="416">
        <f>U53+AF53+AA53+AF54+U54</f>
        <v>5.4890832086534314</v>
      </c>
      <c r="I53" s="408">
        <f>G53*H53</f>
        <v>64370.47878787879</v>
      </c>
      <c r="J53" s="185"/>
      <c r="K53" s="116"/>
      <c r="L53" s="185"/>
      <c r="M53" s="185"/>
      <c r="N53" s="185"/>
      <c r="O53" s="125"/>
      <c r="P53" s="125"/>
      <c r="Q53" s="125" t="s">
        <v>20</v>
      </c>
      <c r="R53" s="125">
        <v>3</v>
      </c>
      <c r="S53" s="185">
        <f>R53*Apoyo!B8</f>
        <v>120</v>
      </c>
      <c r="T53" s="125">
        <v>329</v>
      </c>
      <c r="U53" s="188">
        <f>V53/G53</f>
        <v>3.3665899206958301</v>
      </c>
      <c r="V53" s="123">
        <f t="shared" si="10"/>
        <v>39480</v>
      </c>
      <c r="W53" s="188" t="s">
        <v>246</v>
      </c>
      <c r="X53" s="123" t="s">
        <v>15</v>
      </c>
      <c r="Y53" s="123">
        <v>262</v>
      </c>
      <c r="Z53" s="123">
        <f>20/3.3</f>
        <v>6.0606060606060606</v>
      </c>
      <c r="AA53" s="123">
        <f>AB53/G53</f>
        <v>0.13540366571832418</v>
      </c>
      <c r="AB53" s="123">
        <f>Y53*Z53</f>
        <v>1587.8787878787878</v>
      </c>
      <c r="AC53" s="123" t="s">
        <v>11</v>
      </c>
      <c r="AD53" s="123">
        <v>5</v>
      </c>
      <c r="AE53" s="123">
        <v>9.59</v>
      </c>
      <c r="AF53" s="167">
        <f>AG53/G53</f>
        <v>4.0888547795685177E-3</v>
      </c>
      <c r="AG53" s="188">
        <f>AD53*AE53</f>
        <v>47.95</v>
      </c>
      <c r="AH53" s="196"/>
    </row>
    <row r="54" spans="2:35" s="3" customFormat="1" ht="27.75" customHeight="1" x14ac:dyDescent="0.25">
      <c r="B54" s="317"/>
      <c r="C54" s="329"/>
      <c r="D54" s="329"/>
      <c r="E54" s="329"/>
      <c r="F54" s="317"/>
      <c r="G54" s="408"/>
      <c r="H54" s="416"/>
      <c r="I54" s="408"/>
      <c r="J54" s="185"/>
      <c r="K54" s="116"/>
      <c r="L54" s="185"/>
      <c r="M54" s="185"/>
      <c r="N54" s="185"/>
      <c r="O54" s="125"/>
      <c r="P54" s="125"/>
      <c r="Q54" s="125" t="s">
        <v>19</v>
      </c>
      <c r="R54" s="125">
        <v>1</v>
      </c>
      <c r="S54" s="185">
        <f>R54*Apoyo!B13</f>
        <v>70</v>
      </c>
      <c r="T54" s="125">
        <v>329</v>
      </c>
      <c r="U54" s="188">
        <f>V54/G53</f>
        <v>1.963844120405901</v>
      </c>
      <c r="V54" s="123">
        <f t="shared" si="10"/>
        <v>23030</v>
      </c>
      <c r="W54" s="188"/>
      <c r="X54" s="123"/>
      <c r="Y54" s="123"/>
      <c r="Z54" s="123"/>
      <c r="AA54" s="123"/>
      <c r="AB54" s="123"/>
      <c r="AC54" s="123" t="s">
        <v>12</v>
      </c>
      <c r="AD54" s="123">
        <f>AD53</f>
        <v>5</v>
      </c>
      <c r="AE54" s="123">
        <v>44.93</v>
      </c>
      <c r="AF54" s="188">
        <f>AG54/G53</f>
        <v>1.9156647053807454E-2</v>
      </c>
      <c r="AG54" s="188">
        <f>AD54*AE54</f>
        <v>224.65</v>
      </c>
      <c r="AH54" s="196"/>
    </row>
    <row r="55" spans="2:35" s="3" customFormat="1" ht="39" customHeight="1" x14ac:dyDescent="0.25">
      <c r="B55" s="317">
        <v>5.5</v>
      </c>
      <c r="C55" s="318" t="s">
        <v>223</v>
      </c>
      <c r="D55" s="318"/>
      <c r="E55" s="318"/>
      <c r="F55" s="317" t="s">
        <v>107</v>
      </c>
      <c r="G55" s="319">
        <v>11727</v>
      </c>
      <c r="H55" s="320">
        <f>O55+O56+U55+U56+AA55+AA56</f>
        <v>64.292728745629731</v>
      </c>
      <c r="I55" s="319">
        <f>H55*G55</f>
        <v>753960.82999999984</v>
      </c>
      <c r="J55" s="185" t="s">
        <v>234</v>
      </c>
      <c r="K55" s="157">
        <v>2</v>
      </c>
      <c r="L55" s="125">
        <f>(52.64*8)*K55</f>
        <v>842.24</v>
      </c>
      <c r="M55" s="125">
        <f>155*K55</f>
        <v>310</v>
      </c>
      <c r="N55" s="125">
        <v>350</v>
      </c>
      <c r="O55" s="125">
        <f>P55/G55</f>
        <v>25.137204741195532</v>
      </c>
      <c r="P55" s="125">
        <f>L55*N55</f>
        <v>294784</v>
      </c>
      <c r="Q55" s="125" t="s">
        <v>3</v>
      </c>
      <c r="R55" s="125">
        <v>1</v>
      </c>
      <c r="S55" s="185">
        <f>R55*Apoyo!B9</f>
        <v>50</v>
      </c>
      <c r="T55" s="125">
        <v>350</v>
      </c>
      <c r="U55" s="188">
        <f>V55/G55</f>
        <v>1.4922827662658822</v>
      </c>
      <c r="V55" s="123">
        <f t="shared" si="10"/>
        <v>17500</v>
      </c>
      <c r="W55" s="188" t="s">
        <v>10</v>
      </c>
      <c r="X55" s="123" t="s">
        <v>115</v>
      </c>
      <c r="Y55" s="123">
        <f>10500*2</f>
        <v>21000</v>
      </c>
      <c r="Z55" s="123">
        <f>Z49</f>
        <v>5.678115</v>
      </c>
      <c r="AA55" s="123">
        <f>AB55/G55</f>
        <v>10.168023791250958</v>
      </c>
      <c r="AB55" s="123">
        <f>Y55*Z55</f>
        <v>119240.41499999999</v>
      </c>
      <c r="AC55" s="123"/>
      <c r="AD55" s="123"/>
      <c r="AE55" s="123"/>
      <c r="AF55" s="123"/>
      <c r="AG55" s="123"/>
      <c r="AH55" s="196"/>
    </row>
    <row r="56" spans="2:35" s="3" customFormat="1" ht="57.75" customHeight="1" x14ac:dyDescent="0.25">
      <c r="B56" s="317"/>
      <c r="C56" s="318"/>
      <c r="D56" s="318"/>
      <c r="E56" s="318"/>
      <c r="F56" s="317"/>
      <c r="G56" s="319"/>
      <c r="H56" s="320"/>
      <c r="I56" s="319"/>
      <c r="J56" s="185" t="s">
        <v>49</v>
      </c>
      <c r="K56" s="157">
        <v>2</v>
      </c>
      <c r="L56" s="125">
        <f>(33.16*8)*K56</f>
        <v>530.55999999999995</v>
      </c>
      <c r="M56" s="125">
        <f>155*K56</f>
        <v>310</v>
      </c>
      <c r="N56" s="125">
        <v>350</v>
      </c>
      <c r="O56" s="125">
        <f>P56/G55</f>
        <v>15.834910889400525</v>
      </c>
      <c r="P56" s="125">
        <f>L56*N56</f>
        <v>185695.99999999997</v>
      </c>
      <c r="Q56" s="125" t="s">
        <v>3</v>
      </c>
      <c r="R56" s="125">
        <v>1</v>
      </c>
      <c r="S56" s="185">
        <f>R56*Apoyo!B9</f>
        <v>50</v>
      </c>
      <c r="T56" s="125">
        <v>350</v>
      </c>
      <c r="U56" s="188">
        <f>V56/G55</f>
        <v>1.4922827662658822</v>
      </c>
      <c r="V56" s="123">
        <f t="shared" si="10"/>
        <v>17500</v>
      </c>
      <c r="W56" s="188" t="s">
        <v>10</v>
      </c>
      <c r="X56" s="123" t="s">
        <v>115</v>
      </c>
      <c r="Y56" s="123">
        <f>Y55</f>
        <v>21000</v>
      </c>
      <c r="Z56" s="123">
        <f>Z55</f>
        <v>5.678115</v>
      </c>
      <c r="AA56" s="123">
        <f>AB56/G55</f>
        <v>10.168023791250958</v>
      </c>
      <c r="AB56" s="123">
        <f>Y56*Z56</f>
        <v>119240.41499999999</v>
      </c>
      <c r="AC56" s="123"/>
      <c r="AD56" s="123"/>
      <c r="AE56" s="123"/>
      <c r="AF56" s="123"/>
      <c r="AG56" s="123"/>
      <c r="AH56" s="196"/>
    </row>
    <row r="57" spans="2:35" s="3" customFormat="1" ht="66.75" customHeight="1" x14ac:dyDescent="0.25">
      <c r="B57" s="186">
        <v>5.6</v>
      </c>
      <c r="C57" s="355" t="s">
        <v>84</v>
      </c>
      <c r="D57" s="355"/>
      <c r="E57" s="355"/>
      <c r="F57" s="187" t="s">
        <v>44</v>
      </c>
      <c r="G57" s="185">
        <v>114</v>
      </c>
      <c r="H57" s="185">
        <f>U57+O57</f>
        <v>276.31578947368422</v>
      </c>
      <c r="I57" s="185">
        <f>H57*G57</f>
        <v>31500</v>
      </c>
      <c r="J57" s="185" t="s">
        <v>90</v>
      </c>
      <c r="K57" s="185">
        <v>3</v>
      </c>
      <c r="L57" s="185">
        <f>120/3.3</f>
        <v>36.363636363636367</v>
      </c>
      <c r="M57" s="185">
        <v>1</v>
      </c>
      <c r="N57" s="185">
        <v>231</v>
      </c>
      <c r="O57" s="185">
        <f>P57/G57</f>
        <v>73.684210526315795</v>
      </c>
      <c r="P57" s="185">
        <f>L57*N57</f>
        <v>8400</v>
      </c>
      <c r="Q57" s="185" t="s">
        <v>91</v>
      </c>
      <c r="R57" s="185">
        <v>2</v>
      </c>
      <c r="S57" s="185">
        <f>R57*Apoyo!B9</f>
        <v>100</v>
      </c>
      <c r="T57" s="185">
        <v>231</v>
      </c>
      <c r="U57" s="185">
        <f>V57/G57</f>
        <v>202.63157894736841</v>
      </c>
      <c r="V57" s="185">
        <f t="shared" si="10"/>
        <v>23100</v>
      </c>
      <c r="W57" s="185"/>
      <c r="X57" s="185"/>
      <c r="Y57" s="185"/>
      <c r="Z57" s="185"/>
      <c r="AA57" s="185"/>
      <c r="AB57" s="185"/>
      <c r="AC57" s="185"/>
      <c r="AD57" s="185"/>
      <c r="AE57" s="185"/>
      <c r="AF57" s="185"/>
      <c r="AG57" s="185"/>
      <c r="AH57" s="196"/>
    </row>
    <row r="58" spans="2:35" s="3" customFormat="1" ht="34.5" customHeight="1" x14ac:dyDescent="0.25">
      <c r="B58" s="186">
        <v>5.7</v>
      </c>
      <c r="C58" s="355" t="s">
        <v>66</v>
      </c>
      <c r="D58" s="355"/>
      <c r="E58" s="355"/>
      <c r="F58" s="187" t="s">
        <v>108</v>
      </c>
      <c r="G58" s="185">
        <f>44255.8</f>
        <v>44255.8</v>
      </c>
      <c r="H58" s="185">
        <f>U58+AA58+AF58</f>
        <v>6.3214184013134664</v>
      </c>
      <c r="I58" s="185">
        <f>H58*G58</f>
        <v>279759.42848484853</v>
      </c>
      <c r="J58" s="185"/>
      <c r="K58" s="185"/>
      <c r="L58" s="185"/>
      <c r="M58" s="185"/>
      <c r="N58" s="185"/>
      <c r="O58" s="185"/>
      <c r="P58" s="185"/>
      <c r="Q58" s="185" t="s">
        <v>16</v>
      </c>
      <c r="R58" s="185">
        <v>5</v>
      </c>
      <c r="S58" s="185">
        <f>R58*Apoyo!B8</f>
        <v>200</v>
      </c>
      <c r="T58" s="185">
        <v>224</v>
      </c>
      <c r="U58" s="185">
        <f>V58/G58</f>
        <v>1.0122966933147746</v>
      </c>
      <c r="V58" s="185">
        <f>T58*S58</f>
        <v>44800</v>
      </c>
      <c r="W58" s="185" t="s">
        <v>67</v>
      </c>
      <c r="X58" s="185" t="s">
        <v>68</v>
      </c>
      <c r="Y58" s="185">
        <f>G58/2</f>
        <v>22127.9</v>
      </c>
      <c r="Z58" s="185">
        <f>35/3.3</f>
        <v>10.606060606060607</v>
      </c>
      <c r="AA58" s="185">
        <f>AB58/G58</f>
        <v>5.3030303030303036</v>
      </c>
      <c r="AB58" s="185">
        <f>Y58*Z58</f>
        <v>234689.84848484854</v>
      </c>
      <c r="AC58" s="185" t="s">
        <v>12</v>
      </c>
      <c r="AD58" s="185">
        <v>6</v>
      </c>
      <c r="AE58" s="185">
        <v>44.93</v>
      </c>
      <c r="AF58" s="185">
        <f>AG58/G58</f>
        <v>6.0914049683883234E-3</v>
      </c>
      <c r="AG58" s="185">
        <f>AD58*AE58</f>
        <v>269.58</v>
      </c>
      <c r="AH58" s="196"/>
    </row>
    <row r="59" spans="2:35" s="2" customFormat="1" ht="16.5" customHeight="1" x14ac:dyDescent="0.25">
      <c r="B59" s="317">
        <v>5.8</v>
      </c>
      <c r="C59" s="341" t="s">
        <v>285</v>
      </c>
      <c r="D59" s="341"/>
      <c r="E59" s="341"/>
      <c r="F59" s="317" t="s">
        <v>8</v>
      </c>
      <c r="G59" s="316">
        <v>1</v>
      </c>
      <c r="H59" s="316">
        <f>O59+O61+U59+U61+O60+U60+AA59</f>
        <v>2791647.7293993942</v>
      </c>
      <c r="I59" s="316">
        <f>G59*H59</f>
        <v>2791647.7293993942</v>
      </c>
      <c r="J59" s="185" t="s">
        <v>61</v>
      </c>
      <c r="K59" s="185">
        <v>1</v>
      </c>
      <c r="L59" s="185">
        <v>39000</v>
      </c>
      <c r="M59" s="185">
        <v>1</v>
      </c>
      <c r="N59" s="185">
        <v>70</v>
      </c>
      <c r="O59" s="185">
        <f>P59/G59</f>
        <v>2730000</v>
      </c>
      <c r="P59" s="185">
        <f>L59*N59</f>
        <v>2730000</v>
      </c>
      <c r="Q59" s="185" t="s">
        <v>20</v>
      </c>
      <c r="R59" s="185">
        <v>5</v>
      </c>
      <c r="S59" s="185">
        <f>R59*Apoyo!B8</f>
        <v>200</v>
      </c>
      <c r="T59" s="185">
        <v>3</v>
      </c>
      <c r="U59" s="185">
        <f>V59/G59</f>
        <v>600</v>
      </c>
      <c r="V59" s="185">
        <f t="shared" ref="V59:V61" si="13">T59*S59</f>
        <v>600</v>
      </c>
      <c r="W59" s="185" t="s">
        <v>10</v>
      </c>
      <c r="X59" s="185" t="s">
        <v>115</v>
      </c>
      <c r="Y59" s="185">
        <v>204</v>
      </c>
      <c r="Z59" s="185">
        <f>Z56</f>
        <v>5.678115</v>
      </c>
      <c r="AA59" s="185">
        <f>AB59/G59</f>
        <v>1158.33546</v>
      </c>
      <c r="AB59" s="185">
        <f>Y59*Z59</f>
        <v>1158.33546</v>
      </c>
      <c r="AC59" s="185"/>
      <c r="AD59" s="185"/>
      <c r="AE59" s="185"/>
      <c r="AF59" s="185"/>
      <c r="AG59" s="185"/>
      <c r="AH59" s="193"/>
    </row>
    <row r="60" spans="2:35" s="2" customFormat="1" ht="25.5" customHeight="1" x14ac:dyDescent="0.25">
      <c r="B60" s="317"/>
      <c r="C60" s="341"/>
      <c r="D60" s="341"/>
      <c r="E60" s="341"/>
      <c r="F60" s="317"/>
      <c r="G60" s="316"/>
      <c r="H60" s="316"/>
      <c r="I60" s="316"/>
      <c r="J60" s="118" t="s">
        <v>92</v>
      </c>
      <c r="K60" s="118">
        <v>2</v>
      </c>
      <c r="L60" s="185">
        <f>(22.5*8)*K60</f>
        <v>360</v>
      </c>
      <c r="M60" s="118">
        <v>1</v>
      </c>
      <c r="N60" s="118">
        <v>70</v>
      </c>
      <c r="O60" s="118">
        <f>P60/G59</f>
        <v>25200</v>
      </c>
      <c r="P60" s="118">
        <f t="shared" ref="P60" si="14">L60*N60</f>
        <v>25200</v>
      </c>
      <c r="Q60" s="185" t="s">
        <v>227</v>
      </c>
      <c r="R60" s="185">
        <v>2</v>
      </c>
      <c r="S60" s="185">
        <f>R60*Apoyo!B9</f>
        <v>100</v>
      </c>
      <c r="T60" s="185">
        <v>3</v>
      </c>
      <c r="U60" s="185">
        <f>V60/G59</f>
        <v>300</v>
      </c>
      <c r="V60" s="185">
        <f t="shared" si="13"/>
        <v>300</v>
      </c>
      <c r="W60" s="185"/>
      <c r="X60" s="185"/>
      <c r="Y60" s="185"/>
      <c r="Z60" s="185"/>
      <c r="AA60" s="185"/>
      <c r="AB60" s="185"/>
      <c r="AC60" s="185"/>
      <c r="AD60" s="185"/>
      <c r="AE60" s="185"/>
      <c r="AF60" s="185"/>
      <c r="AG60" s="185"/>
      <c r="AH60" s="193"/>
    </row>
    <row r="61" spans="2:35" s="2" customFormat="1" ht="16.5" customHeight="1" x14ac:dyDescent="0.25">
      <c r="B61" s="317"/>
      <c r="C61" s="341"/>
      <c r="D61" s="341"/>
      <c r="E61" s="341"/>
      <c r="F61" s="317"/>
      <c r="G61" s="316"/>
      <c r="H61" s="316"/>
      <c r="I61" s="316"/>
      <c r="J61" s="185" t="s">
        <v>47</v>
      </c>
      <c r="K61" s="185">
        <v>2</v>
      </c>
      <c r="L61" s="125">
        <f>+K61*(800/3.3)</f>
        <v>484.84848484848487</v>
      </c>
      <c r="M61" s="185">
        <v>1</v>
      </c>
      <c r="N61" s="185">
        <v>70</v>
      </c>
      <c r="O61" s="125">
        <f>P61/G59</f>
        <v>33939.393939393944</v>
      </c>
      <c r="P61" s="125">
        <f>L61*N61</f>
        <v>33939.393939393944</v>
      </c>
      <c r="Q61" s="185" t="s">
        <v>64</v>
      </c>
      <c r="R61" s="185">
        <v>3</v>
      </c>
      <c r="S61" s="185">
        <f>R61*Apoyo!B10</f>
        <v>150</v>
      </c>
      <c r="T61" s="185">
        <v>3</v>
      </c>
      <c r="U61" s="185">
        <f>V61/G59</f>
        <v>450</v>
      </c>
      <c r="V61" s="185">
        <f t="shared" si="13"/>
        <v>450</v>
      </c>
      <c r="W61" s="185"/>
      <c r="X61" s="185"/>
      <c r="Y61" s="185"/>
      <c r="Z61" s="185"/>
      <c r="AA61" s="185"/>
      <c r="AB61" s="185"/>
      <c r="AC61" s="185"/>
      <c r="AD61" s="185"/>
      <c r="AE61" s="185"/>
      <c r="AF61" s="185"/>
      <c r="AG61" s="185"/>
      <c r="AH61" s="193"/>
    </row>
    <row r="62" spans="2:35" s="22" customFormat="1" ht="30" customHeight="1" x14ac:dyDescent="0.25">
      <c r="B62" s="413" t="s">
        <v>247</v>
      </c>
      <c r="C62" s="413"/>
      <c r="D62" s="413"/>
      <c r="E62" s="413"/>
      <c r="F62" s="413"/>
      <c r="G62" s="413"/>
      <c r="H62" s="413"/>
      <c r="I62" s="413"/>
      <c r="J62" s="413"/>
      <c r="K62" s="413"/>
      <c r="L62" s="413"/>
      <c r="M62" s="413"/>
      <c r="N62" s="413"/>
      <c r="O62" s="413"/>
      <c r="P62" s="413"/>
      <c r="Q62" s="413"/>
      <c r="R62" s="413"/>
      <c r="S62" s="413"/>
      <c r="T62" s="413"/>
      <c r="U62" s="413"/>
      <c r="V62" s="413"/>
      <c r="W62" s="413"/>
      <c r="X62" s="413"/>
      <c r="Y62" s="413"/>
      <c r="Z62" s="413"/>
      <c r="AA62" s="413"/>
      <c r="AB62" s="413"/>
      <c r="AC62" s="413"/>
      <c r="AD62" s="413"/>
      <c r="AE62" s="413"/>
      <c r="AF62" s="413"/>
      <c r="AG62" s="413"/>
      <c r="AH62" s="197">
        <f>AH47+AH38+AH31+AH13+AH6</f>
        <v>33391422.344240308</v>
      </c>
      <c r="AI62" s="51"/>
    </row>
    <row r="63" spans="2:35" s="22" customFormat="1" ht="32.25" customHeight="1" thickBot="1" x14ac:dyDescent="0.3">
      <c r="B63" s="463" t="s">
        <v>286</v>
      </c>
      <c r="C63" s="464"/>
      <c r="D63" s="464"/>
      <c r="E63" s="464"/>
      <c r="F63" s="464"/>
      <c r="G63" s="464"/>
      <c r="H63" s="464"/>
      <c r="I63" s="464"/>
      <c r="J63" s="464"/>
      <c r="K63" s="464"/>
      <c r="L63" s="464"/>
      <c r="M63" s="464"/>
      <c r="N63" s="464"/>
      <c r="O63" s="464"/>
      <c r="P63" s="464"/>
      <c r="Q63" s="21"/>
      <c r="R63" s="21"/>
      <c r="S63" s="21"/>
      <c r="T63" s="21"/>
      <c r="U63" s="21"/>
      <c r="V63" s="21"/>
      <c r="W63" s="21"/>
      <c r="X63" s="23"/>
      <c r="Y63" s="21"/>
      <c r="Z63" s="21"/>
      <c r="AA63" s="21"/>
      <c r="AB63" s="21"/>
      <c r="AC63" s="25"/>
      <c r="AD63" s="25"/>
      <c r="AE63" s="25"/>
      <c r="AF63" s="21"/>
      <c r="AG63" s="21"/>
    </row>
    <row r="64" spans="2:35" s="22" customFormat="1" ht="22.5" customHeight="1" x14ac:dyDescent="0.25">
      <c r="B64" s="330" t="s">
        <v>117</v>
      </c>
      <c r="C64" s="331"/>
      <c r="D64" s="331"/>
      <c r="E64" s="331"/>
      <c r="F64" s="331"/>
      <c r="G64" s="331"/>
      <c r="H64" s="331"/>
      <c r="I64" s="331"/>
      <c r="J64" s="331"/>
      <c r="K64" s="331"/>
      <c r="L64" s="332"/>
      <c r="M64" s="21"/>
      <c r="N64" s="21"/>
      <c r="O64" s="21"/>
      <c r="P64" s="21"/>
      <c r="Q64" s="21"/>
      <c r="R64" s="21"/>
      <c r="S64" s="21"/>
      <c r="T64" s="21"/>
      <c r="U64" s="21"/>
      <c r="V64" s="21"/>
      <c r="W64" s="21"/>
      <c r="X64" s="23"/>
      <c r="Y64" s="21"/>
      <c r="Z64" s="21"/>
      <c r="AA64" s="21"/>
      <c r="AB64" s="21"/>
      <c r="AC64" s="25"/>
      <c r="AD64" s="25"/>
      <c r="AE64" s="25"/>
      <c r="AF64" s="21"/>
      <c r="AG64" s="21"/>
    </row>
    <row r="65" spans="2:34" s="22" customFormat="1" ht="22.5" customHeight="1" x14ac:dyDescent="0.25">
      <c r="B65" s="333" t="s">
        <v>0</v>
      </c>
      <c r="C65" s="334"/>
      <c r="D65" s="335"/>
      <c r="E65" s="364" t="s">
        <v>118</v>
      </c>
      <c r="F65" s="364"/>
      <c r="G65" s="364"/>
      <c r="H65" s="364" t="s">
        <v>119</v>
      </c>
      <c r="I65" s="364"/>
      <c r="J65" s="364" t="s">
        <v>120</v>
      </c>
      <c r="K65" s="364"/>
      <c r="L65" s="367"/>
      <c r="M65" s="21"/>
      <c r="N65" s="21"/>
      <c r="O65" s="21"/>
      <c r="P65" s="21"/>
      <c r="Q65" s="21"/>
      <c r="R65" s="21"/>
      <c r="S65" s="21"/>
      <c r="T65" s="21"/>
      <c r="U65" s="21"/>
      <c r="V65" s="21"/>
      <c r="W65" s="21"/>
      <c r="X65" s="23"/>
      <c r="Y65" s="21"/>
      <c r="Z65" s="21"/>
      <c r="AA65" s="21"/>
      <c r="AB65" s="21"/>
      <c r="AC65" s="25"/>
      <c r="AD65" s="25"/>
      <c r="AE65" s="25"/>
      <c r="AF65" s="21"/>
      <c r="AG65" s="21"/>
    </row>
    <row r="66" spans="2:34" s="22" customFormat="1" ht="64.5" customHeight="1" x14ac:dyDescent="0.25">
      <c r="B66" s="418" t="s">
        <v>248</v>
      </c>
      <c r="C66" s="419"/>
      <c r="D66" s="420"/>
      <c r="E66" s="426">
        <f>AH62</f>
        <v>33391422.344240308</v>
      </c>
      <c r="F66" s="427"/>
      <c r="G66" s="428"/>
      <c r="H66" s="426">
        <f>0.18*E66</f>
        <v>6010456.0219632555</v>
      </c>
      <c r="I66" s="428"/>
      <c r="J66" s="429">
        <f>E66+H66</f>
        <v>39401878.366203561</v>
      </c>
      <c r="K66" s="429"/>
      <c r="L66" s="430"/>
      <c r="M66" s="21"/>
      <c r="N66" s="21"/>
      <c r="O66" s="21"/>
      <c r="P66" s="182"/>
      <c r="Q66" s="182"/>
      <c r="R66" s="182"/>
      <c r="S66" s="182">
        <f>19114.16*31323.88/4795.2</f>
        <v>124860.20481748416</v>
      </c>
      <c r="T66" s="182"/>
      <c r="U66" s="182"/>
      <c r="V66" s="182"/>
      <c r="W66" s="182"/>
      <c r="X66" s="23"/>
      <c r="Y66" s="21"/>
      <c r="Z66" s="21"/>
      <c r="AA66" s="21"/>
      <c r="AB66" s="21"/>
      <c r="AC66" s="25"/>
      <c r="AD66" s="25"/>
      <c r="AE66" s="25"/>
      <c r="AF66" s="21"/>
      <c r="AG66" s="21"/>
    </row>
    <row r="67" spans="2:34" s="22" customFormat="1" ht="22.5" customHeight="1" thickBot="1" x14ac:dyDescent="0.3">
      <c r="B67" s="410" t="s">
        <v>121</v>
      </c>
      <c r="C67" s="411"/>
      <c r="D67" s="411"/>
      <c r="E67" s="411"/>
      <c r="F67" s="411"/>
      <c r="G67" s="411"/>
      <c r="H67" s="411"/>
      <c r="I67" s="412"/>
      <c r="J67" s="381">
        <f>J66</f>
        <v>39401878.366203561</v>
      </c>
      <c r="K67" s="422"/>
      <c r="L67" s="382"/>
      <c r="M67" s="21"/>
      <c r="N67" s="21"/>
      <c r="O67" s="21"/>
      <c r="P67" s="182"/>
      <c r="Q67" s="182"/>
      <c r="R67" s="182"/>
      <c r="S67" s="182"/>
      <c r="T67" s="182"/>
      <c r="U67" s="182"/>
      <c r="V67" s="182"/>
      <c r="W67" s="182"/>
      <c r="X67" s="23"/>
      <c r="Y67" s="21"/>
      <c r="Z67" s="21"/>
      <c r="AA67" s="21"/>
      <c r="AB67" s="21"/>
      <c r="AC67" s="25"/>
      <c r="AD67" s="25"/>
      <c r="AE67" s="25"/>
      <c r="AF67" s="21"/>
      <c r="AG67" s="21"/>
    </row>
    <row r="68" spans="2:34" s="22" customFormat="1" ht="22.5" customHeight="1" thickBot="1" x14ac:dyDescent="0.3">
      <c r="B68" s="26"/>
      <c r="C68" s="26"/>
      <c r="D68" s="26"/>
      <c r="E68" s="26"/>
      <c r="F68" s="26"/>
      <c r="G68" s="26"/>
      <c r="H68" s="26"/>
      <c r="I68" s="26"/>
      <c r="J68" s="27"/>
      <c r="K68" s="26"/>
      <c r="L68" s="26"/>
      <c r="M68" s="21"/>
      <c r="N68" s="21"/>
      <c r="O68" s="21"/>
      <c r="P68" s="182"/>
      <c r="Q68" s="182"/>
      <c r="R68" s="182"/>
      <c r="S68" s="182"/>
      <c r="T68" s="182"/>
      <c r="U68" s="182"/>
      <c r="V68" s="182"/>
      <c r="W68" s="182"/>
      <c r="X68" s="23"/>
      <c r="Y68" s="21"/>
      <c r="Z68" s="21"/>
      <c r="AA68" s="21"/>
      <c r="AB68" s="21"/>
      <c r="AC68" s="25"/>
      <c r="AD68" s="25"/>
      <c r="AE68" s="25"/>
      <c r="AF68" s="21"/>
      <c r="AG68" s="21"/>
    </row>
    <row r="69" spans="2:34" s="22" customFormat="1" ht="22.5" customHeight="1" x14ac:dyDescent="0.25">
      <c r="B69" s="330" t="s">
        <v>122</v>
      </c>
      <c r="C69" s="331"/>
      <c r="D69" s="331"/>
      <c r="E69" s="331"/>
      <c r="F69" s="331"/>
      <c r="G69" s="331"/>
      <c r="H69" s="331"/>
      <c r="I69" s="332"/>
      <c r="J69" s="42"/>
      <c r="K69" s="42"/>
      <c r="L69" s="42"/>
      <c r="M69" s="46"/>
      <c r="N69" s="21"/>
      <c r="O69" s="21"/>
      <c r="P69" s="182"/>
      <c r="Q69" s="182"/>
      <c r="R69" s="182"/>
      <c r="S69" s="182"/>
      <c r="T69" s="182"/>
      <c r="U69" s="182"/>
      <c r="V69" s="182"/>
      <c r="W69" s="182"/>
      <c r="X69" s="23"/>
      <c r="Y69" s="21"/>
      <c r="Z69" s="21"/>
      <c r="AA69" s="21"/>
      <c r="AB69" s="21"/>
      <c r="AC69" s="25"/>
      <c r="AD69" s="25"/>
      <c r="AE69" s="25"/>
      <c r="AF69" s="21"/>
      <c r="AG69" s="21"/>
    </row>
    <row r="70" spans="2:34" s="22" customFormat="1" ht="22.5" customHeight="1" x14ac:dyDescent="0.25">
      <c r="B70" s="333" t="s">
        <v>0</v>
      </c>
      <c r="C70" s="334"/>
      <c r="D70" s="335"/>
      <c r="E70" s="431" t="s">
        <v>123</v>
      </c>
      <c r="F70" s="431"/>
      <c r="G70" s="431"/>
      <c r="H70" s="366" t="s">
        <v>124</v>
      </c>
      <c r="I70" s="367"/>
      <c r="J70" s="346"/>
      <c r="K70" s="346"/>
      <c r="L70" s="346"/>
      <c r="M70" s="46"/>
      <c r="N70" s="21"/>
      <c r="O70" s="21"/>
      <c r="P70" s="182"/>
      <c r="Q70" s="182"/>
      <c r="R70" s="182"/>
      <c r="S70" s="182"/>
      <c r="T70" s="182"/>
      <c r="U70" s="182"/>
      <c r="V70" s="182"/>
      <c r="W70" s="182"/>
      <c r="X70" s="23"/>
      <c r="Y70" s="21"/>
      <c r="Z70" s="21"/>
      <c r="AA70" s="21"/>
      <c r="AB70" s="21"/>
      <c r="AC70" s="25"/>
      <c r="AD70" s="25"/>
      <c r="AE70" s="25"/>
      <c r="AF70" s="21"/>
      <c r="AG70" s="21"/>
    </row>
    <row r="71" spans="2:34" s="22" customFormat="1" ht="93" customHeight="1" x14ac:dyDescent="0.25">
      <c r="B71" s="418" t="s">
        <v>248</v>
      </c>
      <c r="C71" s="419"/>
      <c r="D71" s="420"/>
      <c r="E71" s="424">
        <f>J67</f>
        <v>39401878.366203561</v>
      </c>
      <c r="F71" s="424"/>
      <c r="G71" s="424"/>
      <c r="H71" s="424">
        <f>10%*E71</f>
        <v>3940187.8366203564</v>
      </c>
      <c r="I71" s="425"/>
      <c r="J71" s="417"/>
      <c r="K71" s="417"/>
      <c r="L71" s="417"/>
      <c r="M71" s="46"/>
      <c r="N71" s="21"/>
      <c r="O71" s="21"/>
      <c r="P71" s="182"/>
      <c r="Q71" s="182"/>
      <c r="R71" s="182"/>
      <c r="S71" s="182"/>
      <c r="T71" s="182" t="s">
        <v>150</v>
      </c>
      <c r="U71" s="182" t="s">
        <v>151</v>
      </c>
      <c r="V71" s="182"/>
      <c r="W71" s="182"/>
      <c r="X71" s="23"/>
      <c r="Y71" s="21"/>
      <c r="Z71" s="21"/>
      <c r="AA71" s="21"/>
      <c r="AB71" s="21"/>
      <c r="AC71" s="25"/>
      <c r="AD71" s="25"/>
      <c r="AE71" s="25"/>
      <c r="AF71" s="21"/>
      <c r="AG71" s="21"/>
    </row>
    <row r="72" spans="2:34" s="22" customFormat="1" ht="22.5" customHeight="1" thickBot="1" x14ac:dyDescent="0.3">
      <c r="B72" s="421" t="s">
        <v>125</v>
      </c>
      <c r="C72" s="422"/>
      <c r="D72" s="422"/>
      <c r="E72" s="422"/>
      <c r="F72" s="422"/>
      <c r="G72" s="422"/>
      <c r="H72" s="381">
        <f>H71</f>
        <v>3940187.8366203564</v>
      </c>
      <c r="I72" s="382"/>
      <c r="J72" s="345"/>
      <c r="K72" s="346"/>
      <c r="L72" s="346"/>
      <c r="M72" s="46"/>
      <c r="N72" s="21"/>
      <c r="O72" s="21"/>
      <c r="P72" s="182"/>
      <c r="Q72" s="182"/>
      <c r="R72" s="182"/>
      <c r="S72" s="182"/>
      <c r="T72" s="21">
        <v>58</v>
      </c>
      <c r="U72" s="21">
        <v>7</v>
      </c>
      <c r="V72" s="182"/>
      <c r="W72" s="182"/>
      <c r="X72" s="23"/>
      <c r="Y72" s="21"/>
      <c r="Z72" s="21"/>
      <c r="AA72" s="21"/>
      <c r="AB72" s="21"/>
      <c r="AC72" s="25"/>
      <c r="AD72" s="25"/>
      <c r="AE72" s="25"/>
      <c r="AF72" s="21"/>
      <c r="AG72" s="21"/>
    </row>
    <row r="73" spans="2:34" s="22" customFormat="1" ht="22.5" customHeight="1" thickBot="1" x14ac:dyDescent="0.3">
      <c r="B73" s="68"/>
      <c r="C73" s="68"/>
      <c r="D73" s="68"/>
      <c r="E73" s="68"/>
      <c r="F73" s="68"/>
      <c r="G73" s="68"/>
      <c r="H73" s="69"/>
      <c r="I73" s="68"/>
      <c r="J73" s="54"/>
      <c r="K73" s="53"/>
      <c r="L73" s="53"/>
      <c r="M73" s="46"/>
      <c r="N73" s="21"/>
      <c r="O73" s="21"/>
      <c r="P73" s="21"/>
      <c r="Q73" s="21"/>
      <c r="R73" s="21"/>
      <c r="S73" s="21"/>
      <c r="T73" s="21"/>
      <c r="U73" s="21"/>
      <c r="V73" s="21"/>
      <c r="W73" s="21"/>
      <c r="X73" s="23"/>
      <c r="Y73" s="21"/>
      <c r="Z73" s="21"/>
      <c r="AA73" s="21"/>
      <c r="AB73" s="21"/>
      <c r="AC73" s="25"/>
      <c r="AD73" s="25"/>
      <c r="AE73" s="25"/>
      <c r="AF73" s="21"/>
      <c r="AG73" s="21"/>
    </row>
    <row r="74" spans="2:34" s="22" customFormat="1" ht="59.25" customHeight="1" x14ac:dyDescent="0.25">
      <c r="B74" s="75" t="s">
        <v>6</v>
      </c>
      <c r="C74" s="353" t="s">
        <v>0</v>
      </c>
      <c r="D74" s="353"/>
      <c r="E74" s="353"/>
      <c r="F74" s="76" t="s">
        <v>13</v>
      </c>
      <c r="G74" s="76" t="s">
        <v>4</v>
      </c>
      <c r="H74" s="76" t="s">
        <v>70</v>
      </c>
      <c r="I74" s="76" t="s">
        <v>71</v>
      </c>
      <c r="J74" s="76" t="s">
        <v>1</v>
      </c>
      <c r="K74" s="76" t="s">
        <v>4</v>
      </c>
      <c r="L74" s="76" t="s">
        <v>72</v>
      </c>
      <c r="M74" s="76" t="s">
        <v>43</v>
      </c>
      <c r="N74" s="76" t="s">
        <v>73</v>
      </c>
      <c r="O74" s="76" t="s">
        <v>74</v>
      </c>
      <c r="P74" s="76" t="s">
        <v>75</v>
      </c>
      <c r="Q74" s="76" t="s">
        <v>2</v>
      </c>
      <c r="R74" s="76" t="s">
        <v>4</v>
      </c>
      <c r="S74" s="76" t="s">
        <v>76</v>
      </c>
      <c r="T74" s="76" t="s">
        <v>73</v>
      </c>
      <c r="U74" s="76" t="s">
        <v>74</v>
      </c>
      <c r="V74" s="76" t="s">
        <v>77</v>
      </c>
      <c r="W74" s="76" t="s">
        <v>5</v>
      </c>
      <c r="X74" s="76" t="s">
        <v>13</v>
      </c>
      <c r="Y74" s="76" t="s">
        <v>14</v>
      </c>
      <c r="Z74" s="76" t="s">
        <v>78</v>
      </c>
      <c r="AA74" s="76" t="s">
        <v>74</v>
      </c>
      <c r="AB74" s="76" t="s">
        <v>79</v>
      </c>
      <c r="AC74" s="76" t="s">
        <v>7</v>
      </c>
      <c r="AD74" s="76" t="s">
        <v>4</v>
      </c>
      <c r="AE74" s="76" t="s">
        <v>80</v>
      </c>
      <c r="AF74" s="76" t="s">
        <v>74</v>
      </c>
      <c r="AG74" s="76" t="s">
        <v>81</v>
      </c>
      <c r="AH74" s="77" t="s">
        <v>116</v>
      </c>
    </row>
    <row r="75" spans="2:34" s="9" customFormat="1" ht="15.75" customHeight="1" x14ac:dyDescent="0.25">
      <c r="B75" s="78">
        <v>1</v>
      </c>
      <c r="C75" s="383" t="s">
        <v>38</v>
      </c>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72">
        <f>I76+I78+I83+I90+I91</f>
        <v>274148.37333333335</v>
      </c>
    </row>
    <row r="76" spans="2:34" s="3" customFormat="1" ht="15.75" customHeight="1" x14ac:dyDescent="0.25">
      <c r="B76" s="363">
        <v>1.1000000000000001</v>
      </c>
      <c r="C76" s="342" t="s">
        <v>28</v>
      </c>
      <c r="D76" s="342"/>
      <c r="E76" s="342"/>
      <c r="F76" s="342" t="s">
        <v>44</v>
      </c>
      <c r="G76" s="343">
        <f>T76</f>
        <v>406</v>
      </c>
      <c r="H76" s="344">
        <f>U76+U77</f>
        <v>110</v>
      </c>
      <c r="I76" s="343">
        <f>H76*G76</f>
        <v>44660</v>
      </c>
      <c r="J76" s="61"/>
      <c r="K76" s="57"/>
      <c r="L76" s="58"/>
      <c r="M76" s="58"/>
      <c r="N76" s="59"/>
      <c r="O76" s="59"/>
      <c r="P76" s="59"/>
      <c r="Q76" s="59" t="s">
        <v>19</v>
      </c>
      <c r="R76" s="59">
        <v>1</v>
      </c>
      <c r="S76" s="58">
        <f>R76*Apoyo!B13</f>
        <v>70</v>
      </c>
      <c r="T76" s="59">
        <f>T72*U72</f>
        <v>406</v>
      </c>
      <c r="U76" s="59">
        <f>V76/G76</f>
        <v>70</v>
      </c>
      <c r="V76" s="59">
        <f>T76*S76</f>
        <v>28420</v>
      </c>
      <c r="W76" s="58"/>
      <c r="X76" s="59"/>
      <c r="Y76" s="59"/>
      <c r="Z76" s="59"/>
      <c r="AA76" s="59"/>
      <c r="AB76" s="59"/>
      <c r="AC76" s="58"/>
      <c r="AD76" s="59"/>
      <c r="AE76" s="59"/>
      <c r="AF76" s="59"/>
      <c r="AG76" s="59"/>
      <c r="AH76" s="79"/>
    </row>
    <row r="77" spans="2:34" s="3" customFormat="1" ht="15.75" customHeight="1" x14ac:dyDescent="0.25">
      <c r="B77" s="363"/>
      <c r="C77" s="342"/>
      <c r="D77" s="342"/>
      <c r="E77" s="342"/>
      <c r="F77" s="342"/>
      <c r="G77" s="343"/>
      <c r="H77" s="344"/>
      <c r="I77" s="343"/>
      <c r="J77" s="61"/>
      <c r="K77" s="57"/>
      <c r="L77" s="58"/>
      <c r="M77" s="58"/>
      <c r="N77" s="59"/>
      <c r="O77" s="59"/>
      <c r="P77" s="59"/>
      <c r="Q77" s="59" t="s">
        <v>83</v>
      </c>
      <c r="R77" s="59">
        <v>1</v>
      </c>
      <c r="S77" s="58">
        <f>R77*Apoyo!B15</f>
        <v>40</v>
      </c>
      <c r="T77" s="59">
        <f>T76</f>
        <v>406</v>
      </c>
      <c r="U77" s="59">
        <f>V77/G76</f>
        <v>40</v>
      </c>
      <c r="V77" s="59">
        <f>T77*S77</f>
        <v>16240</v>
      </c>
      <c r="W77" s="58"/>
      <c r="X77" s="59"/>
      <c r="Y77" s="59"/>
      <c r="Z77" s="59"/>
      <c r="AA77" s="59"/>
      <c r="AB77" s="59"/>
      <c r="AC77" s="58"/>
      <c r="AD77" s="59"/>
      <c r="AE77" s="59"/>
      <c r="AF77" s="59"/>
      <c r="AG77" s="59"/>
      <c r="AH77" s="79"/>
    </row>
    <row r="78" spans="2:34" s="3" customFormat="1" ht="30" customHeight="1" x14ac:dyDescent="0.25">
      <c r="B78" s="363">
        <v>1.2</v>
      </c>
      <c r="C78" s="341" t="s">
        <v>27</v>
      </c>
      <c r="D78" s="341"/>
      <c r="E78" s="341"/>
      <c r="F78" s="342" t="s">
        <v>8</v>
      </c>
      <c r="G78" s="343">
        <v>1</v>
      </c>
      <c r="H78" s="344">
        <f>AA78+AF78+AF79+AF80+AF81+AF82</f>
        <v>773.33333333333348</v>
      </c>
      <c r="I78" s="343">
        <f>H78*G78</f>
        <v>773.33333333333348</v>
      </c>
      <c r="J78" s="61"/>
      <c r="K78" s="57"/>
      <c r="L78" s="58"/>
      <c r="M78" s="58"/>
      <c r="N78" s="58"/>
      <c r="O78" s="59"/>
      <c r="P78" s="59"/>
      <c r="Q78" s="59"/>
      <c r="R78" s="59"/>
      <c r="S78" s="58"/>
      <c r="T78" s="59"/>
      <c r="U78" s="59"/>
      <c r="V78" s="59"/>
      <c r="W78" s="58" t="s">
        <v>51</v>
      </c>
      <c r="X78" s="59" t="s">
        <v>41</v>
      </c>
      <c r="Y78" s="59">
        <v>2</v>
      </c>
      <c r="Z78" s="59">
        <v>40</v>
      </c>
      <c r="AA78" s="58">
        <f>AB78/G78</f>
        <v>80</v>
      </c>
      <c r="AB78" s="58">
        <f>Y78*Z78</f>
        <v>80</v>
      </c>
      <c r="AC78" s="58" t="s">
        <v>36</v>
      </c>
      <c r="AD78" s="59">
        <v>10</v>
      </c>
      <c r="AE78" s="59">
        <f>6/3.3</f>
        <v>1.8181818181818183</v>
      </c>
      <c r="AF78" s="58">
        <f>AG78/G78</f>
        <v>18.181818181818183</v>
      </c>
      <c r="AG78" s="58">
        <f>AD78*AE78</f>
        <v>18.181818181818183</v>
      </c>
      <c r="AH78" s="79"/>
    </row>
    <row r="79" spans="2:34" s="3" customFormat="1" ht="15.75" customHeight="1" x14ac:dyDescent="0.25">
      <c r="B79" s="363"/>
      <c r="C79" s="341"/>
      <c r="D79" s="341"/>
      <c r="E79" s="341"/>
      <c r="F79" s="342"/>
      <c r="G79" s="343"/>
      <c r="H79" s="344"/>
      <c r="I79" s="343"/>
      <c r="J79" s="58"/>
      <c r="K79" s="60"/>
      <c r="L79" s="59"/>
      <c r="M79" s="59"/>
      <c r="N79" s="59"/>
      <c r="O79" s="59"/>
      <c r="P79" s="59"/>
      <c r="Q79" s="59"/>
      <c r="R79" s="59"/>
      <c r="S79" s="58"/>
      <c r="T79" s="59"/>
      <c r="U79" s="59"/>
      <c r="V79" s="59"/>
      <c r="W79" s="58"/>
      <c r="X79" s="59"/>
      <c r="Y79" s="59"/>
      <c r="Z79" s="59"/>
      <c r="AA79" s="59"/>
      <c r="AB79" s="59"/>
      <c r="AC79" s="58" t="s">
        <v>97</v>
      </c>
      <c r="AD79" s="59">
        <v>2</v>
      </c>
      <c r="AE79" s="59">
        <f>150/3.3</f>
        <v>45.45454545454546</v>
      </c>
      <c r="AF79" s="58">
        <f>AG79/G78</f>
        <v>90.909090909090921</v>
      </c>
      <c r="AG79" s="58">
        <f t="shared" ref="AG79:AG89" si="15">AD79*AE79</f>
        <v>90.909090909090921</v>
      </c>
      <c r="AH79" s="79"/>
    </row>
    <row r="80" spans="2:34" s="3" customFormat="1" ht="15.75" customHeight="1" x14ac:dyDescent="0.25">
      <c r="B80" s="363"/>
      <c r="C80" s="341"/>
      <c r="D80" s="341"/>
      <c r="E80" s="341"/>
      <c r="F80" s="342"/>
      <c r="G80" s="343"/>
      <c r="H80" s="344"/>
      <c r="I80" s="343"/>
      <c r="J80" s="58"/>
      <c r="K80" s="60"/>
      <c r="L80" s="59"/>
      <c r="M80" s="59"/>
      <c r="N80" s="59"/>
      <c r="O80" s="59"/>
      <c r="P80" s="59"/>
      <c r="Q80" s="59"/>
      <c r="R80" s="59"/>
      <c r="S80" s="58"/>
      <c r="T80" s="59"/>
      <c r="U80" s="59"/>
      <c r="V80" s="59"/>
      <c r="W80" s="58"/>
      <c r="X80" s="59"/>
      <c r="Y80" s="59"/>
      <c r="Z80" s="59"/>
      <c r="AA80" s="59"/>
      <c r="AB80" s="59"/>
      <c r="AC80" s="58" t="s">
        <v>39</v>
      </c>
      <c r="AD80" s="59">
        <v>20</v>
      </c>
      <c r="AE80" s="59">
        <f>20/3.3</f>
        <v>6.0606060606060606</v>
      </c>
      <c r="AF80" s="58">
        <f>AG80/G78</f>
        <v>121.21212121212122</v>
      </c>
      <c r="AG80" s="58">
        <f t="shared" si="15"/>
        <v>121.21212121212122</v>
      </c>
      <c r="AH80" s="79"/>
    </row>
    <row r="81" spans="2:34" s="3" customFormat="1" ht="15.75" customHeight="1" x14ac:dyDescent="0.25">
      <c r="B81" s="363"/>
      <c r="C81" s="341"/>
      <c r="D81" s="341"/>
      <c r="E81" s="341"/>
      <c r="F81" s="342"/>
      <c r="G81" s="343"/>
      <c r="H81" s="344"/>
      <c r="I81" s="343"/>
      <c r="J81" s="58"/>
      <c r="K81" s="60"/>
      <c r="L81" s="59"/>
      <c r="M81" s="59"/>
      <c r="N81" s="59"/>
      <c r="O81" s="59"/>
      <c r="P81" s="59"/>
      <c r="Q81" s="59"/>
      <c r="R81" s="59"/>
      <c r="S81" s="58"/>
      <c r="T81" s="59"/>
      <c r="U81" s="59"/>
      <c r="V81" s="59"/>
      <c r="W81" s="58"/>
      <c r="X81" s="59"/>
      <c r="Y81" s="59"/>
      <c r="Z81" s="59"/>
      <c r="AA81" s="59"/>
      <c r="AB81" s="59"/>
      <c r="AC81" s="58" t="s">
        <v>37</v>
      </c>
      <c r="AD81" s="59">
        <v>5</v>
      </c>
      <c r="AE81" s="59">
        <f>200/3.3</f>
        <v>60.606060606060609</v>
      </c>
      <c r="AF81" s="58">
        <f>AG81/G78</f>
        <v>303.03030303030306</v>
      </c>
      <c r="AG81" s="58">
        <f t="shared" si="15"/>
        <v>303.03030303030306</v>
      </c>
      <c r="AH81" s="79"/>
    </row>
    <row r="82" spans="2:34" s="3" customFormat="1" ht="20.25" customHeight="1" x14ac:dyDescent="0.25">
      <c r="B82" s="363"/>
      <c r="C82" s="341"/>
      <c r="D82" s="341"/>
      <c r="E82" s="341"/>
      <c r="F82" s="342"/>
      <c r="G82" s="343"/>
      <c r="H82" s="344"/>
      <c r="I82" s="343"/>
      <c r="J82" s="58"/>
      <c r="K82" s="60"/>
      <c r="L82" s="59"/>
      <c r="M82" s="59"/>
      <c r="N82" s="59"/>
      <c r="O82" s="59"/>
      <c r="P82" s="59"/>
      <c r="Q82" s="59"/>
      <c r="R82" s="59"/>
      <c r="S82" s="58"/>
      <c r="T82" s="59"/>
      <c r="U82" s="59"/>
      <c r="V82" s="59"/>
      <c r="W82" s="58"/>
      <c r="X82" s="59"/>
      <c r="Y82" s="59"/>
      <c r="Z82" s="59"/>
      <c r="AA82" s="59"/>
      <c r="AB82" s="59"/>
      <c r="AC82" s="74" t="s">
        <v>40</v>
      </c>
      <c r="AD82" s="59">
        <v>40</v>
      </c>
      <c r="AE82" s="59">
        <v>4</v>
      </c>
      <c r="AF82" s="58">
        <f>AG82/G78</f>
        <v>160</v>
      </c>
      <c r="AG82" s="58">
        <f t="shared" si="15"/>
        <v>160</v>
      </c>
      <c r="AH82" s="79"/>
    </row>
    <row r="83" spans="2:34" s="3" customFormat="1" ht="15.75" customHeight="1" x14ac:dyDescent="0.25">
      <c r="B83" s="363">
        <v>1.3</v>
      </c>
      <c r="C83" s="341" t="s">
        <v>26</v>
      </c>
      <c r="D83" s="341"/>
      <c r="E83" s="341"/>
      <c r="F83" s="342" t="s">
        <v>29</v>
      </c>
      <c r="G83" s="343">
        <f>AD83</f>
        <v>116</v>
      </c>
      <c r="H83" s="344">
        <f>AF83+AF84+AF85+AF87+AF88+AF89+AF86</f>
        <v>1782.4744827586208</v>
      </c>
      <c r="I83" s="343">
        <f>H83*G83</f>
        <v>206767.04</v>
      </c>
      <c r="J83" s="58"/>
      <c r="K83" s="60"/>
      <c r="L83" s="109"/>
      <c r="M83" s="109"/>
      <c r="N83" s="109"/>
      <c r="O83" s="109"/>
      <c r="P83" s="109"/>
      <c r="Q83" s="108"/>
      <c r="R83" s="109"/>
      <c r="S83" s="58"/>
      <c r="T83" s="109"/>
      <c r="U83" s="109"/>
      <c r="V83" s="109"/>
      <c r="W83" s="58"/>
      <c r="X83" s="109"/>
      <c r="Y83" s="109"/>
      <c r="Z83" s="109"/>
      <c r="AA83" s="109"/>
      <c r="AB83" s="109"/>
      <c r="AC83" s="58" t="s">
        <v>32</v>
      </c>
      <c r="AD83" s="109">
        <f>R7+R8+R9+R10+R11+R12+R14+R15+R18+R19+R20+R26+R27+R28+R32+R33+R34+R35+R36+R39+R40+R41+R42+R43+R44+R45+R46+R48+R49+R50+R51+R53+R54+R55+R56+R57+R58+R59+R60+R61+R76+R77+R93+R94+R95+R96+R101+R102</f>
        <v>116</v>
      </c>
      <c r="AE83" s="109">
        <v>5</v>
      </c>
      <c r="AF83" s="58">
        <f>AG83/G83</f>
        <v>5</v>
      </c>
      <c r="AG83" s="58">
        <f t="shared" si="15"/>
        <v>580</v>
      </c>
      <c r="AH83" s="79"/>
    </row>
    <row r="84" spans="2:34" s="3" customFormat="1" ht="15.75" customHeight="1" x14ac:dyDescent="0.25">
      <c r="B84" s="363"/>
      <c r="C84" s="341"/>
      <c r="D84" s="341"/>
      <c r="E84" s="341"/>
      <c r="F84" s="342"/>
      <c r="G84" s="343"/>
      <c r="H84" s="344"/>
      <c r="I84" s="343"/>
      <c r="J84" s="58"/>
      <c r="K84" s="60"/>
      <c r="L84" s="109"/>
      <c r="M84" s="109"/>
      <c r="N84" s="109"/>
      <c r="O84" s="109"/>
      <c r="P84" s="109"/>
      <c r="Q84" s="109"/>
      <c r="R84" s="109"/>
      <c r="S84" s="58"/>
      <c r="T84" s="109"/>
      <c r="U84" s="109"/>
      <c r="V84" s="109"/>
      <c r="W84" s="58"/>
      <c r="X84" s="109"/>
      <c r="Y84" s="109"/>
      <c r="Z84" s="109"/>
      <c r="AA84" s="109"/>
      <c r="AB84" s="109"/>
      <c r="AC84" s="58" t="s">
        <v>33</v>
      </c>
      <c r="AD84" s="109">
        <f>2*G83</f>
        <v>232</v>
      </c>
      <c r="AE84" s="58">
        <v>16.66</v>
      </c>
      <c r="AF84" s="58">
        <f>AG84/G83</f>
        <v>33.32</v>
      </c>
      <c r="AG84" s="58">
        <f t="shared" si="15"/>
        <v>3865.12</v>
      </c>
      <c r="AH84" s="79"/>
    </row>
    <row r="85" spans="2:34" s="3" customFormat="1" ht="15.75" customHeight="1" x14ac:dyDescent="0.25">
      <c r="B85" s="363"/>
      <c r="C85" s="341"/>
      <c r="D85" s="341"/>
      <c r="E85" s="341"/>
      <c r="F85" s="342"/>
      <c r="G85" s="343"/>
      <c r="H85" s="344"/>
      <c r="I85" s="343"/>
      <c r="J85" s="58"/>
      <c r="K85" s="60"/>
      <c r="L85" s="109"/>
      <c r="M85" s="109"/>
      <c r="N85" s="109"/>
      <c r="O85" s="109"/>
      <c r="P85" s="109"/>
      <c r="Q85" s="109"/>
      <c r="R85" s="109"/>
      <c r="S85" s="58"/>
      <c r="T85" s="109"/>
      <c r="U85" s="109"/>
      <c r="V85" s="109"/>
      <c r="W85" s="58"/>
      <c r="X85" s="109"/>
      <c r="Y85" s="109"/>
      <c r="Z85" s="109"/>
      <c r="AA85" s="109"/>
      <c r="AB85" s="109"/>
      <c r="AC85" s="58" t="s">
        <v>34</v>
      </c>
      <c r="AD85" s="109">
        <f>12*G83</f>
        <v>1392</v>
      </c>
      <c r="AE85" s="58">
        <v>5</v>
      </c>
      <c r="AF85" s="58">
        <f>AG85/G83</f>
        <v>60</v>
      </c>
      <c r="AG85" s="58">
        <f t="shared" si="15"/>
        <v>6960</v>
      </c>
      <c r="AH85" s="79"/>
    </row>
    <row r="86" spans="2:34" s="3" customFormat="1" ht="15.75" customHeight="1" x14ac:dyDescent="0.25">
      <c r="B86" s="363"/>
      <c r="C86" s="341"/>
      <c r="D86" s="341"/>
      <c r="E86" s="341"/>
      <c r="F86" s="342"/>
      <c r="G86" s="343"/>
      <c r="H86" s="344"/>
      <c r="I86" s="343"/>
      <c r="J86" s="58"/>
      <c r="K86" s="60"/>
      <c r="L86" s="109"/>
      <c r="M86" s="109"/>
      <c r="N86" s="109"/>
      <c r="O86" s="109"/>
      <c r="P86" s="109"/>
      <c r="Q86" s="109"/>
      <c r="R86" s="109"/>
      <c r="S86" s="58"/>
      <c r="T86" s="109"/>
      <c r="U86" s="109"/>
      <c r="V86" s="109"/>
      <c r="W86" s="58"/>
      <c r="X86" s="109"/>
      <c r="Y86" s="109"/>
      <c r="Z86" s="109"/>
      <c r="AA86" s="109"/>
      <c r="AB86" s="109"/>
      <c r="AC86" s="58" t="s">
        <v>152</v>
      </c>
      <c r="AD86" s="163">
        <f>'Cronograma (Fases)'!BN40</f>
        <v>46923</v>
      </c>
      <c r="AE86" s="58">
        <f>Apoyo!B18</f>
        <v>4</v>
      </c>
      <c r="AF86" s="58">
        <f>AG86/G83</f>
        <v>1618.0344827586207</v>
      </c>
      <c r="AG86" s="58">
        <f>AD86*AE86</f>
        <v>187692</v>
      </c>
      <c r="AH86" s="79"/>
    </row>
    <row r="87" spans="2:34" s="3" customFormat="1" ht="15.75" customHeight="1" x14ac:dyDescent="0.25">
      <c r="B87" s="363"/>
      <c r="C87" s="341"/>
      <c r="D87" s="341"/>
      <c r="E87" s="341"/>
      <c r="F87" s="342"/>
      <c r="G87" s="343"/>
      <c r="H87" s="344"/>
      <c r="I87" s="343"/>
      <c r="J87" s="58"/>
      <c r="K87" s="60"/>
      <c r="L87" s="109"/>
      <c r="M87" s="109"/>
      <c r="N87" s="109"/>
      <c r="O87" s="109"/>
      <c r="P87" s="109"/>
      <c r="Q87" s="109"/>
      <c r="R87" s="109"/>
      <c r="S87" s="58"/>
      <c r="T87" s="109"/>
      <c r="U87" s="109"/>
      <c r="V87" s="109"/>
      <c r="W87" s="58"/>
      <c r="X87" s="109"/>
      <c r="Y87" s="109"/>
      <c r="Z87" s="109"/>
      <c r="AA87" s="109"/>
      <c r="AB87" s="109"/>
      <c r="AC87" s="58" t="s">
        <v>35</v>
      </c>
      <c r="AD87" s="109">
        <f>24*G83</f>
        <v>2784</v>
      </c>
      <c r="AE87" s="58">
        <v>2</v>
      </c>
      <c r="AF87" s="58">
        <f>AG87/G83</f>
        <v>48</v>
      </c>
      <c r="AG87" s="58">
        <f t="shared" si="15"/>
        <v>5568</v>
      </c>
      <c r="AH87" s="79"/>
    </row>
    <row r="88" spans="2:34" s="3" customFormat="1" ht="15.75" customHeight="1" x14ac:dyDescent="0.25">
      <c r="B88" s="363"/>
      <c r="C88" s="341"/>
      <c r="D88" s="341"/>
      <c r="E88" s="341"/>
      <c r="F88" s="342"/>
      <c r="G88" s="343"/>
      <c r="H88" s="344"/>
      <c r="I88" s="343"/>
      <c r="J88" s="58"/>
      <c r="K88" s="60"/>
      <c r="L88" s="109"/>
      <c r="M88" s="109"/>
      <c r="N88" s="109"/>
      <c r="O88" s="109"/>
      <c r="P88" s="109"/>
      <c r="Q88" s="109"/>
      <c r="R88" s="109"/>
      <c r="S88" s="58"/>
      <c r="T88" s="109"/>
      <c r="U88" s="109"/>
      <c r="V88" s="109"/>
      <c r="W88" s="58"/>
      <c r="X88" s="109"/>
      <c r="Y88" s="109"/>
      <c r="Z88" s="109"/>
      <c r="AA88" s="109"/>
      <c r="AB88" s="109"/>
      <c r="AC88" s="58" t="s">
        <v>30</v>
      </c>
      <c r="AD88" s="109">
        <f>6*G83</f>
        <v>696</v>
      </c>
      <c r="AE88" s="109">
        <v>2.42</v>
      </c>
      <c r="AF88" s="58">
        <f>AG88/G83</f>
        <v>14.52</v>
      </c>
      <c r="AG88" s="58">
        <f t="shared" si="15"/>
        <v>1684.32</v>
      </c>
      <c r="AH88" s="79"/>
    </row>
    <row r="89" spans="2:34" s="3" customFormat="1" ht="15.75" customHeight="1" x14ac:dyDescent="0.25">
      <c r="B89" s="363"/>
      <c r="C89" s="341"/>
      <c r="D89" s="341"/>
      <c r="E89" s="341"/>
      <c r="F89" s="342"/>
      <c r="G89" s="343"/>
      <c r="H89" s="344"/>
      <c r="I89" s="343"/>
      <c r="J89" s="58"/>
      <c r="K89" s="60"/>
      <c r="L89" s="109"/>
      <c r="M89" s="109"/>
      <c r="N89" s="109"/>
      <c r="O89" s="109"/>
      <c r="P89" s="109"/>
      <c r="Q89" s="109"/>
      <c r="R89" s="109"/>
      <c r="S89" s="58"/>
      <c r="T89" s="109"/>
      <c r="U89" s="109"/>
      <c r="V89" s="109"/>
      <c r="W89" s="58"/>
      <c r="X89" s="109"/>
      <c r="Y89" s="109"/>
      <c r="Z89" s="109"/>
      <c r="AA89" s="109"/>
      <c r="AB89" s="109"/>
      <c r="AC89" s="58" t="s">
        <v>31</v>
      </c>
      <c r="AD89" s="109">
        <f>G83</f>
        <v>116</v>
      </c>
      <c r="AE89" s="109">
        <v>3.6</v>
      </c>
      <c r="AF89" s="58">
        <f>AG89/G83</f>
        <v>3.6</v>
      </c>
      <c r="AG89" s="58">
        <f t="shared" si="15"/>
        <v>417.6</v>
      </c>
      <c r="AH89" s="79"/>
    </row>
    <row r="90" spans="2:34" s="3" customFormat="1" ht="32.25" customHeight="1" x14ac:dyDescent="0.25">
      <c r="B90" s="80">
        <v>1.4</v>
      </c>
      <c r="C90" s="341" t="s">
        <v>98</v>
      </c>
      <c r="D90" s="341"/>
      <c r="E90" s="341"/>
      <c r="F90" s="62" t="s">
        <v>8</v>
      </c>
      <c r="G90" s="59">
        <v>1</v>
      </c>
      <c r="H90" s="63">
        <v>10000</v>
      </c>
      <c r="I90" s="59">
        <f>G90*H90</f>
        <v>10000</v>
      </c>
      <c r="J90" s="58"/>
      <c r="K90" s="60"/>
      <c r="L90" s="59"/>
      <c r="M90" s="59"/>
      <c r="N90" s="59"/>
      <c r="O90" s="59"/>
      <c r="P90" s="59"/>
      <c r="Q90" s="59"/>
      <c r="R90" s="59"/>
      <c r="S90" s="58"/>
      <c r="T90" s="59"/>
      <c r="U90" s="59"/>
      <c r="V90" s="59"/>
      <c r="W90" s="58"/>
      <c r="X90" s="59"/>
      <c r="Y90" s="59"/>
      <c r="Z90" s="59"/>
      <c r="AA90" s="59"/>
      <c r="AB90" s="59"/>
      <c r="AC90" s="58"/>
      <c r="AD90" s="59"/>
      <c r="AE90" s="59"/>
      <c r="AF90" s="58"/>
      <c r="AG90" s="58"/>
      <c r="AH90" s="79"/>
    </row>
    <row r="91" spans="2:34" s="3" customFormat="1" ht="32.25" customHeight="1" x14ac:dyDescent="0.25">
      <c r="B91" s="80">
        <v>1.5</v>
      </c>
      <c r="C91" s="341" t="s">
        <v>154</v>
      </c>
      <c r="D91" s="341"/>
      <c r="E91" s="341"/>
      <c r="F91" s="62" t="s">
        <v>8</v>
      </c>
      <c r="G91" s="59">
        <v>1</v>
      </c>
      <c r="H91" s="63">
        <f>103*G83</f>
        <v>11948</v>
      </c>
      <c r="I91" s="59">
        <f>G91*H91</f>
        <v>11948</v>
      </c>
      <c r="J91" s="58"/>
      <c r="K91" s="60"/>
      <c r="L91" s="59"/>
      <c r="M91" s="59"/>
      <c r="N91" s="59"/>
      <c r="O91" s="59"/>
      <c r="P91" s="59"/>
      <c r="Q91" s="59"/>
      <c r="R91" s="59"/>
      <c r="S91" s="58"/>
      <c r="T91" s="59"/>
      <c r="U91" s="59"/>
      <c r="V91" s="59"/>
      <c r="W91" s="58"/>
      <c r="X91" s="59"/>
      <c r="Y91" s="59"/>
      <c r="Z91" s="59"/>
      <c r="AA91" s="59"/>
      <c r="AB91" s="59"/>
      <c r="AC91" s="58"/>
      <c r="AD91" s="59"/>
      <c r="AE91" s="59"/>
      <c r="AF91" s="58"/>
      <c r="AG91" s="58"/>
      <c r="AH91" s="79"/>
    </row>
    <row r="92" spans="2:34" s="9" customFormat="1" ht="18.75" customHeight="1" x14ac:dyDescent="0.25">
      <c r="B92" s="78">
        <v>2</v>
      </c>
      <c r="C92" s="347" t="s">
        <v>155</v>
      </c>
      <c r="D92" s="347"/>
      <c r="E92" s="347"/>
      <c r="F92" s="347"/>
      <c r="G92" s="347"/>
      <c r="H92" s="347"/>
      <c r="I92" s="347"/>
      <c r="J92" s="347"/>
      <c r="K92" s="347"/>
      <c r="L92" s="347"/>
      <c r="M92" s="347"/>
      <c r="N92" s="347"/>
      <c r="O92" s="347"/>
      <c r="P92" s="347"/>
      <c r="Q92" s="347"/>
      <c r="R92" s="347"/>
      <c r="S92" s="347"/>
      <c r="T92" s="347"/>
      <c r="U92" s="347"/>
      <c r="V92" s="347"/>
      <c r="W92" s="347"/>
      <c r="X92" s="347"/>
      <c r="Y92" s="347"/>
      <c r="Z92" s="347"/>
      <c r="AA92" s="347"/>
      <c r="AB92" s="347"/>
      <c r="AC92" s="347"/>
      <c r="AD92" s="347"/>
      <c r="AE92" s="347"/>
      <c r="AF92" s="347"/>
      <c r="AG92" s="347"/>
      <c r="AH92" s="72">
        <f>I93+I95+I97+I98+I99+I100+I101+I104+I105+I106+I107+I108</f>
        <v>6256781.141802554</v>
      </c>
    </row>
    <row r="93" spans="2:34" s="3" customFormat="1" ht="24" customHeight="1" x14ac:dyDescent="0.25">
      <c r="B93" s="363">
        <v>2.1</v>
      </c>
      <c r="C93" s="384" t="s">
        <v>156</v>
      </c>
      <c r="D93" s="384"/>
      <c r="E93" s="384"/>
      <c r="F93" s="386" t="s">
        <v>44</v>
      </c>
      <c r="G93" s="385">
        <f>G76</f>
        <v>406</v>
      </c>
      <c r="H93" s="385">
        <f>U93+U94</f>
        <v>130</v>
      </c>
      <c r="I93" s="384">
        <f>G93*H93</f>
        <v>52780</v>
      </c>
      <c r="J93" s="55"/>
      <c r="K93" s="55"/>
      <c r="L93" s="55"/>
      <c r="M93" s="55"/>
      <c r="N93" s="55"/>
      <c r="O93" s="55"/>
      <c r="P93" s="55"/>
      <c r="Q93" s="55" t="s">
        <v>104</v>
      </c>
      <c r="R93" s="55">
        <v>1</v>
      </c>
      <c r="S93" s="55">
        <f>R93*Apoyo!B13</f>
        <v>70</v>
      </c>
      <c r="T93" s="56">
        <f>T76</f>
        <v>406</v>
      </c>
      <c r="U93" s="56">
        <f>V93/G93</f>
        <v>70</v>
      </c>
      <c r="V93" s="56">
        <f>S93*T93</f>
        <v>28420</v>
      </c>
      <c r="W93" s="56"/>
      <c r="X93" s="59"/>
      <c r="Y93" s="59"/>
      <c r="Z93" s="59"/>
      <c r="AA93" s="59"/>
      <c r="AB93" s="59"/>
      <c r="AC93" s="58"/>
      <c r="AD93" s="59"/>
      <c r="AE93" s="59"/>
      <c r="AF93" s="58"/>
      <c r="AG93" s="58"/>
      <c r="AH93" s="79"/>
    </row>
    <row r="94" spans="2:34" s="3" customFormat="1" ht="24" customHeight="1" x14ac:dyDescent="0.25">
      <c r="B94" s="363"/>
      <c r="C94" s="384"/>
      <c r="D94" s="384"/>
      <c r="E94" s="384"/>
      <c r="F94" s="386"/>
      <c r="G94" s="384"/>
      <c r="H94" s="384"/>
      <c r="I94" s="384"/>
      <c r="J94" s="55"/>
      <c r="K94" s="55"/>
      <c r="L94" s="55"/>
      <c r="M94" s="55"/>
      <c r="N94" s="55"/>
      <c r="O94" s="55"/>
      <c r="P94" s="55"/>
      <c r="Q94" s="55" t="s">
        <v>106</v>
      </c>
      <c r="R94" s="55">
        <v>1</v>
      </c>
      <c r="S94" s="55">
        <f>Apoyo!B11</f>
        <v>60</v>
      </c>
      <c r="T94" s="56">
        <f>T93</f>
        <v>406</v>
      </c>
      <c r="U94" s="56">
        <f>V94/G93</f>
        <v>60</v>
      </c>
      <c r="V94" s="56">
        <f>S94*T94</f>
        <v>24360</v>
      </c>
      <c r="W94" s="55"/>
      <c r="X94" s="59"/>
      <c r="Y94" s="59"/>
      <c r="Z94" s="59"/>
      <c r="AA94" s="59"/>
      <c r="AB94" s="59"/>
      <c r="AC94" s="58"/>
      <c r="AD94" s="59"/>
      <c r="AE94" s="59"/>
      <c r="AF94" s="58"/>
      <c r="AG94" s="58"/>
      <c r="AH94" s="79"/>
    </row>
    <row r="95" spans="2:34" s="3" customFormat="1" ht="18.75" customHeight="1" x14ac:dyDescent="0.25">
      <c r="B95" s="363">
        <v>2.2000000000000002</v>
      </c>
      <c r="C95" s="341" t="s">
        <v>99</v>
      </c>
      <c r="D95" s="341"/>
      <c r="E95" s="341"/>
      <c r="F95" s="342" t="s">
        <v>44</v>
      </c>
      <c r="G95" s="343">
        <f>G93</f>
        <v>406</v>
      </c>
      <c r="H95" s="344">
        <f>U95+U96</f>
        <v>100</v>
      </c>
      <c r="I95" s="343">
        <f>G95*H95</f>
        <v>40600</v>
      </c>
      <c r="J95" s="58"/>
      <c r="K95" s="60"/>
      <c r="L95" s="59"/>
      <c r="M95" s="59"/>
      <c r="N95" s="59"/>
      <c r="O95" s="59"/>
      <c r="P95" s="59"/>
      <c r="Q95" s="59" t="s">
        <v>100</v>
      </c>
      <c r="R95" s="59">
        <v>1</v>
      </c>
      <c r="S95" s="58">
        <f>R95*Apoyo!B16</f>
        <v>50</v>
      </c>
      <c r="T95" s="59">
        <f>G93</f>
        <v>406</v>
      </c>
      <c r="U95" s="59">
        <f>V95/G95</f>
        <v>50</v>
      </c>
      <c r="V95" s="59">
        <f>S95*T95</f>
        <v>20300</v>
      </c>
      <c r="W95" s="58"/>
      <c r="X95" s="59"/>
      <c r="Y95" s="59"/>
      <c r="Z95" s="59"/>
      <c r="AA95" s="59"/>
      <c r="AB95" s="59"/>
      <c r="AC95" s="58"/>
      <c r="AD95" s="59"/>
      <c r="AE95" s="59"/>
      <c r="AF95" s="58"/>
      <c r="AG95" s="58"/>
      <c r="AH95" s="79"/>
    </row>
    <row r="96" spans="2:34" s="3" customFormat="1" ht="18.75" customHeight="1" x14ac:dyDescent="0.25">
      <c r="B96" s="363"/>
      <c r="C96" s="341"/>
      <c r="D96" s="341"/>
      <c r="E96" s="341"/>
      <c r="F96" s="342"/>
      <c r="G96" s="343"/>
      <c r="H96" s="344"/>
      <c r="I96" s="343"/>
      <c r="J96" s="58"/>
      <c r="K96" s="60"/>
      <c r="L96" s="59"/>
      <c r="M96" s="59"/>
      <c r="N96" s="59"/>
      <c r="O96" s="59"/>
      <c r="P96" s="59"/>
      <c r="Q96" s="59" t="s">
        <v>85</v>
      </c>
      <c r="R96" s="59">
        <v>1</v>
      </c>
      <c r="S96" s="58">
        <f>R96*Apoyo!B16</f>
        <v>50</v>
      </c>
      <c r="T96" s="59">
        <f>G93</f>
        <v>406</v>
      </c>
      <c r="U96" s="59">
        <f>V96/G95</f>
        <v>50</v>
      </c>
      <c r="V96" s="59">
        <f>S96*T96</f>
        <v>20300</v>
      </c>
      <c r="W96" s="58"/>
      <c r="X96" s="59"/>
      <c r="Y96" s="59"/>
      <c r="Z96" s="59"/>
      <c r="AA96" s="59"/>
      <c r="AB96" s="59"/>
      <c r="AC96" s="58"/>
      <c r="AD96" s="59"/>
      <c r="AE96" s="59"/>
      <c r="AF96" s="58"/>
      <c r="AG96" s="58"/>
      <c r="AH96" s="79"/>
    </row>
    <row r="97" spans="2:36" s="3" customFormat="1" ht="49.5" customHeight="1" x14ac:dyDescent="0.25">
      <c r="B97" s="80">
        <v>2.2999999999999998</v>
      </c>
      <c r="C97" s="341" t="s">
        <v>101</v>
      </c>
      <c r="D97" s="341"/>
      <c r="E97" s="341"/>
      <c r="F97" s="62" t="s">
        <v>44</v>
      </c>
      <c r="G97" s="59">
        <v>30</v>
      </c>
      <c r="H97" s="63">
        <v>150</v>
      </c>
      <c r="I97" s="59">
        <f>G97*H97</f>
        <v>4500</v>
      </c>
      <c r="J97" s="58"/>
      <c r="K97" s="60"/>
      <c r="L97" s="59"/>
      <c r="M97" s="59"/>
      <c r="N97" s="59"/>
      <c r="O97" s="59"/>
      <c r="P97" s="59"/>
      <c r="Q97" s="59"/>
      <c r="R97" s="64"/>
      <c r="S97" s="59"/>
      <c r="T97" s="59"/>
      <c r="U97" s="59"/>
      <c r="V97" s="59"/>
      <c r="W97" s="58"/>
      <c r="X97" s="59"/>
      <c r="Y97" s="59"/>
      <c r="Z97" s="59"/>
      <c r="AA97" s="59"/>
      <c r="AB97" s="59"/>
      <c r="AC97" s="58"/>
      <c r="AD97" s="59"/>
      <c r="AE97" s="59"/>
      <c r="AF97" s="58"/>
      <c r="AG97" s="58"/>
      <c r="AH97" s="79"/>
    </row>
    <row r="98" spans="2:36" s="3" customFormat="1" ht="47.25" customHeight="1" x14ac:dyDescent="0.25">
      <c r="B98" s="80">
        <v>2.4</v>
      </c>
      <c r="C98" s="341" t="s">
        <v>157</v>
      </c>
      <c r="D98" s="341"/>
      <c r="E98" s="341"/>
      <c r="F98" s="73" t="s">
        <v>8</v>
      </c>
      <c r="G98" s="178">
        <v>1</v>
      </c>
      <c r="H98" s="179">
        <f>'Cronograma (Fases)'!BQ40</f>
        <v>234140.22</v>
      </c>
      <c r="I98" s="178">
        <f>G98*H98</f>
        <v>234140.22</v>
      </c>
      <c r="J98" s="58"/>
      <c r="K98" s="60"/>
      <c r="L98" s="178"/>
      <c r="M98" s="178"/>
      <c r="N98" s="178"/>
      <c r="O98" s="59"/>
      <c r="P98" s="59"/>
      <c r="Q98" s="59"/>
      <c r="R98" s="64"/>
      <c r="S98" s="59"/>
      <c r="T98" s="59"/>
      <c r="U98" s="59"/>
      <c r="V98" s="59"/>
      <c r="W98" s="58"/>
      <c r="X98" s="59"/>
      <c r="Y98" s="59"/>
      <c r="Z98" s="59"/>
      <c r="AA98" s="59"/>
      <c r="AB98" s="59"/>
      <c r="AC98" s="58"/>
      <c r="AD98" s="59"/>
      <c r="AE98" s="59"/>
      <c r="AF98" s="58"/>
      <c r="AG98" s="58"/>
      <c r="AH98" s="79"/>
    </row>
    <row r="99" spans="2:36" s="3" customFormat="1" ht="21.75" customHeight="1" x14ac:dyDescent="0.25">
      <c r="B99" s="80">
        <v>2.5</v>
      </c>
      <c r="C99" s="341" t="s">
        <v>46</v>
      </c>
      <c r="D99" s="341"/>
      <c r="E99" s="341"/>
      <c r="F99" s="73" t="s">
        <v>8</v>
      </c>
      <c r="G99" s="178">
        <v>1</v>
      </c>
      <c r="H99" s="179">
        <f>'Cronograma (Fases)'!BT40</f>
        <v>113874.34</v>
      </c>
      <c r="I99" s="178">
        <f>G99*H99</f>
        <v>113874.34</v>
      </c>
      <c r="J99" s="58"/>
      <c r="K99" s="60"/>
      <c r="L99" s="178"/>
      <c r="M99" s="178"/>
      <c r="N99" s="178"/>
      <c r="O99" s="59"/>
      <c r="P99" s="59"/>
      <c r="Q99" s="59"/>
      <c r="R99" s="64"/>
      <c r="S99" s="59"/>
      <c r="T99" s="59"/>
      <c r="U99" s="59"/>
      <c r="V99" s="59"/>
      <c r="W99" s="58"/>
      <c r="X99" s="59"/>
      <c r="Y99" s="59"/>
      <c r="Z99" s="59"/>
      <c r="AA99" s="59"/>
      <c r="AB99" s="59"/>
      <c r="AC99" s="58"/>
      <c r="AD99" s="59"/>
      <c r="AE99" s="59"/>
      <c r="AF99" s="58"/>
      <c r="AG99" s="58"/>
      <c r="AH99" s="79"/>
    </row>
    <row r="100" spans="2:36" s="3" customFormat="1" ht="34.5" customHeight="1" x14ac:dyDescent="0.25">
      <c r="B100" s="80">
        <v>2.6</v>
      </c>
      <c r="C100" s="341" t="s">
        <v>69</v>
      </c>
      <c r="D100" s="341"/>
      <c r="E100" s="341"/>
      <c r="F100" s="62" t="s">
        <v>44</v>
      </c>
      <c r="G100" s="178">
        <f>G99</f>
        <v>1</v>
      </c>
      <c r="H100" s="179">
        <f>O100+AA100</f>
        <v>726590.40312727285</v>
      </c>
      <c r="I100" s="178">
        <f>G100*H100</f>
        <v>726590.40312727285</v>
      </c>
      <c r="J100" s="180" t="s">
        <v>47</v>
      </c>
      <c r="K100" s="15">
        <v>7</v>
      </c>
      <c r="L100" s="125">
        <f>+K100*(600/3.3)</f>
        <v>1272.727272727273</v>
      </c>
      <c r="M100" s="177">
        <v>1</v>
      </c>
      <c r="N100" s="177">
        <f>G93</f>
        <v>406</v>
      </c>
      <c r="O100" s="123">
        <f>P100/G100</f>
        <v>516727.27272727282</v>
      </c>
      <c r="P100" s="127">
        <f>L100*N100</f>
        <v>516727.27272727282</v>
      </c>
      <c r="Q100" s="128"/>
      <c r="R100" s="123"/>
      <c r="S100" s="124"/>
      <c r="T100" s="123"/>
      <c r="U100" s="123"/>
      <c r="V100" s="127"/>
      <c r="W100" s="126" t="s">
        <v>10</v>
      </c>
      <c r="X100" s="128" t="s">
        <v>115</v>
      </c>
      <c r="Y100" s="123">
        <f>308*6*20</f>
        <v>36960</v>
      </c>
      <c r="Z100" s="123">
        <f>Apoyo!B14</f>
        <v>5.678115</v>
      </c>
      <c r="AA100" s="123">
        <f>AB100/G100</f>
        <v>209863.13039999999</v>
      </c>
      <c r="AB100" s="130">
        <f>Y100*Z100</f>
        <v>209863.13039999999</v>
      </c>
      <c r="AC100" s="58"/>
      <c r="AD100" s="59"/>
      <c r="AE100" s="59"/>
      <c r="AF100" s="58"/>
      <c r="AG100" s="58"/>
      <c r="AH100" s="79"/>
    </row>
    <row r="101" spans="2:36" s="3" customFormat="1" ht="41.25" customHeight="1" x14ac:dyDescent="0.25">
      <c r="B101" s="363">
        <v>2.7</v>
      </c>
      <c r="C101" s="341" t="s">
        <v>88</v>
      </c>
      <c r="D101" s="341"/>
      <c r="E101" s="341"/>
      <c r="F101" s="342" t="s">
        <v>44</v>
      </c>
      <c r="G101" s="343">
        <v>24</v>
      </c>
      <c r="H101" s="344">
        <f>O101+O102+O103+U101+U102+AA101</f>
        <v>1472.396659090909</v>
      </c>
      <c r="I101" s="343">
        <f>G101*H101</f>
        <v>35337.519818181812</v>
      </c>
      <c r="J101" s="181" t="s">
        <v>109</v>
      </c>
      <c r="K101" s="181">
        <v>2</v>
      </c>
      <c r="L101" s="181">
        <f>(50*8)*K101</f>
        <v>800</v>
      </c>
      <c r="M101" s="181">
        <v>1</v>
      </c>
      <c r="N101" s="181">
        <v>20</v>
      </c>
      <c r="O101" s="131">
        <f>P101/G101</f>
        <v>666.66666666666663</v>
      </c>
      <c r="P101" s="131">
        <f>L101*N101</f>
        <v>16000</v>
      </c>
      <c r="Q101" s="131" t="s">
        <v>3</v>
      </c>
      <c r="R101" s="131">
        <v>3</v>
      </c>
      <c r="S101" s="131">
        <f>R101*Apoyo!B9</f>
        <v>150</v>
      </c>
      <c r="T101" s="131">
        <v>20</v>
      </c>
      <c r="U101" s="131">
        <f>V101/G101</f>
        <v>125</v>
      </c>
      <c r="V101" s="131">
        <f>T101*S101</f>
        <v>3000</v>
      </c>
      <c r="W101" s="131" t="s">
        <v>10</v>
      </c>
      <c r="X101" s="131" t="s">
        <v>115</v>
      </c>
      <c r="Y101" s="131">
        <f>20*20*3</f>
        <v>1200</v>
      </c>
      <c r="Z101" s="131">
        <f>Z100</f>
        <v>5.678115</v>
      </c>
      <c r="AA101" s="131">
        <f>AB101/G101</f>
        <v>283.90575000000001</v>
      </c>
      <c r="AB101" s="131">
        <f>Y101*Z101</f>
        <v>6813.7380000000003</v>
      </c>
      <c r="AC101" s="65"/>
      <c r="AD101" s="164"/>
      <c r="AE101" s="164"/>
      <c r="AF101" s="65"/>
      <c r="AG101" s="65"/>
      <c r="AH101" s="173"/>
    </row>
    <row r="102" spans="2:36" s="3" customFormat="1" ht="16.5" customHeight="1" x14ac:dyDescent="0.25">
      <c r="B102" s="363"/>
      <c r="C102" s="341"/>
      <c r="D102" s="341"/>
      <c r="E102" s="341"/>
      <c r="F102" s="342"/>
      <c r="G102" s="343"/>
      <c r="H102" s="344"/>
      <c r="I102" s="343"/>
      <c r="J102" s="181" t="s">
        <v>65</v>
      </c>
      <c r="K102" s="181">
        <v>1</v>
      </c>
      <c r="L102" s="181">
        <f>(300/3.3)*K102</f>
        <v>90.909090909090921</v>
      </c>
      <c r="M102" s="181">
        <v>1</v>
      </c>
      <c r="N102" s="181">
        <v>20</v>
      </c>
      <c r="O102" s="131">
        <f>P102/G101</f>
        <v>75.757575757575765</v>
      </c>
      <c r="P102" s="131">
        <f>L102*N102</f>
        <v>1818.1818181818185</v>
      </c>
      <c r="Q102" s="131" t="s">
        <v>16</v>
      </c>
      <c r="R102" s="131">
        <v>3</v>
      </c>
      <c r="S102" s="131">
        <f>R102*Apoyo!B8</f>
        <v>120</v>
      </c>
      <c r="T102" s="131">
        <v>20</v>
      </c>
      <c r="U102" s="131">
        <f>V102/G101</f>
        <v>100</v>
      </c>
      <c r="V102" s="131">
        <f>T102*S102</f>
        <v>2400</v>
      </c>
      <c r="W102" s="131"/>
      <c r="X102" s="132"/>
      <c r="Y102" s="133"/>
      <c r="Z102" s="133"/>
      <c r="AA102" s="133"/>
      <c r="AB102" s="133"/>
      <c r="AC102" s="65"/>
      <c r="AD102" s="164"/>
      <c r="AE102" s="164"/>
      <c r="AF102" s="65"/>
      <c r="AG102" s="65"/>
      <c r="AH102" s="173"/>
    </row>
    <row r="103" spans="2:36" s="3" customFormat="1" ht="55.5" customHeight="1" x14ac:dyDescent="0.25">
      <c r="B103" s="363"/>
      <c r="C103" s="341"/>
      <c r="D103" s="341"/>
      <c r="E103" s="341"/>
      <c r="F103" s="342"/>
      <c r="G103" s="343"/>
      <c r="H103" s="344"/>
      <c r="I103" s="343"/>
      <c r="J103" s="181" t="s">
        <v>49</v>
      </c>
      <c r="K103" s="181">
        <v>1</v>
      </c>
      <c r="L103" s="181">
        <f>(33.16*8)*K103</f>
        <v>265.27999999999997</v>
      </c>
      <c r="M103" s="181">
        <v>1</v>
      </c>
      <c r="N103" s="181">
        <v>20</v>
      </c>
      <c r="O103" s="131">
        <f>P103/G101</f>
        <v>221.06666666666663</v>
      </c>
      <c r="P103" s="131">
        <f>L103*N103</f>
        <v>5305.5999999999995</v>
      </c>
      <c r="Q103" s="131"/>
      <c r="R103" s="131"/>
      <c r="S103" s="131"/>
      <c r="T103" s="131"/>
      <c r="U103" s="131"/>
      <c r="V103" s="131"/>
      <c r="W103" s="131"/>
      <c r="X103" s="132"/>
      <c r="Y103" s="133"/>
      <c r="Z103" s="133"/>
      <c r="AA103" s="133"/>
      <c r="AB103" s="133"/>
      <c r="AC103" s="65"/>
      <c r="AD103" s="164"/>
      <c r="AE103" s="164"/>
      <c r="AF103" s="65"/>
      <c r="AG103" s="65"/>
      <c r="AH103" s="173"/>
      <c r="AI103" s="70" t="s">
        <v>86</v>
      </c>
      <c r="AJ103" s="40"/>
    </row>
    <row r="104" spans="2:36" s="3" customFormat="1" ht="33.75" customHeight="1" x14ac:dyDescent="0.25">
      <c r="B104" s="80">
        <v>2.8</v>
      </c>
      <c r="C104" s="341" t="s">
        <v>158</v>
      </c>
      <c r="D104" s="341"/>
      <c r="E104" s="341"/>
      <c r="F104" s="62" t="s">
        <v>44</v>
      </c>
      <c r="G104" s="178">
        <v>1</v>
      </c>
      <c r="H104" s="179">
        <f>'Monitoreo y Medidas Ambientales'!K117</f>
        <v>971541.27999999991</v>
      </c>
      <c r="I104" s="178">
        <f>G104*H104</f>
        <v>971541.27999999991</v>
      </c>
      <c r="J104" s="58"/>
      <c r="K104" s="60"/>
      <c r="L104" s="178"/>
      <c r="M104" s="58"/>
      <c r="N104" s="58"/>
      <c r="O104" s="163"/>
      <c r="P104" s="163"/>
      <c r="Q104" s="163"/>
      <c r="R104" s="163"/>
      <c r="S104" s="58"/>
      <c r="T104" s="163"/>
      <c r="U104" s="163"/>
      <c r="V104" s="163"/>
      <c r="W104" s="58"/>
      <c r="X104" s="64"/>
      <c r="Y104" s="163"/>
      <c r="Z104" s="163"/>
      <c r="AA104" s="163"/>
      <c r="AB104" s="163"/>
      <c r="AC104" s="58"/>
      <c r="AD104" s="163"/>
      <c r="AE104" s="163"/>
      <c r="AF104" s="58"/>
      <c r="AG104" s="58"/>
      <c r="AH104" s="173"/>
      <c r="AI104" s="70" t="s">
        <v>159</v>
      </c>
      <c r="AJ104" s="41">
        <f>S7+S8+S9+S10+S11+S12+S14+S15+S18+S19+S20+S26+S27+S28+S32+S33+S34+S35+S36+S39+S40+S41+S42+S43+S44+S45+S46+S48+S49+S50+S51+S53+S54+S55+S56+S57+S58+S59+S60+S61+S76+S77+S93+S94+S95+S96+S101+S102</f>
        <v>5490</v>
      </c>
    </row>
    <row r="105" spans="2:36" s="3" customFormat="1" ht="33.75" customHeight="1" x14ac:dyDescent="0.25">
      <c r="B105" s="80">
        <v>2.9</v>
      </c>
      <c r="C105" s="341" t="s">
        <v>86</v>
      </c>
      <c r="D105" s="341"/>
      <c r="E105" s="341"/>
      <c r="F105" s="62" t="s">
        <v>44</v>
      </c>
      <c r="G105" s="178">
        <v>1</v>
      </c>
      <c r="H105" s="179">
        <f>0.65*(AJ104+AJ105)</f>
        <v>106779.54223674242</v>
      </c>
      <c r="I105" s="178">
        <f>G105*H105</f>
        <v>106779.54223674242</v>
      </c>
      <c r="J105" s="58"/>
      <c r="K105" s="60"/>
      <c r="L105" s="178"/>
      <c r="M105" s="58"/>
      <c r="N105" s="58"/>
      <c r="O105" s="163"/>
      <c r="P105" s="163"/>
      <c r="Q105" s="163"/>
      <c r="R105" s="163"/>
      <c r="S105" s="58"/>
      <c r="T105" s="163"/>
      <c r="U105" s="163"/>
      <c r="V105" s="163"/>
      <c r="W105" s="58"/>
      <c r="X105" s="64"/>
      <c r="Y105" s="163"/>
      <c r="Z105" s="163"/>
      <c r="AA105" s="163"/>
      <c r="AB105" s="163"/>
      <c r="AC105" s="58"/>
      <c r="AD105" s="163"/>
      <c r="AE105" s="163"/>
      <c r="AF105" s="58"/>
      <c r="AG105" s="58"/>
      <c r="AH105" s="173"/>
      <c r="AI105" s="70" t="s">
        <v>160</v>
      </c>
      <c r="AJ105" s="41">
        <f>L10+L11+L12+L14+L15+L16+L17+L18+L19+L26+L27+L28+L32+L33+L35+L36+L37+L39+L40+L42+L48+L50+L51+L52+L55+L56+L57+L59+L60+L61+L100+L101+L102+L103</f>
        <v>158786.21882575756</v>
      </c>
    </row>
    <row r="106" spans="2:36" s="3" customFormat="1" ht="33.75" customHeight="1" x14ac:dyDescent="0.25">
      <c r="B106" s="81">
        <v>2.1</v>
      </c>
      <c r="C106" s="341" t="s">
        <v>87</v>
      </c>
      <c r="D106" s="341"/>
      <c r="E106" s="341"/>
      <c r="F106" s="62" t="s">
        <v>8</v>
      </c>
      <c r="G106" s="178">
        <v>1</v>
      </c>
      <c r="H106" s="179">
        <f>0.05*J67</f>
        <v>1970093.9183101782</v>
      </c>
      <c r="I106" s="178">
        <f>G106*H106</f>
        <v>1970093.9183101782</v>
      </c>
      <c r="J106" s="58"/>
      <c r="K106" s="60"/>
      <c r="L106" s="178"/>
      <c r="M106" s="58"/>
      <c r="N106" s="58"/>
      <c r="O106" s="163"/>
      <c r="P106" s="163"/>
      <c r="Q106" s="163"/>
      <c r="R106" s="163"/>
      <c r="S106" s="58"/>
      <c r="T106" s="163"/>
      <c r="U106" s="163"/>
      <c r="V106" s="163"/>
      <c r="W106" s="58"/>
      <c r="X106" s="64"/>
      <c r="Y106" s="163"/>
      <c r="Z106" s="163"/>
      <c r="AA106" s="163"/>
      <c r="AB106" s="163"/>
      <c r="AC106" s="58"/>
      <c r="AD106" s="163"/>
      <c r="AE106" s="163"/>
      <c r="AF106" s="58"/>
      <c r="AG106" s="58"/>
      <c r="AH106" s="173"/>
      <c r="AI106" s="22"/>
    </row>
    <row r="107" spans="2:36" s="9" customFormat="1" ht="28.5" customHeight="1" x14ac:dyDescent="0.25">
      <c r="B107" s="83">
        <v>2.11</v>
      </c>
      <c r="C107" s="365" t="s">
        <v>126</v>
      </c>
      <c r="D107" s="365"/>
      <c r="E107" s="365"/>
      <c r="F107" s="84" t="s">
        <v>8</v>
      </c>
      <c r="G107" s="85">
        <v>1</v>
      </c>
      <c r="H107" s="174">
        <f>0.05*J67</f>
        <v>1970093.9183101782</v>
      </c>
      <c r="I107" s="174">
        <f>G107*H107</f>
        <v>1970093.9183101782</v>
      </c>
      <c r="J107" s="175"/>
      <c r="K107" s="175"/>
      <c r="L107" s="175"/>
      <c r="M107" s="175"/>
      <c r="N107" s="175"/>
      <c r="O107" s="175"/>
      <c r="P107" s="175"/>
      <c r="Q107" s="165"/>
      <c r="R107" s="175"/>
      <c r="S107" s="175"/>
      <c r="T107" s="175"/>
      <c r="U107" s="175"/>
      <c r="V107" s="175"/>
      <c r="W107" s="175"/>
      <c r="X107" s="165"/>
      <c r="Y107" s="175"/>
      <c r="Z107" s="175"/>
      <c r="AA107" s="175"/>
      <c r="AB107" s="175"/>
      <c r="AC107" s="175"/>
      <c r="AD107" s="175"/>
      <c r="AE107" s="175"/>
      <c r="AF107" s="175"/>
      <c r="AG107" s="175"/>
      <c r="AH107" s="176"/>
      <c r="AI107" s="82" t="s">
        <v>161</v>
      </c>
    </row>
    <row r="108" spans="2:36" s="9" customFormat="1" ht="22.9" customHeight="1" x14ac:dyDescent="0.25">
      <c r="B108" s="153">
        <v>2.12</v>
      </c>
      <c r="C108" s="329" t="s">
        <v>270</v>
      </c>
      <c r="D108" s="329"/>
      <c r="E108" s="329"/>
      <c r="F108" s="154" t="s">
        <v>8</v>
      </c>
      <c r="G108" s="155">
        <v>1</v>
      </c>
      <c r="H108" s="64">
        <f>58*7*75</f>
        <v>30450</v>
      </c>
      <c r="I108" s="64">
        <f>G108*H108</f>
        <v>30450</v>
      </c>
      <c r="J108" s="175"/>
      <c r="K108" s="175"/>
      <c r="L108" s="175"/>
      <c r="M108" s="175"/>
      <c r="N108" s="175"/>
      <c r="O108" s="175"/>
      <c r="P108" s="175"/>
      <c r="Q108" s="165"/>
      <c r="R108" s="175"/>
      <c r="S108" s="175"/>
      <c r="T108" s="175"/>
      <c r="U108" s="175"/>
      <c r="V108" s="175"/>
      <c r="W108" s="175"/>
      <c r="X108" s="165"/>
      <c r="Y108" s="175"/>
      <c r="Z108" s="175"/>
      <c r="AA108" s="175"/>
      <c r="AB108" s="175"/>
      <c r="AC108" s="175"/>
      <c r="AD108" s="175"/>
      <c r="AE108" s="175"/>
      <c r="AF108" s="175"/>
      <c r="AG108" s="175"/>
      <c r="AH108" s="176"/>
      <c r="AI108" s="82"/>
    </row>
    <row r="109" spans="2:36" s="9" customFormat="1" ht="28.5" customHeight="1" thickBot="1" x14ac:dyDescent="0.3">
      <c r="B109" s="357" t="s">
        <v>211</v>
      </c>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c r="Y109" s="358"/>
      <c r="Z109" s="358"/>
      <c r="AA109" s="358"/>
      <c r="AB109" s="358"/>
      <c r="AC109" s="358"/>
      <c r="AD109" s="358"/>
      <c r="AE109" s="358"/>
      <c r="AF109" s="358"/>
      <c r="AG109" s="359"/>
      <c r="AH109" s="172">
        <f>AH75+AH92</f>
        <v>6530929.5151358871</v>
      </c>
      <c r="AI109" s="71">
        <f>1.18*AH109</f>
        <v>7706496.8278603461</v>
      </c>
    </row>
    <row r="110" spans="2:36" s="22" customFormat="1" ht="22.5" customHeight="1" x14ac:dyDescent="0.25">
      <c r="B110" s="23"/>
      <c r="C110" s="18"/>
      <c r="D110" s="18"/>
      <c r="E110" s="18"/>
      <c r="F110" s="23"/>
      <c r="G110" s="21"/>
      <c r="H110" s="24"/>
      <c r="I110" s="25"/>
      <c r="J110" s="21"/>
      <c r="K110" s="21"/>
      <c r="L110" s="21"/>
      <c r="M110" s="21"/>
      <c r="N110" s="21"/>
      <c r="O110" s="21"/>
      <c r="P110" s="21"/>
      <c r="Q110" s="21"/>
      <c r="R110" s="21"/>
      <c r="S110" s="21"/>
      <c r="T110" s="21"/>
      <c r="U110" s="21"/>
      <c r="V110" s="21"/>
      <c r="W110" s="21"/>
      <c r="X110" s="23"/>
      <c r="Y110" s="21"/>
      <c r="Z110" s="21"/>
      <c r="AA110" s="21"/>
      <c r="AB110" s="21"/>
      <c r="AC110" s="25"/>
      <c r="AD110" s="25"/>
      <c r="AE110" s="25"/>
      <c r="AF110" s="21"/>
      <c r="AG110" s="21"/>
    </row>
    <row r="111" spans="2:36" s="22" customFormat="1" ht="19.5" customHeight="1" thickBot="1" x14ac:dyDescent="0.3">
      <c r="B111" s="28"/>
      <c r="C111" s="28"/>
      <c r="D111" s="28"/>
      <c r="E111" s="28"/>
      <c r="F111" s="28"/>
      <c r="G111" s="28"/>
      <c r="H111" s="28"/>
      <c r="I111" s="29"/>
      <c r="J111" s="28"/>
      <c r="K111" s="28"/>
      <c r="L111" s="28"/>
      <c r="M111" s="28"/>
      <c r="N111" s="28"/>
      <c r="O111" s="28"/>
      <c r="P111" s="28"/>
      <c r="Q111" s="21"/>
      <c r="R111" s="21"/>
      <c r="S111" s="21"/>
      <c r="T111" s="21"/>
      <c r="U111" s="21"/>
      <c r="V111" s="21"/>
      <c r="W111" s="21"/>
      <c r="X111" s="23"/>
      <c r="Y111" s="21"/>
      <c r="Z111" s="21"/>
      <c r="AA111" s="21"/>
      <c r="AB111" s="21"/>
      <c r="AC111" s="25"/>
      <c r="AD111" s="25"/>
      <c r="AE111" s="25"/>
      <c r="AF111" s="21"/>
      <c r="AG111" s="21"/>
    </row>
    <row r="112" spans="2:36" s="22" customFormat="1" ht="37.5" customHeight="1" x14ac:dyDescent="0.25">
      <c r="B112" s="360" t="s">
        <v>129</v>
      </c>
      <c r="C112" s="361"/>
      <c r="D112" s="361"/>
      <c r="E112" s="361"/>
      <c r="F112" s="361"/>
      <c r="G112" s="361"/>
      <c r="H112" s="361"/>
      <c r="I112" s="361"/>
      <c r="J112" s="361"/>
      <c r="K112" s="361"/>
      <c r="L112" s="362"/>
      <c r="M112" s="28"/>
      <c r="N112" s="28"/>
      <c r="O112" s="28"/>
      <c r="P112" s="28"/>
      <c r="Q112" s="21"/>
      <c r="R112" s="21"/>
      <c r="S112" s="21"/>
      <c r="T112" s="21"/>
      <c r="U112" s="21"/>
      <c r="V112" s="21"/>
      <c r="W112" s="21"/>
      <c r="X112" s="23"/>
      <c r="Y112" s="21"/>
      <c r="Z112" s="21"/>
      <c r="AA112" s="21"/>
      <c r="AB112" s="21"/>
      <c r="AC112" s="25"/>
      <c r="AD112" s="25"/>
      <c r="AE112" s="25"/>
      <c r="AF112" s="21"/>
      <c r="AG112" s="21"/>
    </row>
    <row r="113" spans="2:33" s="22" customFormat="1" ht="18" x14ac:dyDescent="0.25">
      <c r="B113" s="333" t="s">
        <v>0</v>
      </c>
      <c r="C113" s="334"/>
      <c r="D113" s="335"/>
      <c r="E113" s="364" t="s">
        <v>127</v>
      </c>
      <c r="F113" s="364"/>
      <c r="G113" s="364"/>
      <c r="H113" s="366" t="s">
        <v>128</v>
      </c>
      <c r="I113" s="364"/>
      <c r="J113" s="364" t="s">
        <v>120</v>
      </c>
      <c r="K113" s="364"/>
      <c r="L113" s="367"/>
      <c r="M113" s="28"/>
      <c r="N113" s="28"/>
      <c r="O113" s="28"/>
      <c r="P113" s="28"/>
      <c r="Q113" s="21"/>
      <c r="R113" s="21"/>
      <c r="S113" s="21"/>
      <c r="T113" s="21"/>
      <c r="U113" s="21"/>
      <c r="V113" s="21"/>
      <c r="W113" s="21"/>
      <c r="X113" s="23"/>
      <c r="Y113" s="21"/>
      <c r="Z113" s="21"/>
      <c r="AA113" s="21"/>
      <c r="AB113" s="21"/>
      <c r="AC113" s="25"/>
      <c r="AD113" s="25"/>
      <c r="AE113" s="25"/>
      <c r="AF113" s="21"/>
      <c r="AG113" s="21"/>
    </row>
    <row r="114" spans="2:33" s="22" customFormat="1" ht="28.5" customHeight="1" x14ac:dyDescent="0.25">
      <c r="B114" s="322" t="s">
        <v>60</v>
      </c>
      <c r="C114" s="323"/>
      <c r="D114" s="324"/>
      <c r="E114" s="325">
        <v>1212.1199999999999</v>
      </c>
      <c r="F114" s="326"/>
      <c r="G114" s="327"/>
      <c r="H114" s="325">
        <f>0.18*E114</f>
        <v>218.18159999999997</v>
      </c>
      <c r="I114" s="326"/>
      <c r="J114" s="325">
        <f>E114+H114</f>
        <v>1430.3015999999998</v>
      </c>
      <c r="K114" s="326"/>
      <c r="L114" s="328"/>
      <c r="M114" s="28"/>
      <c r="N114" s="28"/>
      <c r="O114" s="28"/>
      <c r="P114" s="28"/>
      <c r="Q114" s="21"/>
      <c r="R114" s="21"/>
      <c r="S114" s="21"/>
      <c r="T114" s="21"/>
      <c r="U114" s="21"/>
      <c r="V114" s="21"/>
      <c r="W114" s="21"/>
      <c r="X114" s="23"/>
      <c r="Y114" s="21"/>
      <c r="Z114" s="21"/>
      <c r="AA114" s="21"/>
      <c r="AB114" s="21"/>
      <c r="AC114" s="25"/>
      <c r="AD114" s="25"/>
      <c r="AE114" s="25"/>
      <c r="AF114" s="21"/>
      <c r="AG114" s="21"/>
    </row>
    <row r="115" spans="2:33" s="22" customFormat="1" ht="37.15" customHeight="1" x14ac:dyDescent="0.25">
      <c r="B115" s="322" t="s">
        <v>224</v>
      </c>
      <c r="C115" s="323"/>
      <c r="D115" s="324"/>
      <c r="E115" s="325">
        <v>5633.33</v>
      </c>
      <c r="F115" s="326"/>
      <c r="G115" s="327"/>
      <c r="H115" s="325">
        <f t="shared" ref="H115" si="16">0.18*E115</f>
        <v>1013.9993999999999</v>
      </c>
      <c r="I115" s="326"/>
      <c r="J115" s="325">
        <f t="shared" ref="J115:J117" si="17">E115+H115</f>
        <v>6647.3293999999996</v>
      </c>
      <c r="K115" s="326"/>
      <c r="L115" s="328"/>
      <c r="M115" s="28"/>
      <c r="N115" s="28"/>
      <c r="O115" s="28"/>
      <c r="P115" s="28"/>
      <c r="Q115" s="21"/>
      <c r="R115" s="21"/>
      <c r="S115" s="21"/>
      <c r="T115" s="21"/>
      <c r="U115" s="21"/>
      <c r="V115" s="21"/>
      <c r="W115" s="21"/>
      <c r="X115" s="23"/>
      <c r="Y115" s="21"/>
      <c r="Z115" s="21"/>
      <c r="AA115" s="21"/>
      <c r="AB115" s="21"/>
      <c r="AC115" s="25"/>
      <c r="AD115" s="25"/>
      <c r="AE115" s="25"/>
      <c r="AF115" s="21"/>
      <c r="AG115" s="21"/>
    </row>
    <row r="116" spans="2:33" s="22" customFormat="1" ht="37.15" customHeight="1" x14ac:dyDescent="0.25">
      <c r="B116" s="322" t="s">
        <v>289</v>
      </c>
      <c r="C116" s="323"/>
      <c r="D116" s="324"/>
      <c r="E116" s="325">
        <v>10000</v>
      </c>
      <c r="F116" s="326"/>
      <c r="G116" s="327"/>
      <c r="H116" s="325">
        <f t="shared" ref="H116" si="18">0.18*E116</f>
        <v>1800</v>
      </c>
      <c r="I116" s="326"/>
      <c r="J116" s="325">
        <f t="shared" ref="J116" si="19">E116+H116</f>
        <v>11800</v>
      </c>
      <c r="K116" s="326"/>
      <c r="L116" s="328"/>
      <c r="M116" s="28"/>
      <c r="N116" s="28"/>
      <c r="O116" s="28"/>
      <c r="P116" s="28"/>
      <c r="Q116" s="21"/>
      <c r="R116" s="21"/>
      <c r="S116" s="21"/>
      <c r="T116" s="21"/>
      <c r="U116" s="21"/>
      <c r="V116" s="21"/>
      <c r="W116" s="21"/>
      <c r="X116" s="23"/>
      <c r="Y116" s="21"/>
      <c r="Z116" s="21"/>
      <c r="AA116" s="21"/>
      <c r="AB116" s="21"/>
      <c r="AC116" s="25"/>
      <c r="AD116" s="25"/>
      <c r="AE116" s="25"/>
      <c r="AF116" s="21"/>
      <c r="AG116" s="21"/>
    </row>
    <row r="117" spans="2:33" s="22" customFormat="1" ht="37.15" customHeight="1" x14ac:dyDescent="0.25">
      <c r="B117" s="322" t="s">
        <v>59</v>
      </c>
      <c r="C117" s="323"/>
      <c r="D117" s="324"/>
      <c r="E117" s="325">
        <v>1300</v>
      </c>
      <c r="F117" s="326"/>
      <c r="G117" s="327"/>
      <c r="H117" s="325">
        <f>0.18*E117</f>
        <v>234</v>
      </c>
      <c r="I117" s="326"/>
      <c r="J117" s="325">
        <f t="shared" si="17"/>
        <v>1534</v>
      </c>
      <c r="K117" s="326"/>
      <c r="L117" s="328"/>
      <c r="M117" s="28"/>
      <c r="N117" s="28"/>
      <c r="O117" s="28"/>
      <c r="P117" s="28"/>
      <c r="Q117" s="21"/>
      <c r="R117" s="21"/>
      <c r="S117" s="21"/>
      <c r="T117" s="21"/>
      <c r="U117" s="21"/>
      <c r="V117" s="21"/>
      <c r="W117" s="21"/>
      <c r="X117" s="23"/>
      <c r="Y117" s="21"/>
      <c r="Z117" s="21"/>
      <c r="AA117" s="21"/>
      <c r="AB117" s="21"/>
      <c r="AC117" s="25"/>
      <c r="AD117" s="25"/>
      <c r="AE117" s="25"/>
      <c r="AF117" s="21"/>
      <c r="AG117" s="21"/>
    </row>
    <row r="118" spans="2:33" s="22" customFormat="1" ht="39.75" customHeight="1" x14ac:dyDescent="0.25">
      <c r="B118" s="322" t="s">
        <v>89</v>
      </c>
      <c r="C118" s="323"/>
      <c r="D118" s="324"/>
      <c r="E118" s="325">
        <v>20000</v>
      </c>
      <c r="F118" s="326"/>
      <c r="G118" s="327"/>
      <c r="H118" s="325">
        <f t="shared" ref="H118" si="20">0.18*E118</f>
        <v>3600</v>
      </c>
      <c r="I118" s="326"/>
      <c r="J118" s="325">
        <f>E118+H118</f>
        <v>23600</v>
      </c>
      <c r="K118" s="326"/>
      <c r="L118" s="328"/>
      <c r="M118" s="28"/>
      <c r="N118" s="28"/>
      <c r="O118" s="28"/>
      <c r="P118" s="28"/>
      <c r="Q118" s="21"/>
      <c r="R118" s="21"/>
      <c r="S118" s="21"/>
      <c r="T118" s="21"/>
      <c r="U118" s="21"/>
      <c r="V118" s="21"/>
      <c r="W118" s="21"/>
      <c r="X118" s="23"/>
      <c r="Y118" s="21"/>
      <c r="Z118" s="21"/>
      <c r="AA118" s="21"/>
      <c r="AB118" s="21"/>
      <c r="AC118" s="25"/>
      <c r="AD118" s="25"/>
      <c r="AE118" s="25"/>
      <c r="AF118" s="21"/>
      <c r="AG118" s="21"/>
    </row>
    <row r="119" spans="2:33" s="22" customFormat="1" ht="23.25" customHeight="1" thickBot="1" x14ac:dyDescent="0.3">
      <c r="B119" s="339" t="s">
        <v>120</v>
      </c>
      <c r="C119" s="340"/>
      <c r="D119" s="340"/>
      <c r="E119" s="340"/>
      <c r="F119" s="340"/>
      <c r="G119" s="340"/>
      <c r="H119" s="340"/>
      <c r="I119" s="340"/>
      <c r="J119" s="336">
        <f>J114+J115+J118+J117+J116</f>
        <v>45011.631000000001</v>
      </c>
      <c r="K119" s="337"/>
      <c r="L119" s="338"/>
      <c r="M119" s="28"/>
      <c r="N119" s="28"/>
      <c r="O119" s="28"/>
      <c r="P119" s="28"/>
      <c r="Q119" s="21"/>
      <c r="R119" s="21"/>
      <c r="S119" s="21"/>
      <c r="T119" s="21"/>
      <c r="U119" s="21"/>
      <c r="V119" s="21"/>
      <c r="W119" s="21"/>
      <c r="X119" s="23"/>
      <c r="Y119" s="21"/>
      <c r="Z119" s="21"/>
      <c r="AA119" s="21"/>
      <c r="AB119" s="21"/>
      <c r="AC119" s="25"/>
      <c r="AD119" s="25"/>
      <c r="AE119" s="25"/>
      <c r="AF119" s="21"/>
      <c r="AG119" s="21"/>
    </row>
    <row r="120" spans="2:33" s="22" customFormat="1" ht="18.75" thickBot="1" x14ac:dyDescent="0.3">
      <c r="B120" s="26"/>
      <c r="C120" s="26"/>
      <c r="D120" s="26"/>
      <c r="E120" s="26"/>
      <c r="F120" s="26"/>
      <c r="G120" s="26"/>
      <c r="H120" s="26"/>
      <c r="I120" s="26"/>
      <c r="J120" s="27"/>
      <c r="K120" s="26"/>
      <c r="L120" s="26"/>
      <c r="M120" s="28"/>
      <c r="N120" s="28"/>
      <c r="O120" s="28"/>
      <c r="P120" s="28"/>
      <c r="Q120" s="21"/>
      <c r="R120" s="21"/>
      <c r="S120" s="21"/>
      <c r="T120" s="21"/>
      <c r="U120" s="21"/>
      <c r="V120" s="21"/>
      <c r="W120" s="21"/>
      <c r="X120" s="23"/>
      <c r="Y120" s="21"/>
      <c r="Z120" s="21"/>
      <c r="AA120" s="21"/>
      <c r="AB120" s="21"/>
      <c r="AC120" s="25"/>
      <c r="AD120" s="25"/>
      <c r="AE120" s="25"/>
      <c r="AF120" s="21"/>
      <c r="AG120" s="21"/>
    </row>
    <row r="121" spans="2:33" s="22" customFormat="1" ht="18" x14ac:dyDescent="0.25">
      <c r="B121" s="330" t="s">
        <v>130</v>
      </c>
      <c r="C121" s="331"/>
      <c r="D121" s="331"/>
      <c r="E121" s="331"/>
      <c r="F121" s="331"/>
      <c r="G121" s="331"/>
      <c r="H121" s="331"/>
      <c r="I121" s="332"/>
      <c r="J121" s="42"/>
      <c r="K121" s="42"/>
      <c r="L121" s="42"/>
      <c r="M121" s="28"/>
      <c r="N121" s="28"/>
      <c r="O121" s="28"/>
      <c r="P121" s="28"/>
      <c r="Q121" s="21"/>
      <c r="R121" s="21"/>
      <c r="S121" s="21"/>
      <c r="T121" s="21"/>
      <c r="U121" s="21"/>
      <c r="V121" s="21"/>
      <c r="W121" s="21"/>
      <c r="X121" s="23"/>
      <c r="Y121" s="21"/>
      <c r="Z121" s="21"/>
      <c r="AA121" s="21"/>
      <c r="AB121" s="21"/>
      <c r="AC121" s="25"/>
      <c r="AD121" s="25"/>
      <c r="AE121" s="25"/>
      <c r="AF121" s="21"/>
      <c r="AG121" s="21"/>
    </row>
    <row r="122" spans="2:33" s="22" customFormat="1" ht="18" x14ac:dyDescent="0.25">
      <c r="B122" s="333" t="s">
        <v>0</v>
      </c>
      <c r="C122" s="334"/>
      <c r="D122" s="335"/>
      <c r="E122" s="364" t="s">
        <v>127</v>
      </c>
      <c r="F122" s="364"/>
      <c r="G122" s="364"/>
      <c r="H122" s="366">
        <v>0.08</v>
      </c>
      <c r="I122" s="367"/>
      <c r="J122" s="346"/>
      <c r="K122" s="346"/>
      <c r="L122" s="346"/>
      <c r="M122" s="28"/>
      <c r="N122" s="28"/>
      <c r="O122" s="28"/>
      <c r="P122" s="28"/>
      <c r="Q122" s="21"/>
      <c r="R122" s="21"/>
      <c r="S122" s="21"/>
      <c r="T122" s="21"/>
      <c r="U122" s="21"/>
      <c r="V122" s="21"/>
      <c r="W122" s="21"/>
      <c r="X122" s="23"/>
      <c r="Y122" s="21"/>
      <c r="Z122" s="21"/>
      <c r="AA122" s="21"/>
      <c r="AB122" s="21"/>
      <c r="AC122" s="25"/>
      <c r="AD122" s="25"/>
      <c r="AE122" s="25"/>
      <c r="AF122" s="21"/>
      <c r="AG122" s="21"/>
    </row>
    <row r="123" spans="2:33" s="22" customFormat="1" ht="75" customHeight="1" x14ac:dyDescent="0.25">
      <c r="B123" s="322" t="s">
        <v>298</v>
      </c>
      <c r="C123" s="323"/>
      <c r="D123" s="324"/>
      <c r="E123" s="441">
        <f>J67</f>
        <v>39401878.366203561</v>
      </c>
      <c r="F123" s="442"/>
      <c r="G123" s="443"/>
      <c r="H123" s="432">
        <f>E123*0.08</f>
        <v>3152150.2692962848</v>
      </c>
      <c r="I123" s="434"/>
      <c r="J123" s="86"/>
      <c r="K123" s="87"/>
      <c r="L123" s="87"/>
      <c r="M123" s="28"/>
      <c r="N123" s="28"/>
      <c r="O123" s="28"/>
      <c r="P123" s="28"/>
      <c r="Q123" s="21"/>
      <c r="R123" s="21"/>
      <c r="S123" s="21"/>
      <c r="T123" s="21"/>
      <c r="U123" s="21"/>
      <c r="V123" s="21"/>
      <c r="W123" s="21"/>
      <c r="X123" s="23"/>
      <c r="Y123" s="21"/>
      <c r="Z123" s="21"/>
      <c r="AA123" s="21"/>
      <c r="AB123" s="21"/>
      <c r="AC123" s="25"/>
      <c r="AD123" s="25"/>
      <c r="AE123" s="25"/>
      <c r="AF123" s="21"/>
      <c r="AG123" s="21"/>
    </row>
    <row r="124" spans="2:33" s="22" customFormat="1" ht="18.75" thickBot="1" x14ac:dyDescent="0.3">
      <c r="B124" s="444" t="s">
        <v>120</v>
      </c>
      <c r="C124" s="445"/>
      <c r="D124" s="445"/>
      <c r="E124" s="445"/>
      <c r="F124" s="445"/>
      <c r="G124" s="446"/>
      <c r="H124" s="336">
        <f>H123</f>
        <v>3152150.2692962848</v>
      </c>
      <c r="I124" s="447"/>
      <c r="J124" s="417"/>
      <c r="K124" s="437"/>
      <c r="L124" s="437"/>
      <c r="M124" s="28"/>
      <c r="N124" s="28"/>
      <c r="O124" s="28"/>
      <c r="P124" s="28"/>
      <c r="Q124" s="21"/>
      <c r="R124" s="21"/>
      <c r="S124" s="21"/>
      <c r="T124" s="21"/>
      <c r="U124" s="21"/>
      <c r="V124" s="21"/>
      <c r="W124" s="21"/>
      <c r="X124" s="23"/>
      <c r="Y124" s="21"/>
      <c r="Z124" s="21"/>
      <c r="AA124" s="21"/>
      <c r="AB124" s="21"/>
      <c r="AC124" s="25"/>
      <c r="AD124" s="25"/>
      <c r="AE124" s="25"/>
      <c r="AF124" s="21"/>
      <c r="AG124" s="21"/>
    </row>
    <row r="125" spans="2:33" s="22" customFormat="1" ht="18.75" thickBot="1" x14ac:dyDescent="0.3">
      <c r="B125" s="26"/>
      <c r="C125" s="26"/>
      <c r="D125" s="26"/>
      <c r="E125" s="26"/>
      <c r="F125" s="26"/>
      <c r="G125" s="26"/>
      <c r="H125" s="26"/>
      <c r="I125" s="26"/>
      <c r="J125" s="43"/>
      <c r="K125" s="44"/>
      <c r="L125" s="44"/>
      <c r="M125" s="45"/>
      <c r="N125" s="28"/>
      <c r="O125" s="28"/>
      <c r="P125" s="28"/>
      <c r="Q125" s="21"/>
      <c r="R125" s="21"/>
      <c r="S125" s="21"/>
      <c r="T125" s="21"/>
      <c r="U125" s="21"/>
      <c r="V125" s="21"/>
      <c r="W125" s="21"/>
      <c r="X125" s="23"/>
      <c r="Y125" s="21"/>
      <c r="Z125" s="21"/>
      <c r="AA125" s="21"/>
      <c r="AB125" s="21"/>
      <c r="AC125" s="25"/>
      <c r="AD125" s="25"/>
      <c r="AE125" s="25"/>
      <c r="AF125" s="21"/>
      <c r="AG125" s="21"/>
    </row>
    <row r="126" spans="2:33" s="22" customFormat="1" ht="23.25" customHeight="1" x14ac:dyDescent="0.25">
      <c r="B126" s="330" t="s">
        <v>131</v>
      </c>
      <c r="C126" s="331"/>
      <c r="D126" s="331"/>
      <c r="E126" s="331"/>
      <c r="F126" s="331"/>
      <c r="G126" s="331"/>
      <c r="H126" s="331"/>
      <c r="I126" s="332"/>
      <c r="J126" s="42"/>
      <c r="K126" s="42"/>
      <c r="L126" s="42"/>
      <c r="M126" s="45"/>
      <c r="N126" s="28"/>
      <c r="O126" s="28"/>
      <c r="P126" s="28"/>
      <c r="Q126" s="21"/>
      <c r="R126" s="21"/>
      <c r="S126" s="21"/>
      <c r="T126" s="21"/>
      <c r="U126" s="21"/>
      <c r="V126" s="21"/>
      <c r="W126" s="21"/>
      <c r="X126" s="23"/>
      <c r="Y126" s="21"/>
      <c r="Z126" s="21"/>
      <c r="AA126" s="21"/>
      <c r="AB126" s="21"/>
      <c r="AC126" s="25"/>
      <c r="AD126" s="25"/>
      <c r="AE126" s="25"/>
      <c r="AF126" s="21"/>
      <c r="AG126" s="21"/>
    </row>
    <row r="127" spans="2:33" s="22" customFormat="1" ht="18" x14ac:dyDescent="0.25">
      <c r="B127" s="333" t="s">
        <v>0</v>
      </c>
      <c r="C127" s="334"/>
      <c r="D127" s="335"/>
      <c r="E127" s="364" t="s">
        <v>127</v>
      </c>
      <c r="F127" s="364"/>
      <c r="G127" s="364"/>
      <c r="H127" s="366">
        <v>0.05</v>
      </c>
      <c r="I127" s="367"/>
      <c r="J127" s="346"/>
      <c r="K127" s="346"/>
      <c r="L127" s="346"/>
      <c r="M127" s="45"/>
      <c r="N127" s="28"/>
      <c r="O127" s="28"/>
      <c r="P127" s="28"/>
      <c r="Q127" s="21"/>
      <c r="R127" s="21"/>
      <c r="S127" s="21"/>
      <c r="T127" s="21"/>
      <c r="U127" s="21"/>
      <c r="V127" s="21"/>
      <c r="W127" s="21"/>
      <c r="X127" s="23"/>
      <c r="Y127" s="21"/>
      <c r="Z127" s="21"/>
      <c r="AA127" s="21"/>
      <c r="AB127" s="21"/>
      <c r="AC127" s="25"/>
      <c r="AD127" s="25"/>
      <c r="AE127" s="25"/>
      <c r="AF127" s="21"/>
      <c r="AG127" s="21"/>
    </row>
    <row r="128" spans="2:33" s="22" customFormat="1" ht="69" customHeight="1" x14ac:dyDescent="0.25">
      <c r="B128" s="322" t="s">
        <v>298</v>
      </c>
      <c r="C128" s="323"/>
      <c r="D128" s="324"/>
      <c r="E128" s="432">
        <f>E123</f>
        <v>39401878.366203561</v>
      </c>
      <c r="F128" s="433"/>
      <c r="G128" s="433"/>
      <c r="H128" s="432">
        <f>E128*0.05</f>
        <v>1970093.9183101782</v>
      </c>
      <c r="I128" s="434"/>
      <c r="J128" s="435"/>
      <c r="K128" s="436"/>
      <c r="L128" s="436"/>
      <c r="M128" s="45"/>
      <c r="N128" s="28"/>
      <c r="O128" s="28"/>
      <c r="P128" s="28"/>
      <c r="Q128" s="21"/>
      <c r="R128" s="21"/>
      <c r="S128" s="21"/>
      <c r="T128" s="21"/>
      <c r="U128" s="21"/>
      <c r="V128" s="21"/>
      <c r="W128" s="21"/>
      <c r="X128" s="23"/>
      <c r="Y128" s="21"/>
      <c r="Z128" s="21"/>
      <c r="AA128" s="21"/>
      <c r="AB128" s="21"/>
      <c r="AC128" s="25"/>
      <c r="AD128" s="25"/>
      <c r="AE128" s="25"/>
      <c r="AF128" s="21"/>
      <c r="AG128" s="21"/>
    </row>
    <row r="129" spans="2:33" s="22" customFormat="1" ht="18.75" thickBot="1" x14ac:dyDescent="0.3">
      <c r="B129" s="444" t="s">
        <v>120</v>
      </c>
      <c r="C129" s="445"/>
      <c r="D129" s="445"/>
      <c r="E129" s="445"/>
      <c r="F129" s="445"/>
      <c r="G129" s="446"/>
      <c r="H129" s="448">
        <f>H128</f>
        <v>1970093.9183101782</v>
      </c>
      <c r="I129" s="449"/>
      <c r="J129" s="417"/>
      <c r="K129" s="437"/>
      <c r="L129" s="437"/>
      <c r="M129" s="45"/>
      <c r="N129" s="28"/>
      <c r="O129" s="28"/>
      <c r="P129" s="28"/>
      <c r="Q129" s="21"/>
      <c r="R129" s="21"/>
      <c r="S129" s="21"/>
      <c r="T129" s="21"/>
      <c r="U129" s="21"/>
      <c r="V129" s="21"/>
      <c r="W129" s="21"/>
      <c r="X129" s="23"/>
      <c r="Y129" s="21"/>
      <c r="Z129" s="21"/>
      <c r="AA129" s="21"/>
      <c r="AB129" s="21"/>
      <c r="AC129" s="25"/>
      <c r="AD129" s="25"/>
      <c r="AE129" s="25"/>
      <c r="AF129" s="21"/>
      <c r="AG129" s="21"/>
    </row>
    <row r="130" spans="2:33" s="22" customFormat="1" ht="18.75" thickBot="1" x14ac:dyDescent="0.3">
      <c r="B130" s="26"/>
      <c r="C130" s="26"/>
      <c r="D130" s="26"/>
      <c r="E130" s="26"/>
      <c r="F130" s="26"/>
      <c r="G130" s="26"/>
      <c r="H130" s="26"/>
      <c r="I130" s="26"/>
      <c r="J130" s="27"/>
      <c r="K130" s="26"/>
      <c r="L130" s="26"/>
      <c r="M130" s="28"/>
      <c r="N130" s="28"/>
      <c r="O130" s="28"/>
      <c r="P130" s="28"/>
      <c r="Q130" s="21"/>
      <c r="R130" s="21"/>
      <c r="S130" s="21"/>
      <c r="T130" s="21"/>
      <c r="U130" s="21"/>
      <c r="V130" s="21"/>
      <c r="W130" s="21"/>
      <c r="X130" s="23"/>
      <c r="Y130" s="21"/>
      <c r="Z130" s="21"/>
      <c r="AA130" s="21"/>
      <c r="AB130" s="21"/>
      <c r="AC130" s="25"/>
      <c r="AD130" s="25"/>
      <c r="AE130" s="25"/>
      <c r="AF130" s="21"/>
      <c r="AG130" s="21"/>
    </row>
    <row r="131" spans="2:33" s="22" customFormat="1" ht="35.25" customHeight="1" x14ac:dyDescent="0.25">
      <c r="B131" s="438" t="s">
        <v>163</v>
      </c>
      <c r="C131" s="439"/>
      <c r="D131" s="439"/>
      <c r="E131" s="439"/>
      <c r="F131" s="439"/>
      <c r="G131" s="439"/>
      <c r="H131" s="439"/>
      <c r="I131" s="439"/>
      <c r="J131" s="439"/>
      <c r="K131" s="439"/>
      <c r="L131" s="440"/>
      <c r="M131" s="28"/>
      <c r="N131" s="28"/>
      <c r="O131" s="28"/>
      <c r="P131" s="28"/>
      <c r="Q131" s="21"/>
      <c r="R131" s="21"/>
      <c r="S131" s="21"/>
      <c r="T131" s="21"/>
      <c r="U131" s="21"/>
      <c r="V131" s="21"/>
      <c r="W131" s="21"/>
      <c r="X131" s="23"/>
      <c r="Y131" s="21"/>
      <c r="Z131" s="21"/>
      <c r="AA131" s="21"/>
      <c r="AB131" s="21"/>
      <c r="AC131" s="25"/>
      <c r="AD131" s="25"/>
      <c r="AE131" s="25"/>
      <c r="AF131" s="21"/>
      <c r="AG131" s="21"/>
    </row>
    <row r="132" spans="2:33" s="22" customFormat="1" ht="25.5" customHeight="1" x14ac:dyDescent="0.25">
      <c r="B132" s="452" t="s">
        <v>132</v>
      </c>
      <c r="C132" s="453"/>
      <c r="D132" s="453"/>
      <c r="E132" s="453" t="s">
        <v>133</v>
      </c>
      <c r="F132" s="453"/>
      <c r="G132" s="453"/>
      <c r="H132" s="453"/>
      <c r="I132" s="453" t="s">
        <v>134</v>
      </c>
      <c r="J132" s="453"/>
      <c r="K132" s="453"/>
      <c r="L132" s="454"/>
      <c r="M132" s="28"/>
      <c r="N132" s="28"/>
      <c r="O132" s="28"/>
      <c r="P132" s="28"/>
      <c r="Q132" s="21"/>
      <c r="R132" s="21"/>
      <c r="S132" s="21"/>
      <c r="T132" s="21"/>
      <c r="U132" s="21"/>
      <c r="V132" s="21"/>
      <c r="W132" s="21"/>
      <c r="X132" s="23"/>
      <c r="Y132" s="21"/>
      <c r="Z132" s="21"/>
      <c r="AA132" s="21"/>
      <c r="AB132" s="21"/>
      <c r="AC132" s="25"/>
      <c r="AD132" s="25"/>
      <c r="AE132" s="25"/>
      <c r="AF132" s="21"/>
      <c r="AG132" s="21"/>
    </row>
    <row r="133" spans="2:33" s="22" customFormat="1" ht="22.5" customHeight="1" x14ac:dyDescent="0.25">
      <c r="B133" s="455" t="s">
        <v>135</v>
      </c>
      <c r="C133" s="456"/>
      <c r="D133" s="456"/>
      <c r="E133" s="457"/>
      <c r="F133" s="457"/>
      <c r="G133" s="457"/>
      <c r="H133" s="457"/>
      <c r="I133" s="457"/>
      <c r="J133" s="457"/>
      <c r="K133" s="457"/>
      <c r="L133" s="458"/>
      <c r="M133" s="28"/>
      <c r="N133" s="28"/>
      <c r="O133" s="28"/>
      <c r="P133" s="28"/>
      <c r="Q133" s="21"/>
      <c r="R133" s="21"/>
      <c r="S133" s="21"/>
      <c r="T133" s="21"/>
      <c r="U133" s="21"/>
      <c r="V133" s="21"/>
      <c r="W133" s="21"/>
      <c r="X133" s="23"/>
      <c r="Y133" s="21"/>
      <c r="Z133" s="21"/>
      <c r="AA133" s="21"/>
      <c r="AB133" s="21"/>
      <c r="AC133" s="25"/>
      <c r="AD133" s="25"/>
      <c r="AE133" s="25"/>
      <c r="AF133" s="21"/>
      <c r="AG133" s="21"/>
    </row>
    <row r="134" spans="2:33" s="22" customFormat="1" ht="44.25" customHeight="1" x14ac:dyDescent="0.25">
      <c r="B134" s="400" t="s">
        <v>299</v>
      </c>
      <c r="C134" s="401"/>
      <c r="D134" s="401"/>
      <c r="E134" s="402">
        <f>E135+E136+E137+E138+E139</f>
        <v>33391422.344240304</v>
      </c>
      <c r="F134" s="403"/>
      <c r="G134" s="403"/>
      <c r="H134" s="404"/>
      <c r="I134" s="317"/>
      <c r="J134" s="317"/>
      <c r="K134" s="317"/>
      <c r="L134" s="399"/>
      <c r="M134" s="28"/>
      <c r="N134" s="28"/>
      <c r="O134" s="28"/>
      <c r="P134" s="28"/>
      <c r="Q134" s="21"/>
      <c r="R134" s="21"/>
      <c r="S134" s="21"/>
      <c r="T134" s="21"/>
      <c r="U134" s="21"/>
      <c r="V134" s="21"/>
      <c r="W134" s="21"/>
      <c r="X134" s="23"/>
      <c r="Y134" s="21"/>
      <c r="Z134" s="21"/>
      <c r="AA134" s="21"/>
      <c r="AB134" s="21"/>
      <c r="AC134" s="25"/>
      <c r="AD134" s="25"/>
      <c r="AE134" s="25"/>
      <c r="AF134" s="21"/>
      <c r="AG134" s="21"/>
    </row>
    <row r="135" spans="2:33" s="22" customFormat="1" ht="65.25" customHeight="1" x14ac:dyDescent="0.25">
      <c r="B135" s="400" t="str">
        <f>C6</f>
        <v>Fase I: Movilización de equipos y materiales al sitio</v>
      </c>
      <c r="C135" s="401"/>
      <c r="D135" s="401"/>
      <c r="E135" s="402">
        <f>AH6</f>
        <v>47263.713184545457</v>
      </c>
      <c r="F135" s="403"/>
      <c r="G135" s="403"/>
      <c r="H135" s="404"/>
      <c r="I135" s="321" t="s">
        <v>257</v>
      </c>
      <c r="J135" s="317"/>
      <c r="K135" s="317"/>
      <c r="L135" s="399"/>
      <c r="M135" s="28"/>
      <c r="N135" s="28"/>
      <c r="O135" s="28"/>
      <c r="P135" s="28"/>
      <c r="Q135" s="21"/>
      <c r="R135" s="21"/>
      <c r="S135" s="21"/>
      <c r="T135" s="21"/>
      <c r="U135" s="21"/>
      <c r="V135" s="21"/>
      <c r="W135" s="21"/>
      <c r="X135" s="23"/>
      <c r="Y135" s="21"/>
      <c r="Z135" s="21"/>
      <c r="AA135" s="21"/>
      <c r="AB135" s="21"/>
      <c r="AC135" s="25"/>
      <c r="AD135" s="25"/>
      <c r="AE135" s="25"/>
      <c r="AF135" s="21"/>
      <c r="AG135" s="21"/>
    </row>
    <row r="136" spans="2:33" s="22" customFormat="1" ht="74.25" customHeight="1" x14ac:dyDescent="0.25">
      <c r="B136" s="400" t="str">
        <f>C13</f>
        <v>Fase II: Preparación del área para la instalación de equipos</v>
      </c>
      <c r="C136" s="401"/>
      <c r="D136" s="401"/>
      <c r="E136" s="402">
        <f>AH13</f>
        <v>122265.88282727273</v>
      </c>
      <c r="F136" s="403"/>
      <c r="G136" s="403"/>
      <c r="H136" s="404"/>
      <c r="I136" s="321" t="s">
        <v>258</v>
      </c>
      <c r="J136" s="317"/>
      <c r="K136" s="317"/>
      <c r="L136" s="399"/>
      <c r="M136" s="28"/>
      <c r="N136" s="28"/>
      <c r="O136" s="28"/>
      <c r="P136" s="28"/>
      <c r="Q136" s="21"/>
      <c r="R136" s="21"/>
      <c r="S136" s="21"/>
      <c r="T136" s="21"/>
      <c r="U136" s="21"/>
      <c r="V136" s="21"/>
      <c r="W136" s="21"/>
      <c r="X136" s="23"/>
      <c r="Y136" s="21"/>
      <c r="Z136" s="21"/>
      <c r="AA136" s="21"/>
      <c r="AB136" s="21"/>
      <c r="AC136" s="25"/>
      <c r="AD136" s="25"/>
      <c r="AE136" s="25"/>
      <c r="AF136" s="21"/>
      <c r="AG136" s="21"/>
    </row>
    <row r="137" spans="2:33" s="22" customFormat="1" ht="65.25" customHeight="1" x14ac:dyDescent="0.25">
      <c r="B137" s="400" t="str">
        <f>C31</f>
        <v>Fase III: Preparación del material in situ</v>
      </c>
      <c r="C137" s="401"/>
      <c r="D137" s="401"/>
      <c r="E137" s="402">
        <f>AH31</f>
        <v>2457788.7940863636</v>
      </c>
      <c r="F137" s="403"/>
      <c r="G137" s="403"/>
      <c r="H137" s="404"/>
      <c r="I137" s="321" t="s">
        <v>259</v>
      </c>
      <c r="J137" s="317"/>
      <c r="K137" s="317"/>
      <c r="L137" s="399"/>
      <c r="M137" s="28"/>
      <c r="N137" s="28"/>
      <c r="O137" s="28"/>
      <c r="P137" s="28"/>
      <c r="Q137" s="21"/>
      <c r="R137" s="21"/>
      <c r="S137" s="21"/>
      <c r="T137" s="21"/>
      <c r="U137" s="21"/>
      <c r="V137" s="21"/>
      <c r="W137" s="21"/>
      <c r="X137" s="23"/>
      <c r="Y137" s="21"/>
      <c r="Z137" s="21"/>
      <c r="AA137" s="21"/>
      <c r="AB137" s="21"/>
      <c r="AC137" s="25"/>
      <c r="AD137" s="25"/>
      <c r="AE137" s="25"/>
      <c r="AF137" s="21"/>
      <c r="AG137" s="21"/>
    </row>
    <row r="138" spans="2:33" s="22" customFormat="1" ht="64.5" customHeight="1" x14ac:dyDescent="0.25">
      <c r="B138" s="400" t="str">
        <f>C38</f>
        <v>Fase IV: Aplicación de la Desorción Térmica</v>
      </c>
      <c r="C138" s="401"/>
      <c r="D138" s="401"/>
      <c r="E138" s="402">
        <f>AH38</f>
        <v>24744238.148620002</v>
      </c>
      <c r="F138" s="403"/>
      <c r="G138" s="403"/>
      <c r="H138" s="404"/>
      <c r="I138" s="321" t="s">
        <v>260</v>
      </c>
      <c r="J138" s="317"/>
      <c r="K138" s="317"/>
      <c r="L138" s="399"/>
      <c r="M138" s="28"/>
      <c r="N138" s="28"/>
      <c r="O138" s="28"/>
      <c r="P138" s="28"/>
      <c r="Q138" s="21"/>
      <c r="R138" s="21"/>
      <c r="S138" s="21"/>
      <c r="T138" s="21"/>
      <c r="U138" s="21"/>
      <c r="V138" s="21"/>
      <c r="W138" s="21"/>
      <c r="X138" s="23"/>
      <c r="Y138" s="21"/>
      <c r="Z138" s="21"/>
      <c r="AA138" s="21"/>
      <c r="AB138" s="21"/>
      <c r="AC138" s="25"/>
      <c r="AD138" s="25"/>
      <c r="AE138" s="25"/>
      <c r="AF138" s="21"/>
      <c r="AG138" s="21"/>
    </row>
    <row r="139" spans="2:33" s="22" customFormat="1" ht="75" customHeight="1" x14ac:dyDescent="0.25">
      <c r="B139" s="405" t="str">
        <f>C47</f>
        <v>Fase V: Reposición del material en el sitio</v>
      </c>
      <c r="C139" s="401"/>
      <c r="D139" s="401"/>
      <c r="E139" s="402">
        <f>AH47</f>
        <v>6019865.8055221215</v>
      </c>
      <c r="F139" s="403"/>
      <c r="G139" s="403"/>
      <c r="H139" s="404"/>
      <c r="I139" s="321" t="s">
        <v>261</v>
      </c>
      <c r="J139" s="317"/>
      <c r="K139" s="317"/>
      <c r="L139" s="399"/>
      <c r="M139" s="28"/>
      <c r="N139" s="28"/>
      <c r="O139" s="28"/>
      <c r="P139" s="28"/>
      <c r="Q139" s="21"/>
      <c r="R139" s="21"/>
      <c r="S139" s="21"/>
      <c r="T139" s="21"/>
      <c r="U139" s="21"/>
      <c r="V139" s="21"/>
      <c r="W139" s="21"/>
      <c r="X139" s="23"/>
      <c r="Y139" s="21"/>
      <c r="Z139" s="21"/>
      <c r="AA139" s="21"/>
      <c r="AB139" s="21"/>
      <c r="AC139" s="25"/>
      <c r="AD139" s="25"/>
      <c r="AE139" s="25"/>
      <c r="AF139" s="21"/>
      <c r="AG139" s="21"/>
    </row>
    <row r="140" spans="2:33" s="22" customFormat="1" ht="45" customHeight="1" x14ac:dyDescent="0.25">
      <c r="B140" s="406" t="s">
        <v>136</v>
      </c>
      <c r="C140" s="407"/>
      <c r="D140" s="407"/>
      <c r="E140" s="373">
        <f>J67</f>
        <v>39401878.366203561</v>
      </c>
      <c r="F140" s="374"/>
      <c r="G140" s="374"/>
      <c r="H140" s="375"/>
      <c r="I140" s="376" t="s">
        <v>262</v>
      </c>
      <c r="J140" s="377"/>
      <c r="K140" s="377"/>
      <c r="L140" s="378"/>
      <c r="M140" s="28"/>
      <c r="N140" s="28"/>
      <c r="O140" s="28"/>
      <c r="P140" s="28"/>
      <c r="Q140" s="21"/>
      <c r="R140" s="21"/>
      <c r="S140" s="21"/>
      <c r="T140" s="21"/>
      <c r="U140" s="21"/>
      <c r="V140" s="21"/>
      <c r="W140" s="21"/>
      <c r="X140" s="23"/>
      <c r="Y140" s="21"/>
      <c r="Z140" s="21"/>
      <c r="AA140" s="21"/>
      <c r="AB140" s="21"/>
      <c r="AC140" s="25"/>
      <c r="AD140" s="25"/>
      <c r="AE140" s="25"/>
      <c r="AF140" s="21"/>
      <c r="AG140" s="21"/>
    </row>
    <row r="141" spans="2:33" s="22" customFormat="1" ht="62.25" customHeight="1" x14ac:dyDescent="0.25">
      <c r="B141" s="371" t="s">
        <v>137</v>
      </c>
      <c r="C141" s="372"/>
      <c r="D141" s="372"/>
      <c r="E141" s="373">
        <f>AI109</f>
        <v>7706496.8278603461</v>
      </c>
      <c r="F141" s="374"/>
      <c r="G141" s="374"/>
      <c r="H141" s="375"/>
      <c r="I141" s="376" t="s">
        <v>138</v>
      </c>
      <c r="J141" s="377"/>
      <c r="K141" s="377"/>
      <c r="L141" s="378"/>
      <c r="M141" s="28"/>
      <c r="N141" s="28"/>
      <c r="O141" s="28"/>
      <c r="P141" s="28"/>
      <c r="Q141" s="21"/>
      <c r="R141" s="21"/>
      <c r="S141" s="21"/>
      <c r="T141" s="21"/>
      <c r="U141" s="21"/>
      <c r="V141" s="21"/>
      <c r="W141" s="21"/>
      <c r="X141" s="23"/>
      <c r="Y141" s="21"/>
      <c r="Z141" s="21"/>
      <c r="AA141" s="21"/>
      <c r="AB141" s="21"/>
      <c r="AC141" s="25"/>
      <c r="AD141" s="25"/>
      <c r="AE141" s="25"/>
      <c r="AF141" s="21"/>
      <c r="AG141" s="21"/>
    </row>
    <row r="142" spans="2:33" s="22" customFormat="1" ht="52.5" customHeight="1" x14ac:dyDescent="0.25">
      <c r="B142" s="371" t="s">
        <v>139</v>
      </c>
      <c r="C142" s="372"/>
      <c r="D142" s="372"/>
      <c r="E142" s="373">
        <f>H72</f>
        <v>3940187.8366203564</v>
      </c>
      <c r="F142" s="374"/>
      <c r="G142" s="374"/>
      <c r="H142" s="375"/>
      <c r="I142" s="376" t="s">
        <v>140</v>
      </c>
      <c r="J142" s="377"/>
      <c r="K142" s="377"/>
      <c r="L142" s="378"/>
      <c r="M142" s="28"/>
      <c r="N142" s="28"/>
      <c r="O142" s="28"/>
      <c r="P142" s="28"/>
      <c r="Q142" s="21"/>
      <c r="R142" s="21"/>
      <c r="S142" s="21"/>
      <c r="T142" s="21"/>
      <c r="U142" s="21"/>
      <c r="V142" s="21"/>
      <c r="W142" s="21"/>
      <c r="X142" s="23"/>
      <c r="Y142" s="21"/>
      <c r="Z142" s="21"/>
      <c r="AA142" s="21"/>
      <c r="AB142" s="21"/>
      <c r="AC142" s="25"/>
      <c r="AD142" s="25"/>
      <c r="AE142" s="25"/>
      <c r="AF142" s="21"/>
      <c r="AG142" s="21"/>
    </row>
    <row r="143" spans="2:33" s="22" customFormat="1" ht="47.25" customHeight="1" x14ac:dyDescent="0.25">
      <c r="B143" s="371" t="s">
        <v>141</v>
      </c>
      <c r="C143" s="372"/>
      <c r="D143" s="372"/>
      <c r="E143" s="373">
        <f>J119</f>
        <v>45011.631000000001</v>
      </c>
      <c r="F143" s="374"/>
      <c r="G143" s="374"/>
      <c r="H143" s="375"/>
      <c r="I143" s="379" t="s">
        <v>142</v>
      </c>
      <c r="J143" s="379"/>
      <c r="K143" s="379"/>
      <c r="L143" s="380"/>
      <c r="M143" s="28"/>
      <c r="N143" s="28"/>
      <c r="O143" s="28"/>
      <c r="P143" s="28"/>
      <c r="Q143" s="21"/>
      <c r="R143" s="21"/>
      <c r="S143" s="21"/>
      <c r="T143" s="21"/>
      <c r="U143" s="21"/>
      <c r="V143" s="21"/>
      <c r="W143" s="21"/>
      <c r="X143" s="23"/>
      <c r="Y143" s="21"/>
      <c r="Z143" s="21"/>
      <c r="AA143" s="21"/>
      <c r="AB143" s="21"/>
      <c r="AC143" s="25"/>
      <c r="AD143" s="25"/>
      <c r="AE143" s="25"/>
      <c r="AF143" s="21"/>
      <c r="AG143" s="21"/>
    </row>
    <row r="144" spans="2:33" s="22" customFormat="1" ht="45.75" customHeight="1" x14ac:dyDescent="0.25">
      <c r="B144" s="371" t="s">
        <v>200</v>
      </c>
      <c r="C144" s="372"/>
      <c r="D144" s="372"/>
      <c r="E144" s="373">
        <f>H124</f>
        <v>3152150.2692962848</v>
      </c>
      <c r="F144" s="374"/>
      <c r="G144" s="374"/>
      <c r="H144" s="375"/>
      <c r="I144" s="388" t="s">
        <v>143</v>
      </c>
      <c r="J144" s="388"/>
      <c r="K144" s="388"/>
      <c r="L144" s="389"/>
      <c r="M144" s="28"/>
      <c r="N144" s="28"/>
      <c r="O144" s="28"/>
      <c r="P144" s="28"/>
      <c r="Q144" s="21"/>
      <c r="R144" s="21"/>
      <c r="S144" s="21"/>
      <c r="T144" s="21"/>
      <c r="U144" s="21"/>
      <c r="V144" s="21"/>
      <c r="W144" s="21"/>
      <c r="X144" s="23"/>
      <c r="Y144" s="21"/>
      <c r="Z144" s="21"/>
      <c r="AA144" s="21"/>
      <c r="AB144" s="21"/>
      <c r="AC144" s="25"/>
      <c r="AD144" s="25"/>
      <c r="AE144" s="25"/>
      <c r="AF144" s="21"/>
      <c r="AG144" s="21"/>
    </row>
    <row r="145" spans="2:33" s="22" customFormat="1" ht="43.5" customHeight="1" x14ac:dyDescent="0.25">
      <c r="B145" s="371" t="s">
        <v>201</v>
      </c>
      <c r="C145" s="372"/>
      <c r="D145" s="372"/>
      <c r="E145" s="373">
        <f>H129</f>
        <v>1970093.9183101782</v>
      </c>
      <c r="F145" s="374"/>
      <c r="G145" s="374"/>
      <c r="H145" s="375"/>
      <c r="I145" s="388" t="s">
        <v>144</v>
      </c>
      <c r="J145" s="388"/>
      <c r="K145" s="388"/>
      <c r="L145" s="389"/>
      <c r="M145" s="28"/>
      <c r="N145" s="28"/>
      <c r="O145" s="28"/>
      <c r="P145" s="28"/>
      <c r="Q145" s="21"/>
      <c r="R145" s="21"/>
      <c r="S145" s="21"/>
      <c r="T145" s="21"/>
      <c r="U145" s="21"/>
      <c r="V145" s="21"/>
      <c r="W145" s="21"/>
      <c r="X145" s="23"/>
      <c r="Y145" s="21"/>
      <c r="Z145" s="21"/>
      <c r="AA145" s="21"/>
      <c r="AB145" s="21"/>
      <c r="AC145" s="25"/>
      <c r="AD145" s="25"/>
      <c r="AE145" s="25"/>
      <c r="AF145" s="21"/>
      <c r="AG145" s="21"/>
    </row>
    <row r="146" spans="2:33" s="22" customFormat="1" ht="41.25" customHeight="1" x14ac:dyDescent="0.25">
      <c r="B146" s="371" t="s">
        <v>202</v>
      </c>
      <c r="C146" s="372"/>
      <c r="D146" s="372"/>
      <c r="E146" s="373">
        <f>E140+E141+E142+E143+E144+E145</f>
        <v>56215818.849290729</v>
      </c>
      <c r="F146" s="374"/>
      <c r="G146" s="374"/>
      <c r="H146" s="375"/>
      <c r="I146" s="388"/>
      <c r="J146" s="388"/>
      <c r="K146" s="388"/>
      <c r="L146" s="389"/>
      <c r="M146" s="228"/>
      <c r="N146" s="228"/>
      <c r="O146" s="228"/>
      <c r="P146" s="228"/>
      <c r="Q146" s="21"/>
      <c r="R146" s="21"/>
      <c r="S146" s="21"/>
      <c r="T146" s="21"/>
      <c r="U146" s="21"/>
      <c r="V146" s="21"/>
      <c r="W146" s="21"/>
      <c r="X146" s="23"/>
      <c r="Y146" s="21"/>
      <c r="Z146" s="21"/>
      <c r="AA146" s="21"/>
      <c r="AB146" s="21"/>
      <c r="AC146" s="25"/>
      <c r="AD146" s="25"/>
      <c r="AE146" s="25"/>
      <c r="AF146" s="21"/>
      <c r="AG146" s="21"/>
    </row>
    <row r="147" spans="2:33" s="22" customFormat="1" ht="62.25" customHeight="1" x14ac:dyDescent="0.25">
      <c r="B147" s="371" t="s">
        <v>203</v>
      </c>
      <c r="C147" s="372"/>
      <c r="D147" s="372"/>
      <c r="E147" s="373">
        <f>'Monitoreo Post Remediación'!H43</f>
        <v>142253.35999999999</v>
      </c>
      <c r="F147" s="374"/>
      <c r="G147" s="374"/>
      <c r="H147" s="375"/>
      <c r="I147" s="379" t="s">
        <v>145</v>
      </c>
      <c r="J147" s="379"/>
      <c r="K147" s="379"/>
      <c r="L147" s="380"/>
      <c r="M147" s="228"/>
      <c r="N147" s="228"/>
      <c r="O147" s="247"/>
      <c r="P147" s="247"/>
      <c r="Q147" s="182"/>
      <c r="R147" s="21"/>
      <c r="S147" s="21"/>
      <c r="T147" s="21"/>
      <c r="U147" s="21"/>
      <c r="V147" s="21"/>
      <c r="W147" s="21"/>
      <c r="X147" s="23"/>
      <c r="Y147" s="21"/>
      <c r="Z147" s="21"/>
      <c r="AA147" s="21"/>
      <c r="AB147" s="21"/>
      <c r="AC147" s="25"/>
      <c r="AD147" s="25"/>
      <c r="AE147" s="25"/>
      <c r="AF147" s="21"/>
      <c r="AG147" s="21"/>
    </row>
    <row r="148" spans="2:33" s="22" customFormat="1" ht="37.5" customHeight="1" thickBot="1" x14ac:dyDescent="0.3">
      <c r="B148" s="390" t="s">
        <v>204</v>
      </c>
      <c r="C148" s="391"/>
      <c r="D148" s="391"/>
      <c r="E148" s="392">
        <f>E147+E146</f>
        <v>56358072.209290728</v>
      </c>
      <c r="F148" s="393"/>
      <c r="G148" s="393"/>
      <c r="H148" s="394"/>
      <c r="I148" s="395"/>
      <c r="J148" s="395"/>
      <c r="K148" s="395"/>
      <c r="L148" s="396"/>
      <c r="M148" s="315" t="s">
        <v>403</v>
      </c>
      <c r="N148" s="228"/>
      <c r="O148" s="248"/>
      <c r="P148" s="247"/>
      <c r="Q148" s="182"/>
      <c r="R148" s="21"/>
      <c r="S148" s="21"/>
      <c r="T148" s="21"/>
      <c r="U148" s="21"/>
      <c r="V148" s="21"/>
      <c r="W148" s="21"/>
      <c r="X148" s="23"/>
      <c r="Y148" s="21"/>
      <c r="Z148" s="21"/>
      <c r="AA148" s="21"/>
      <c r="AB148" s="21"/>
      <c r="AC148" s="25"/>
      <c r="AD148" s="25"/>
      <c r="AE148" s="25"/>
      <c r="AF148" s="21"/>
      <c r="AG148" s="21"/>
    </row>
    <row r="149" spans="2:33" s="22" customFormat="1" x14ac:dyDescent="0.25">
      <c r="B149" s="28"/>
      <c r="C149" s="28"/>
      <c r="D149" s="28"/>
      <c r="E149" s="28"/>
      <c r="F149" s="28"/>
      <c r="G149" s="28"/>
      <c r="H149" s="28"/>
      <c r="I149" s="28"/>
      <c r="J149" s="28"/>
      <c r="K149" s="28"/>
      <c r="L149" s="28"/>
      <c r="M149" s="228"/>
      <c r="N149" s="228"/>
      <c r="O149" s="247"/>
      <c r="P149" s="247"/>
      <c r="Q149" s="182"/>
      <c r="R149" s="21"/>
      <c r="S149" s="21"/>
      <c r="T149" s="21"/>
      <c r="U149" s="21"/>
      <c r="V149" s="21"/>
      <c r="W149" s="21"/>
      <c r="X149" s="23"/>
      <c r="Y149" s="21"/>
      <c r="Z149" s="21"/>
      <c r="AA149" s="21"/>
      <c r="AB149" s="21"/>
      <c r="AC149" s="25"/>
      <c r="AD149" s="25"/>
      <c r="AE149" s="25"/>
      <c r="AF149" s="21"/>
      <c r="AG149" s="21"/>
    </row>
    <row r="150" spans="2:33" s="22" customFormat="1" ht="20.25" hidden="1" x14ac:dyDescent="0.25">
      <c r="B150" s="28"/>
      <c r="C150" s="28"/>
      <c r="D150" s="28"/>
      <c r="E150" s="397" t="s">
        <v>146</v>
      </c>
      <c r="F150" s="397"/>
      <c r="G150" s="397"/>
      <c r="H150" s="47">
        <v>956367.8</v>
      </c>
      <c r="I150" s="30"/>
      <c r="J150" s="28"/>
      <c r="K150" s="28"/>
      <c r="L150" s="28"/>
      <c r="M150" s="228"/>
      <c r="N150" s="228"/>
      <c r="O150" s="247"/>
      <c r="P150" s="247"/>
      <c r="Q150" s="182"/>
      <c r="R150" s="21"/>
      <c r="S150" s="21"/>
      <c r="T150" s="21"/>
      <c r="U150" s="21"/>
      <c r="V150" s="21"/>
      <c r="W150" s="21"/>
      <c r="X150" s="23"/>
      <c r="Y150" s="21"/>
      <c r="Z150" s="21"/>
      <c r="AA150" s="21"/>
      <c r="AB150" s="21"/>
      <c r="AC150" s="25"/>
      <c r="AD150" s="25"/>
      <c r="AE150" s="25"/>
      <c r="AF150" s="21"/>
      <c r="AG150" s="21"/>
    </row>
    <row r="151" spans="2:33" s="22" customFormat="1" ht="32.25" hidden="1" customHeight="1" x14ac:dyDescent="0.25">
      <c r="B151" s="28"/>
      <c r="C151" s="28"/>
      <c r="D151" s="28"/>
      <c r="E151" s="398" t="s">
        <v>147</v>
      </c>
      <c r="F151" s="398"/>
      <c r="G151" s="398"/>
      <c r="H151" s="31">
        <f>0.3*H150</f>
        <v>286910.34000000003</v>
      </c>
      <c r="I151" s="30"/>
      <c r="J151" s="28"/>
      <c r="K151" s="28"/>
      <c r="L151" s="28"/>
      <c r="M151" s="228"/>
      <c r="N151" s="228"/>
      <c r="O151" s="247"/>
      <c r="P151" s="247"/>
      <c r="Q151" s="182"/>
      <c r="R151" s="21"/>
      <c r="S151" s="21"/>
      <c r="T151" s="21"/>
      <c r="U151" s="21"/>
      <c r="V151" s="21"/>
      <c r="W151" s="21"/>
      <c r="X151" s="23"/>
      <c r="Y151" s="21"/>
      <c r="Z151" s="21"/>
      <c r="AA151" s="21"/>
      <c r="AB151" s="21"/>
      <c r="AC151" s="25"/>
      <c r="AD151" s="25"/>
      <c r="AE151" s="25"/>
      <c r="AF151" s="21"/>
      <c r="AG151" s="21"/>
    </row>
    <row r="152" spans="2:33" s="22" customFormat="1" ht="50.25" hidden="1" customHeight="1" x14ac:dyDescent="0.25">
      <c r="B152" s="28"/>
      <c r="C152" s="28"/>
      <c r="D152" s="28"/>
      <c r="E152" s="387" t="s">
        <v>148</v>
      </c>
      <c r="F152" s="387"/>
      <c r="G152" s="387"/>
      <c r="H152" s="32">
        <f>E148-H150</f>
        <v>55401704.409290731</v>
      </c>
      <c r="I152" s="33"/>
      <c r="J152" s="48"/>
      <c r="K152" s="48"/>
      <c r="L152" s="48"/>
      <c r="M152" s="230"/>
      <c r="N152" s="230"/>
      <c r="O152" s="249"/>
      <c r="P152" s="249"/>
      <c r="Q152" s="182"/>
      <c r="R152" s="21"/>
      <c r="S152" s="21"/>
      <c r="T152" s="21"/>
      <c r="U152" s="21"/>
      <c r="V152" s="21"/>
      <c r="W152" s="21"/>
      <c r="X152" s="23"/>
      <c r="Y152" s="21"/>
      <c r="Z152" s="21"/>
      <c r="AA152" s="21"/>
      <c r="AB152" s="21"/>
      <c r="AC152" s="25"/>
      <c r="AD152" s="25"/>
      <c r="AE152" s="25"/>
      <c r="AF152" s="21"/>
      <c r="AG152" s="21"/>
    </row>
    <row r="153" spans="2:33" s="22" customFormat="1" ht="18" hidden="1" x14ac:dyDescent="0.25">
      <c r="B153" s="28"/>
      <c r="C153" s="28"/>
      <c r="D153" s="28"/>
      <c r="E153" s="28"/>
      <c r="F153" s="28"/>
      <c r="G153" s="30"/>
      <c r="H153" s="34"/>
      <c r="I153" s="33"/>
      <c r="J153" s="28"/>
      <c r="K153" s="28"/>
      <c r="L153" s="35"/>
      <c r="M153" s="228"/>
      <c r="N153" s="228"/>
      <c r="O153" s="247"/>
      <c r="P153" s="247"/>
      <c r="Q153" s="182"/>
      <c r="R153" s="21"/>
      <c r="S153" s="21"/>
      <c r="T153" s="21"/>
      <c r="U153" s="21"/>
      <c r="V153" s="21"/>
      <c r="W153" s="21"/>
      <c r="X153" s="23"/>
      <c r="Y153" s="21"/>
      <c r="Z153" s="21"/>
      <c r="AA153" s="21"/>
      <c r="AB153" s="21"/>
      <c r="AC153" s="25"/>
      <c r="AD153" s="25"/>
      <c r="AE153" s="25"/>
      <c r="AF153" s="21"/>
      <c r="AG153" s="21"/>
    </row>
    <row r="154" spans="2:33" s="22" customFormat="1" ht="18" hidden="1" x14ac:dyDescent="0.25">
      <c r="B154" s="28"/>
      <c r="C154" s="28"/>
      <c r="D154" s="28"/>
      <c r="E154" s="28"/>
      <c r="F154" s="28"/>
      <c r="G154" s="36" t="s">
        <v>149</v>
      </c>
      <c r="H154" s="37">
        <f>H152-H151</f>
        <v>55114794.069290727</v>
      </c>
      <c r="I154" s="33"/>
      <c r="J154" s="28"/>
      <c r="K154" s="28"/>
      <c r="L154" s="35"/>
      <c r="M154" s="228"/>
      <c r="N154" s="228"/>
      <c r="O154" s="247"/>
      <c r="P154" s="247"/>
      <c r="Q154" s="182"/>
      <c r="R154" s="21"/>
      <c r="S154" s="21"/>
      <c r="T154" s="21"/>
      <c r="U154" s="21"/>
      <c r="V154" s="21"/>
      <c r="W154" s="21"/>
      <c r="X154" s="23"/>
      <c r="Y154" s="21"/>
      <c r="Z154" s="21"/>
      <c r="AA154" s="21"/>
      <c r="AB154" s="21"/>
      <c r="AC154" s="25"/>
      <c r="AD154" s="25"/>
      <c r="AE154" s="25"/>
      <c r="AF154" s="21"/>
      <c r="AG154" s="21"/>
    </row>
    <row r="155" spans="2:33" s="22" customFormat="1" hidden="1" x14ac:dyDescent="0.25">
      <c r="B155" s="23"/>
      <c r="C155" s="18"/>
      <c r="D155" s="18"/>
      <c r="E155" s="18"/>
      <c r="F155" s="23"/>
      <c r="G155" s="21"/>
      <c r="H155" s="24"/>
      <c r="I155" s="25"/>
      <c r="J155" s="21"/>
      <c r="K155" s="21"/>
      <c r="L155" s="21"/>
      <c r="M155" s="229"/>
      <c r="N155" s="229"/>
      <c r="O155" s="229"/>
      <c r="P155" s="229"/>
      <c r="Q155" s="182"/>
      <c r="R155" s="21"/>
      <c r="S155" s="21"/>
      <c r="T155" s="21"/>
      <c r="U155" s="21"/>
      <c r="V155" s="21"/>
      <c r="W155" s="21"/>
      <c r="X155" s="23"/>
      <c r="Y155" s="21"/>
      <c r="Z155" s="21"/>
      <c r="AA155" s="21"/>
      <c r="AB155" s="21"/>
      <c r="AC155" s="25"/>
      <c r="AD155" s="25"/>
      <c r="AE155" s="25"/>
      <c r="AF155" s="21"/>
      <c r="AG155" s="21"/>
    </row>
    <row r="156" spans="2:33" s="22" customFormat="1" hidden="1" x14ac:dyDescent="0.25">
      <c r="B156" s="23"/>
      <c r="C156" s="18"/>
      <c r="D156" s="18"/>
      <c r="E156" s="18"/>
      <c r="F156" s="23"/>
      <c r="G156" s="21"/>
      <c r="H156" s="24"/>
      <c r="I156" s="25"/>
      <c r="J156" s="21"/>
      <c r="K156" s="21"/>
      <c r="L156" s="21"/>
      <c r="M156" s="229"/>
      <c r="N156" s="229"/>
      <c r="O156" s="229"/>
      <c r="P156" s="229"/>
      <c r="Q156" s="182"/>
      <c r="R156" s="21"/>
      <c r="S156" s="21"/>
      <c r="T156" s="21"/>
      <c r="U156" s="21"/>
      <c r="V156" s="21"/>
      <c r="W156" s="21"/>
      <c r="X156" s="23"/>
      <c r="Y156" s="21"/>
      <c r="Z156" s="21"/>
      <c r="AA156" s="21"/>
      <c r="AB156" s="21"/>
      <c r="AC156" s="25"/>
      <c r="AD156" s="25"/>
      <c r="AE156" s="25"/>
      <c r="AF156" s="21"/>
      <c r="AG156" s="21"/>
    </row>
    <row r="157" spans="2:33" ht="20.45" customHeight="1" thickBot="1" x14ac:dyDescent="0.3">
      <c r="C157" s="7"/>
      <c r="D157" s="7"/>
      <c r="E157" s="7"/>
      <c r="F157" s="7"/>
      <c r="G157" s="7"/>
      <c r="H157" s="7"/>
      <c r="I157" s="7"/>
      <c r="J157" s="253"/>
      <c r="K157" s="231"/>
      <c r="L157" s="231"/>
      <c r="M157" s="231"/>
      <c r="N157" s="232"/>
      <c r="O157" s="250"/>
      <c r="P157" s="250"/>
      <c r="Q157" s="220"/>
      <c r="R157" s="12"/>
      <c r="S157" s="11"/>
      <c r="T157" s="11"/>
      <c r="U157" s="11"/>
      <c r="V157" s="11"/>
    </row>
    <row r="158" spans="2:33" ht="34.5" customHeight="1" x14ac:dyDescent="0.25">
      <c r="C158" s="7"/>
      <c r="D158" s="7"/>
      <c r="E158" s="459" t="s">
        <v>146</v>
      </c>
      <c r="F158" s="460"/>
      <c r="G158" s="460"/>
      <c r="H158" s="119">
        <f>30970527.12</f>
        <v>30970527.120000001</v>
      </c>
      <c r="I158" s="7"/>
      <c r="J158" s="253"/>
      <c r="K158" s="231"/>
      <c r="L158" s="231"/>
      <c r="M158" s="233"/>
      <c r="N158" s="232"/>
      <c r="O158" s="251"/>
      <c r="P158" s="252"/>
      <c r="Q158" s="220"/>
      <c r="R158" s="12"/>
      <c r="S158" s="11"/>
      <c r="T158" s="11"/>
      <c r="U158" s="11"/>
      <c r="V158" s="11"/>
    </row>
    <row r="159" spans="2:33" ht="32.25" customHeight="1" x14ac:dyDescent="0.25">
      <c r="C159" s="7"/>
      <c r="D159" s="7"/>
      <c r="E159" s="461" t="s">
        <v>147</v>
      </c>
      <c r="F159" s="462"/>
      <c r="G159" s="462"/>
      <c r="H159" s="120">
        <f>0.3*H158</f>
        <v>9291158.1359999999</v>
      </c>
      <c r="I159" s="7"/>
      <c r="J159" s="253"/>
      <c r="K159" s="231"/>
      <c r="L159" s="231"/>
      <c r="M159" s="234"/>
      <c r="N159" s="232"/>
      <c r="O159" s="250"/>
      <c r="P159" s="252"/>
      <c r="Q159" s="220"/>
      <c r="R159" s="12"/>
      <c r="S159" s="11"/>
      <c r="T159" s="11"/>
      <c r="U159" s="11"/>
      <c r="V159" s="11"/>
    </row>
    <row r="160" spans="2:33" ht="52.5" customHeight="1" thickBot="1" x14ac:dyDescent="0.3">
      <c r="E160" s="450" t="s">
        <v>148</v>
      </c>
      <c r="F160" s="451"/>
      <c r="G160" s="451"/>
      <c r="H160" s="121">
        <f>H158-E148</f>
        <v>-25387545.089290727</v>
      </c>
      <c r="J160" s="254"/>
      <c r="K160" s="232"/>
      <c r="L160" s="232"/>
      <c r="M160" s="232"/>
      <c r="N160" s="232"/>
      <c r="O160" s="250"/>
      <c r="P160" s="252"/>
      <c r="Q160" s="220"/>
      <c r="R160" s="12"/>
      <c r="S160" s="11"/>
      <c r="T160" s="11"/>
      <c r="U160" s="11"/>
      <c r="V160" s="11"/>
    </row>
    <row r="161" spans="3:22" x14ac:dyDescent="0.25">
      <c r="O161" s="11"/>
      <c r="P161" s="11"/>
      <c r="Q161" s="13"/>
      <c r="R161" s="12"/>
      <c r="S161" s="11"/>
      <c r="T161" s="11"/>
      <c r="U161" s="11"/>
      <c r="V161" s="11"/>
    </row>
    <row r="162" spans="3:22" x14ac:dyDescent="0.25">
      <c r="O162" s="11"/>
      <c r="P162" s="11"/>
      <c r="Q162" s="13"/>
      <c r="R162" s="12"/>
      <c r="S162" s="11"/>
      <c r="T162" s="11"/>
      <c r="U162" s="11"/>
      <c r="V162" s="11"/>
    </row>
    <row r="163" spans="3:22" x14ac:dyDescent="0.25">
      <c r="O163" s="11"/>
      <c r="P163" s="11"/>
      <c r="Q163" s="11"/>
      <c r="R163" s="11"/>
      <c r="S163" s="11"/>
      <c r="T163" s="11"/>
      <c r="U163" s="11"/>
      <c r="V163" s="11"/>
    </row>
    <row r="164" spans="3:22" x14ac:dyDescent="0.25">
      <c r="O164" s="11"/>
      <c r="P164" s="11"/>
      <c r="Q164" s="11"/>
      <c r="R164" s="11"/>
      <c r="S164" s="11"/>
      <c r="T164" s="11"/>
      <c r="U164" s="11"/>
      <c r="V164" s="11"/>
    </row>
    <row r="165" spans="3:22" x14ac:dyDescent="0.25">
      <c r="O165" s="11"/>
      <c r="P165" s="11"/>
      <c r="Q165" s="11"/>
      <c r="R165" s="11"/>
      <c r="S165" s="11"/>
      <c r="T165" s="11"/>
      <c r="U165" s="11"/>
      <c r="V165" s="11"/>
    </row>
    <row r="166" spans="3:22" x14ac:dyDescent="0.25">
      <c r="O166" s="11"/>
      <c r="P166" s="11"/>
      <c r="Q166" s="11"/>
      <c r="R166" s="11"/>
      <c r="S166" s="11"/>
      <c r="T166" s="11"/>
      <c r="U166" s="11"/>
      <c r="V166" s="11"/>
    </row>
    <row r="173" spans="3:22" x14ac:dyDescent="0.25">
      <c r="C173" s="7"/>
      <c r="D173" s="7"/>
      <c r="E173" s="7"/>
      <c r="F173" s="7"/>
      <c r="G173" s="7"/>
      <c r="H173" s="7"/>
      <c r="I173" s="7"/>
      <c r="J173" s="8"/>
      <c r="K173" s="7"/>
      <c r="L173" s="7"/>
      <c r="M173" s="7"/>
    </row>
    <row r="174" spans="3:22" x14ac:dyDescent="0.25">
      <c r="C174" s="7"/>
      <c r="D174" s="7"/>
      <c r="E174" s="7"/>
      <c r="F174" s="7"/>
      <c r="G174" s="7"/>
      <c r="H174" s="7"/>
      <c r="I174" s="7"/>
      <c r="J174" s="8"/>
      <c r="K174" s="7"/>
      <c r="L174" s="7"/>
      <c r="M174" s="7"/>
    </row>
    <row r="175" spans="3:22" x14ac:dyDescent="0.25">
      <c r="C175" s="7"/>
      <c r="D175" s="7"/>
      <c r="E175" s="7"/>
      <c r="F175" s="7"/>
      <c r="G175" s="7"/>
      <c r="H175" s="7"/>
      <c r="I175" s="7"/>
      <c r="J175" s="8"/>
      <c r="K175" s="7"/>
      <c r="L175" s="7"/>
      <c r="M175" s="7"/>
    </row>
    <row r="176" spans="3:22" x14ac:dyDescent="0.25">
      <c r="C176" s="7"/>
      <c r="D176" s="7"/>
      <c r="E176" s="7"/>
      <c r="F176" s="7"/>
      <c r="G176" s="7"/>
      <c r="H176" s="7"/>
      <c r="I176" s="7"/>
      <c r="J176" s="8"/>
      <c r="K176" s="7"/>
      <c r="L176" s="7"/>
      <c r="M176" s="7"/>
    </row>
  </sheetData>
  <mergeCells count="286">
    <mergeCell ref="H65:I65"/>
    <mergeCell ref="C53:E54"/>
    <mergeCell ref="F53:F54"/>
    <mergeCell ref="C46:E46"/>
    <mergeCell ref="C49:E50"/>
    <mergeCell ref="F49:F50"/>
    <mergeCell ref="G49:G50"/>
    <mergeCell ref="H49:H50"/>
    <mergeCell ref="C57:E57"/>
    <mergeCell ref="C58:E58"/>
    <mergeCell ref="B63:P63"/>
    <mergeCell ref="E160:G160"/>
    <mergeCell ref="B117:D117"/>
    <mergeCell ref="E117:G117"/>
    <mergeCell ref="H117:I117"/>
    <mergeCell ref="B132:D132"/>
    <mergeCell ref="E132:H132"/>
    <mergeCell ref="I132:L132"/>
    <mergeCell ref="B133:D133"/>
    <mergeCell ref="E133:H133"/>
    <mergeCell ref="I133:L133"/>
    <mergeCell ref="B134:D134"/>
    <mergeCell ref="J117:L117"/>
    <mergeCell ref="E158:G158"/>
    <mergeCell ref="E159:G159"/>
    <mergeCell ref="E134:H134"/>
    <mergeCell ref="I134:L134"/>
    <mergeCell ref="B135:D135"/>
    <mergeCell ref="E135:H135"/>
    <mergeCell ref="I135:L135"/>
    <mergeCell ref="B136:D136"/>
    <mergeCell ref="E136:H136"/>
    <mergeCell ref="I136:L136"/>
    <mergeCell ref="B137:D137"/>
    <mergeCell ref="B128:D128"/>
    <mergeCell ref="E128:G128"/>
    <mergeCell ref="H128:I128"/>
    <mergeCell ref="J128:L128"/>
    <mergeCell ref="J129:L129"/>
    <mergeCell ref="B131:L131"/>
    <mergeCell ref="E122:G122"/>
    <mergeCell ref="H122:I122"/>
    <mergeCell ref="J122:L122"/>
    <mergeCell ref="B122:D122"/>
    <mergeCell ref="B123:D123"/>
    <mergeCell ref="E123:G123"/>
    <mergeCell ref="H123:I123"/>
    <mergeCell ref="J124:L124"/>
    <mergeCell ref="B124:G124"/>
    <mergeCell ref="H124:I124"/>
    <mergeCell ref="H129:I129"/>
    <mergeCell ref="B129:G129"/>
    <mergeCell ref="E127:G127"/>
    <mergeCell ref="H127:I127"/>
    <mergeCell ref="B127:D127"/>
    <mergeCell ref="B126:I126"/>
    <mergeCell ref="C5:E5"/>
    <mergeCell ref="C44:E44"/>
    <mergeCell ref="C32:E32"/>
    <mergeCell ref="C39:E39"/>
    <mergeCell ref="C40:E41"/>
    <mergeCell ref="E71:G71"/>
    <mergeCell ref="H71:I71"/>
    <mergeCell ref="J65:L65"/>
    <mergeCell ref="B66:D66"/>
    <mergeCell ref="E66:G66"/>
    <mergeCell ref="H66:I66"/>
    <mergeCell ref="J66:L66"/>
    <mergeCell ref="J67:L67"/>
    <mergeCell ref="E70:G70"/>
    <mergeCell ref="H70:I70"/>
    <mergeCell ref="J70:L70"/>
    <mergeCell ref="C18:E18"/>
    <mergeCell ref="C19:E25"/>
    <mergeCell ref="F19:F25"/>
    <mergeCell ref="G19:G25"/>
    <mergeCell ref="H26:H30"/>
    <mergeCell ref="I26:I30"/>
    <mergeCell ref="I33:I34"/>
    <mergeCell ref="I53:I54"/>
    <mergeCell ref="C14:E17"/>
    <mergeCell ref="B14:B17"/>
    <mergeCell ref="F14:F17"/>
    <mergeCell ref="G14:G17"/>
    <mergeCell ref="H14:H17"/>
    <mergeCell ref="I14:I17"/>
    <mergeCell ref="B59:B61"/>
    <mergeCell ref="C59:E61"/>
    <mergeCell ref="F59:F61"/>
    <mergeCell ref="G59:G61"/>
    <mergeCell ref="H59:H61"/>
    <mergeCell ref="I59:I61"/>
    <mergeCell ref="B33:B34"/>
    <mergeCell ref="B26:B30"/>
    <mergeCell ref="B55:B56"/>
    <mergeCell ref="B53:B54"/>
    <mergeCell ref="H19:H25"/>
    <mergeCell ref="I19:I25"/>
    <mergeCell ref="B19:B25"/>
    <mergeCell ref="H33:H34"/>
    <mergeCell ref="C36:E37"/>
    <mergeCell ref="F55:F56"/>
    <mergeCell ref="G55:G56"/>
    <mergeCell ref="B49:B50"/>
    <mergeCell ref="B76:B77"/>
    <mergeCell ref="C76:E77"/>
    <mergeCell ref="F76:F77"/>
    <mergeCell ref="G76:G77"/>
    <mergeCell ref="H76:H77"/>
    <mergeCell ref="G83:G89"/>
    <mergeCell ref="J71:L71"/>
    <mergeCell ref="B71:D71"/>
    <mergeCell ref="I76:I77"/>
    <mergeCell ref="B78:B82"/>
    <mergeCell ref="C78:E82"/>
    <mergeCell ref="F78:F82"/>
    <mergeCell ref="G78:G82"/>
    <mergeCell ref="H78:H82"/>
    <mergeCell ref="I78:I82"/>
    <mergeCell ref="H83:H89"/>
    <mergeCell ref="I83:I89"/>
    <mergeCell ref="B72:G72"/>
    <mergeCell ref="B83:B89"/>
    <mergeCell ref="G33:G34"/>
    <mergeCell ref="F33:F34"/>
    <mergeCell ref="C33:E34"/>
    <mergeCell ref="C35:E35"/>
    <mergeCell ref="C26:E30"/>
    <mergeCell ref="F26:F30"/>
    <mergeCell ref="G26:G30"/>
    <mergeCell ref="C83:E89"/>
    <mergeCell ref="F83:F89"/>
    <mergeCell ref="B67:I67"/>
    <mergeCell ref="E65:G65"/>
    <mergeCell ref="B62:AG62"/>
    <mergeCell ref="H55:H56"/>
    <mergeCell ref="F36:F37"/>
    <mergeCell ref="G36:G37"/>
    <mergeCell ref="H36:H37"/>
    <mergeCell ref="I36:I37"/>
    <mergeCell ref="C47:AG47"/>
    <mergeCell ref="C48:E48"/>
    <mergeCell ref="C45:E45"/>
    <mergeCell ref="C55:E56"/>
    <mergeCell ref="I55:I56"/>
    <mergeCell ref="G53:G54"/>
    <mergeCell ref="H53:H54"/>
    <mergeCell ref="I137:L137"/>
    <mergeCell ref="B138:D138"/>
    <mergeCell ref="E138:H138"/>
    <mergeCell ref="I138:L138"/>
    <mergeCell ref="B139:D139"/>
    <mergeCell ref="E139:H139"/>
    <mergeCell ref="I139:L139"/>
    <mergeCell ref="B140:D140"/>
    <mergeCell ref="E140:H140"/>
    <mergeCell ref="I140:L140"/>
    <mergeCell ref="E137:H137"/>
    <mergeCell ref="B141:D141"/>
    <mergeCell ref="E141:H141"/>
    <mergeCell ref="I141:L141"/>
    <mergeCell ref="E152:G152"/>
    <mergeCell ref="B144:D144"/>
    <mergeCell ref="E144:H144"/>
    <mergeCell ref="I144:L144"/>
    <mergeCell ref="B145:D145"/>
    <mergeCell ref="E145:H145"/>
    <mergeCell ref="I145:L145"/>
    <mergeCell ref="B146:D146"/>
    <mergeCell ref="E146:H146"/>
    <mergeCell ref="I146:L146"/>
    <mergeCell ref="B147:D147"/>
    <mergeCell ref="E147:H147"/>
    <mergeCell ref="I147:L147"/>
    <mergeCell ref="B148:D148"/>
    <mergeCell ref="E148:H148"/>
    <mergeCell ref="I148:L148"/>
    <mergeCell ref="E150:G150"/>
    <mergeCell ref="E151:G151"/>
    <mergeCell ref="G2:AH2"/>
    <mergeCell ref="B142:D142"/>
    <mergeCell ref="E142:H142"/>
    <mergeCell ref="I142:L142"/>
    <mergeCell ref="B143:D143"/>
    <mergeCell ref="E143:H143"/>
    <mergeCell ref="I143:L143"/>
    <mergeCell ref="J127:L127"/>
    <mergeCell ref="H72:I72"/>
    <mergeCell ref="C75:AG75"/>
    <mergeCell ref="C90:E90"/>
    <mergeCell ref="C93:E94"/>
    <mergeCell ref="G93:G94"/>
    <mergeCell ref="H93:H94"/>
    <mergeCell ref="I93:I94"/>
    <mergeCell ref="F93:F94"/>
    <mergeCell ref="B115:D115"/>
    <mergeCell ref="E115:G115"/>
    <mergeCell ref="H115:I115"/>
    <mergeCell ref="J115:L115"/>
    <mergeCell ref="B118:D118"/>
    <mergeCell ref="E118:G118"/>
    <mergeCell ref="H118:I118"/>
    <mergeCell ref="J118:L118"/>
    <mergeCell ref="B109:AG109"/>
    <mergeCell ref="B113:D113"/>
    <mergeCell ref="B112:L112"/>
    <mergeCell ref="B93:B94"/>
    <mergeCell ref="E113:G113"/>
    <mergeCell ref="C105:E105"/>
    <mergeCell ref="C106:E106"/>
    <mergeCell ref="C107:E107"/>
    <mergeCell ref="F95:F96"/>
    <mergeCell ref="G95:G96"/>
    <mergeCell ref="H95:H96"/>
    <mergeCell ref="I95:I96"/>
    <mergeCell ref="C97:E97"/>
    <mergeCell ref="C98:E98"/>
    <mergeCell ref="C99:E99"/>
    <mergeCell ref="C100:E100"/>
    <mergeCell ref="C104:E104"/>
    <mergeCell ref="B101:B103"/>
    <mergeCell ref="H113:I113"/>
    <mergeCell ref="J113:L113"/>
    <mergeCell ref="B95:B96"/>
    <mergeCell ref="C95:E96"/>
    <mergeCell ref="B4:AH4"/>
    <mergeCell ref="C6:AG6"/>
    <mergeCell ref="C13:AG13"/>
    <mergeCell ref="C31:AG31"/>
    <mergeCell ref="C38:AG38"/>
    <mergeCell ref="C74:E74"/>
    <mergeCell ref="B7:B9"/>
    <mergeCell ref="F7:F9"/>
    <mergeCell ref="C7:E9"/>
    <mergeCell ref="G7:G9"/>
    <mergeCell ref="H7:H9"/>
    <mergeCell ref="I7:I9"/>
    <mergeCell ref="B10:B12"/>
    <mergeCell ref="B40:B41"/>
    <mergeCell ref="F40:F41"/>
    <mergeCell ref="G40:G41"/>
    <mergeCell ref="H40:H41"/>
    <mergeCell ref="I40:I41"/>
    <mergeCell ref="B36:B37"/>
    <mergeCell ref="I10:I12"/>
    <mergeCell ref="C10:E12"/>
    <mergeCell ref="F10:F12"/>
    <mergeCell ref="G10:G12"/>
    <mergeCell ref="H10:H12"/>
    <mergeCell ref="B116:D116"/>
    <mergeCell ref="E116:G116"/>
    <mergeCell ref="H116:I116"/>
    <mergeCell ref="J116:L116"/>
    <mergeCell ref="C108:E108"/>
    <mergeCell ref="B121:I121"/>
    <mergeCell ref="B65:D65"/>
    <mergeCell ref="B64:L64"/>
    <mergeCell ref="B70:D70"/>
    <mergeCell ref="B69:I69"/>
    <mergeCell ref="J119:L119"/>
    <mergeCell ref="B114:D114"/>
    <mergeCell ref="E114:G114"/>
    <mergeCell ref="H114:I114"/>
    <mergeCell ref="J114:L114"/>
    <mergeCell ref="B119:I119"/>
    <mergeCell ref="C101:E103"/>
    <mergeCell ref="F101:F103"/>
    <mergeCell ref="G101:G103"/>
    <mergeCell ref="H101:H103"/>
    <mergeCell ref="I101:I103"/>
    <mergeCell ref="J72:L72"/>
    <mergeCell ref="C91:E91"/>
    <mergeCell ref="C92:AG92"/>
    <mergeCell ref="G42:G43"/>
    <mergeCell ref="H42:H43"/>
    <mergeCell ref="I42:I43"/>
    <mergeCell ref="B51:B52"/>
    <mergeCell ref="C51:E52"/>
    <mergeCell ref="F51:F52"/>
    <mergeCell ref="G51:G52"/>
    <mergeCell ref="H51:H52"/>
    <mergeCell ref="I51:I52"/>
    <mergeCell ref="C42:E43"/>
    <mergeCell ref="B42:B43"/>
    <mergeCell ref="F42:F43"/>
    <mergeCell ref="I49:I50"/>
  </mergeCells>
  <printOptions horizontalCentered="1"/>
  <pageMargins left="0.70866141732283472" right="0.70866141732283472" top="0.74803149606299213" bottom="0.74803149606299213" header="0.31496062992125984" footer="0.31496062992125984"/>
  <pageSetup paperSize="8" scale="2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pageSetUpPr fitToPage="1"/>
  </sheetPr>
  <dimension ref="A1:M148"/>
  <sheetViews>
    <sheetView tabSelected="1" view="pageBreakPreview" topLeftCell="A115" zoomScale="55" zoomScaleNormal="70" zoomScaleSheetLayoutView="55" workbookViewId="0">
      <selection activeCell="O144" sqref="O144"/>
    </sheetView>
  </sheetViews>
  <sheetFormatPr baseColWidth="10" defaultRowHeight="15" x14ac:dyDescent="0.25"/>
  <cols>
    <col min="1" max="1" width="24.7109375" style="9" customWidth="1"/>
    <col min="2" max="3" width="11.42578125" style="9"/>
    <col min="4" max="4" width="35.5703125" style="3" customWidth="1"/>
    <col min="5" max="5" width="25.5703125" style="3" customWidth="1"/>
    <col min="6" max="6" width="32.42578125" style="3" customWidth="1"/>
    <col min="7" max="7" width="21.7109375" style="3" customWidth="1"/>
    <col min="8" max="8" width="15.5703125" style="3" customWidth="1"/>
    <col min="9" max="9" width="15.28515625" style="3" customWidth="1"/>
    <col min="10" max="10" width="22.28515625" customWidth="1"/>
    <col min="11" max="11" width="35.85546875" customWidth="1"/>
  </cols>
  <sheetData>
    <row r="1" spans="4:11" s="9" customFormat="1" ht="3.75" customHeight="1" thickBot="1" x14ac:dyDescent="0.3">
      <c r="D1" s="3"/>
    </row>
    <row r="2" spans="4:11" s="9" customFormat="1" ht="20.25" customHeight="1" thickBot="1" x14ac:dyDescent="0.3">
      <c r="D2" s="3"/>
      <c r="E2" s="500" t="s">
        <v>308</v>
      </c>
      <c r="F2" s="501"/>
      <c r="G2" s="501"/>
      <c r="H2" s="501"/>
      <c r="I2" s="501"/>
      <c r="J2" s="501"/>
      <c r="K2" s="502"/>
    </row>
    <row r="3" spans="4:11" s="9" customFormat="1" ht="7.5" customHeight="1" thickBot="1" x14ac:dyDescent="0.35">
      <c r="D3" s="3"/>
      <c r="E3" s="10"/>
      <c r="F3" s="10"/>
      <c r="G3" s="10"/>
      <c r="H3" s="10"/>
      <c r="I3" s="10"/>
      <c r="J3" s="10"/>
      <c r="K3" s="10"/>
    </row>
    <row r="4" spans="4:11" s="9" customFormat="1" ht="19.5" customHeight="1" x14ac:dyDescent="0.25">
      <c r="D4" s="3"/>
      <c r="E4" s="479" t="s">
        <v>300</v>
      </c>
      <c r="F4" s="480"/>
      <c r="G4" s="480"/>
      <c r="H4" s="480"/>
      <c r="I4" s="480"/>
      <c r="J4" s="480"/>
      <c r="K4" s="481"/>
    </row>
    <row r="5" spans="4:11" s="9" customFormat="1" ht="20.25" customHeight="1" x14ac:dyDescent="0.25">
      <c r="D5" s="3"/>
      <c r="E5" s="485" t="s">
        <v>134</v>
      </c>
      <c r="F5" s="486"/>
      <c r="G5" s="97" t="s">
        <v>167</v>
      </c>
      <c r="H5" s="95" t="s">
        <v>168</v>
      </c>
      <c r="I5" s="95" t="s">
        <v>169</v>
      </c>
      <c r="J5" s="95" t="s">
        <v>170</v>
      </c>
      <c r="K5" s="96" t="s">
        <v>171</v>
      </c>
    </row>
    <row r="6" spans="4:11" s="9" customFormat="1" ht="27" customHeight="1" x14ac:dyDescent="0.25">
      <c r="D6" s="3"/>
      <c r="E6" s="469" t="s">
        <v>174</v>
      </c>
      <c r="F6" s="494"/>
      <c r="G6" s="218">
        <v>1</v>
      </c>
      <c r="H6" s="218">
        <v>1</v>
      </c>
      <c r="I6" s="218">
        <v>2</v>
      </c>
      <c r="J6" s="218">
        <v>351</v>
      </c>
      <c r="K6" s="219">
        <f>G6*I6*J6*H6</f>
        <v>702</v>
      </c>
    </row>
    <row r="7" spans="4:11" s="9" customFormat="1" ht="21.75" customHeight="1" x14ac:dyDescent="0.25">
      <c r="D7" s="3"/>
      <c r="E7" s="469" t="s">
        <v>175</v>
      </c>
      <c r="F7" s="494"/>
      <c r="G7" s="218">
        <v>1</v>
      </c>
      <c r="H7" s="218">
        <v>1</v>
      </c>
      <c r="I7" s="218">
        <v>2</v>
      </c>
      <c r="J7" s="218">
        <v>3500</v>
      </c>
      <c r="K7" s="219">
        <f t="shared" ref="K7:K8" si="0">G7*I7*J7*H7</f>
        <v>7000</v>
      </c>
    </row>
    <row r="8" spans="4:11" s="9" customFormat="1" ht="22.5" customHeight="1" x14ac:dyDescent="0.25">
      <c r="D8" s="3"/>
      <c r="E8" s="469" t="s">
        <v>102</v>
      </c>
      <c r="F8" s="494"/>
      <c r="G8" s="218">
        <v>2</v>
      </c>
      <c r="H8" s="218">
        <v>4</v>
      </c>
      <c r="I8" s="218">
        <v>2</v>
      </c>
      <c r="J8" s="218">
        <v>60</v>
      </c>
      <c r="K8" s="219">
        <f t="shared" si="0"/>
        <v>960</v>
      </c>
    </row>
    <row r="9" spans="4:11" s="9" customFormat="1" ht="20.25" customHeight="1" x14ac:dyDescent="0.25">
      <c r="D9" s="3"/>
      <c r="E9" s="497" t="s">
        <v>173</v>
      </c>
      <c r="F9" s="498"/>
      <c r="G9" s="498"/>
      <c r="H9" s="498"/>
      <c r="I9" s="498"/>
      <c r="J9" s="498"/>
      <c r="K9" s="499"/>
    </row>
    <row r="10" spans="4:11" s="9" customFormat="1" ht="28.5" customHeight="1" x14ac:dyDescent="0.25">
      <c r="D10" s="3"/>
      <c r="E10" s="495" t="s">
        <v>176</v>
      </c>
      <c r="F10" s="494"/>
      <c r="G10" s="218">
        <v>2</v>
      </c>
      <c r="H10" s="218">
        <v>1</v>
      </c>
      <c r="I10" s="218">
        <v>2</v>
      </c>
      <c r="J10" s="218">
        <v>49.5</v>
      </c>
      <c r="K10" s="219">
        <f t="shared" ref="K10" si="1">G10*I10*J10*H10</f>
        <v>198</v>
      </c>
    </row>
    <row r="11" spans="4:11" s="9" customFormat="1" ht="16.5" x14ac:dyDescent="0.25">
      <c r="D11" s="3"/>
      <c r="E11" s="497" t="s">
        <v>177</v>
      </c>
      <c r="F11" s="498"/>
      <c r="G11" s="498"/>
      <c r="H11" s="498"/>
      <c r="I11" s="498"/>
      <c r="J11" s="498"/>
      <c r="K11" s="499"/>
    </row>
    <row r="12" spans="4:11" s="9" customFormat="1" ht="16.5" x14ac:dyDescent="0.25">
      <c r="D12" s="3"/>
      <c r="E12" s="495" t="s">
        <v>178</v>
      </c>
      <c r="F12" s="216" t="s">
        <v>179</v>
      </c>
      <c r="G12" s="218">
        <v>2</v>
      </c>
      <c r="H12" s="218">
        <v>5</v>
      </c>
      <c r="I12" s="218">
        <v>2</v>
      </c>
      <c r="J12" s="218">
        <v>115.5</v>
      </c>
      <c r="K12" s="219">
        <f>G12*I12*J12*H12</f>
        <v>2310</v>
      </c>
    </row>
    <row r="13" spans="4:11" s="9" customFormat="1" ht="16.5" x14ac:dyDescent="0.25">
      <c r="D13" s="3"/>
      <c r="E13" s="495"/>
      <c r="F13" s="216" t="s">
        <v>180</v>
      </c>
      <c r="G13" s="218">
        <v>2</v>
      </c>
      <c r="H13" s="218">
        <v>5</v>
      </c>
      <c r="I13" s="218">
        <v>2</v>
      </c>
      <c r="J13" s="218">
        <v>140.25</v>
      </c>
      <c r="K13" s="219">
        <f t="shared" ref="K13:K17" si="2">G13*I13*J13*H13</f>
        <v>2805</v>
      </c>
    </row>
    <row r="14" spans="4:11" s="9" customFormat="1" ht="16.5" x14ac:dyDescent="0.25">
      <c r="D14" s="3"/>
      <c r="E14" s="465" t="s">
        <v>181</v>
      </c>
      <c r="F14" s="216" t="s">
        <v>182</v>
      </c>
      <c r="G14" s="218">
        <v>2</v>
      </c>
      <c r="H14" s="218">
        <v>5</v>
      </c>
      <c r="I14" s="218">
        <v>2</v>
      </c>
      <c r="J14" s="218">
        <v>29.7</v>
      </c>
      <c r="K14" s="219">
        <f t="shared" si="2"/>
        <v>594</v>
      </c>
    </row>
    <row r="15" spans="4:11" s="9" customFormat="1" ht="25.5" customHeight="1" x14ac:dyDescent="0.25">
      <c r="D15" s="3"/>
      <c r="E15" s="487"/>
      <c r="F15" s="216" t="s">
        <v>184</v>
      </c>
      <c r="G15" s="218">
        <v>2</v>
      </c>
      <c r="H15" s="218">
        <v>5</v>
      </c>
      <c r="I15" s="218">
        <v>2</v>
      </c>
      <c r="J15" s="218">
        <v>29.7</v>
      </c>
      <c r="K15" s="219">
        <f t="shared" si="2"/>
        <v>594</v>
      </c>
    </row>
    <row r="16" spans="4:11" s="3" customFormat="1" ht="16.5" x14ac:dyDescent="0.25">
      <c r="E16" s="466"/>
      <c r="F16" s="216" t="s">
        <v>185</v>
      </c>
      <c r="G16" s="218">
        <v>2</v>
      </c>
      <c r="H16" s="218">
        <v>5</v>
      </c>
      <c r="I16" s="218">
        <v>2</v>
      </c>
      <c r="J16" s="218">
        <v>36.299999999999997</v>
      </c>
      <c r="K16" s="219">
        <f t="shared" si="2"/>
        <v>726</v>
      </c>
    </row>
    <row r="17" spans="4:11" s="3" customFormat="1" ht="16.5" x14ac:dyDescent="0.25">
      <c r="E17" s="470" t="s">
        <v>366</v>
      </c>
      <c r="F17" s="471"/>
      <c r="G17" s="218">
        <v>1</v>
      </c>
      <c r="H17" s="218">
        <v>5</v>
      </c>
      <c r="I17" s="218">
        <v>2</v>
      </c>
      <c r="J17" s="218">
        <v>41.25</v>
      </c>
      <c r="K17" s="219">
        <f t="shared" si="2"/>
        <v>412.5</v>
      </c>
    </row>
    <row r="18" spans="4:11" s="9" customFormat="1" ht="18" thickBot="1" x14ac:dyDescent="0.3">
      <c r="D18" s="3"/>
      <c r="E18" s="477" t="s">
        <v>186</v>
      </c>
      <c r="F18" s="478"/>
      <c r="G18" s="478"/>
      <c r="H18" s="478"/>
      <c r="I18" s="478"/>
      <c r="J18" s="478"/>
      <c r="K18" s="98">
        <f>K6+K7+K8+K10+K12+K13+K14+K15+K16+K17</f>
        <v>16301.5</v>
      </c>
    </row>
    <row r="19" spans="4:11" s="9" customFormat="1" ht="8.25" customHeight="1" thickBot="1" x14ac:dyDescent="0.35">
      <c r="D19" s="3"/>
      <c r="E19" s="10"/>
      <c r="F19" s="10"/>
      <c r="G19" s="10"/>
      <c r="H19" s="10"/>
      <c r="I19" s="10"/>
      <c r="J19" s="10"/>
      <c r="K19" s="10"/>
    </row>
    <row r="20" spans="4:11" s="9" customFormat="1" ht="15" customHeight="1" x14ac:dyDescent="0.25">
      <c r="D20" s="3"/>
      <c r="E20" s="479" t="s">
        <v>301</v>
      </c>
      <c r="F20" s="480"/>
      <c r="G20" s="480"/>
      <c r="H20" s="480"/>
      <c r="I20" s="480"/>
      <c r="J20" s="480"/>
      <c r="K20" s="481"/>
    </row>
    <row r="21" spans="4:11" s="9" customFormat="1" ht="10.5" customHeight="1" x14ac:dyDescent="0.25">
      <c r="D21" s="3"/>
      <c r="E21" s="482"/>
      <c r="F21" s="483"/>
      <c r="G21" s="483"/>
      <c r="H21" s="483"/>
      <c r="I21" s="483"/>
      <c r="J21" s="483"/>
      <c r="K21" s="484"/>
    </row>
    <row r="22" spans="4:11" s="9" customFormat="1" ht="16.5" x14ac:dyDescent="0.25">
      <c r="D22" s="3"/>
      <c r="E22" s="485" t="s">
        <v>134</v>
      </c>
      <c r="F22" s="486"/>
      <c r="G22" s="97" t="s">
        <v>167</v>
      </c>
      <c r="H22" s="95" t="s">
        <v>168</v>
      </c>
      <c r="I22" s="95" t="s">
        <v>169</v>
      </c>
      <c r="J22" s="95" t="s">
        <v>170</v>
      </c>
      <c r="K22" s="96" t="s">
        <v>171</v>
      </c>
    </row>
    <row r="23" spans="4:11" s="9" customFormat="1" ht="16.5" x14ac:dyDescent="0.3">
      <c r="D23" s="3"/>
      <c r="E23" s="467" t="s">
        <v>102</v>
      </c>
      <c r="F23" s="468"/>
      <c r="G23" s="218">
        <v>3</v>
      </c>
      <c r="H23" s="218">
        <v>4</v>
      </c>
      <c r="I23" s="218">
        <v>2</v>
      </c>
      <c r="J23" s="218">
        <v>60</v>
      </c>
      <c r="K23" s="219">
        <f>G23*I23*J23*H23</f>
        <v>1440</v>
      </c>
    </row>
    <row r="24" spans="4:11" s="9" customFormat="1" ht="17.25" customHeight="1" x14ac:dyDescent="0.25">
      <c r="D24" s="3"/>
      <c r="E24" s="469" t="s">
        <v>174</v>
      </c>
      <c r="F24" s="494"/>
      <c r="G24" s="218">
        <v>1</v>
      </c>
      <c r="H24" s="218">
        <v>1</v>
      </c>
      <c r="I24" s="218">
        <v>2</v>
      </c>
      <c r="J24" s="218">
        <v>351</v>
      </c>
      <c r="K24" s="219">
        <f t="shared" ref="K24:K25" si="3">G24*I24*J24*H24</f>
        <v>702</v>
      </c>
    </row>
    <row r="25" spans="4:11" s="9" customFormat="1" ht="16.5" x14ac:dyDescent="0.25">
      <c r="D25" s="3"/>
      <c r="E25" s="469" t="s">
        <v>175</v>
      </c>
      <c r="F25" s="494"/>
      <c r="G25" s="218">
        <v>1</v>
      </c>
      <c r="H25" s="218">
        <v>1</v>
      </c>
      <c r="I25" s="218">
        <v>2</v>
      </c>
      <c r="J25" s="218">
        <v>3500</v>
      </c>
      <c r="K25" s="219">
        <f t="shared" si="3"/>
        <v>7000</v>
      </c>
    </row>
    <row r="26" spans="4:11" s="9" customFormat="1" ht="18.75" customHeight="1" x14ac:dyDescent="0.3">
      <c r="D26" s="3"/>
      <c r="E26" s="472" t="s">
        <v>173</v>
      </c>
      <c r="F26" s="473"/>
      <c r="G26" s="473"/>
      <c r="H26" s="473"/>
      <c r="I26" s="473"/>
      <c r="J26" s="473"/>
      <c r="K26" s="474"/>
    </row>
    <row r="27" spans="4:11" s="9" customFormat="1" ht="28.5" customHeight="1" x14ac:dyDescent="0.25">
      <c r="D27" s="3"/>
      <c r="E27" s="495" t="s">
        <v>176</v>
      </c>
      <c r="F27" s="494"/>
      <c r="G27" s="92">
        <v>2</v>
      </c>
      <c r="H27" s="92">
        <v>1</v>
      </c>
      <c r="I27" s="92">
        <v>15</v>
      </c>
      <c r="J27" s="92">
        <v>49.5</v>
      </c>
      <c r="K27" s="93">
        <f t="shared" ref="K27" si="4">G27*I27*J27*H27</f>
        <v>1485</v>
      </c>
    </row>
    <row r="28" spans="4:11" s="9" customFormat="1" ht="16.5" x14ac:dyDescent="0.3">
      <c r="D28" s="3"/>
      <c r="E28" s="472" t="s">
        <v>177</v>
      </c>
      <c r="F28" s="473"/>
      <c r="G28" s="473"/>
      <c r="H28" s="473"/>
      <c r="I28" s="473"/>
      <c r="J28" s="473"/>
      <c r="K28" s="474"/>
    </row>
    <row r="29" spans="4:11" s="9" customFormat="1" ht="16.5" x14ac:dyDescent="0.3">
      <c r="D29" s="3"/>
      <c r="E29" s="495" t="s">
        <v>178</v>
      </c>
      <c r="F29" s="217" t="s">
        <v>179</v>
      </c>
      <c r="G29" s="218">
        <v>2</v>
      </c>
      <c r="H29" s="218">
        <v>5</v>
      </c>
      <c r="I29" s="218">
        <v>45</v>
      </c>
      <c r="J29" s="218">
        <v>115.5</v>
      </c>
      <c r="K29" s="219">
        <f>G29*I29*J29*H29</f>
        <v>51975</v>
      </c>
    </row>
    <row r="30" spans="4:11" s="9" customFormat="1" ht="16.5" x14ac:dyDescent="0.3">
      <c r="D30" s="3"/>
      <c r="E30" s="495"/>
      <c r="F30" s="217" t="s">
        <v>180</v>
      </c>
      <c r="G30" s="218">
        <v>2</v>
      </c>
      <c r="H30" s="218">
        <v>5</v>
      </c>
      <c r="I30" s="218">
        <v>45</v>
      </c>
      <c r="J30" s="218">
        <v>140.25</v>
      </c>
      <c r="K30" s="219">
        <f t="shared" ref="K30:K34" si="5">G30*I30*J30*H30</f>
        <v>63112.5</v>
      </c>
    </row>
    <row r="31" spans="4:11" s="9" customFormat="1" ht="16.5" x14ac:dyDescent="0.3">
      <c r="D31" s="3"/>
      <c r="E31" s="469" t="s">
        <v>181</v>
      </c>
      <c r="F31" s="217" t="s">
        <v>182</v>
      </c>
      <c r="G31" s="218">
        <v>2</v>
      </c>
      <c r="H31" s="218">
        <v>5</v>
      </c>
      <c r="I31" s="218">
        <v>45</v>
      </c>
      <c r="J31" s="218">
        <v>29.7</v>
      </c>
      <c r="K31" s="219">
        <f t="shared" si="5"/>
        <v>13365</v>
      </c>
    </row>
    <row r="32" spans="4:11" s="9" customFormat="1" ht="16.5" x14ac:dyDescent="0.3">
      <c r="D32" s="3"/>
      <c r="E32" s="469"/>
      <c r="F32" s="217" t="s">
        <v>184</v>
      </c>
      <c r="G32" s="218">
        <v>2</v>
      </c>
      <c r="H32" s="218">
        <v>5</v>
      </c>
      <c r="I32" s="218">
        <v>45</v>
      </c>
      <c r="J32" s="218">
        <v>29.7</v>
      </c>
      <c r="K32" s="219">
        <f t="shared" si="5"/>
        <v>13365</v>
      </c>
    </row>
    <row r="33" spans="4:11" s="9" customFormat="1" ht="16.5" x14ac:dyDescent="0.3">
      <c r="D33" s="3"/>
      <c r="E33" s="469"/>
      <c r="F33" s="217" t="s">
        <v>185</v>
      </c>
      <c r="G33" s="218">
        <v>2</v>
      </c>
      <c r="H33" s="218">
        <v>5</v>
      </c>
      <c r="I33" s="218">
        <v>45</v>
      </c>
      <c r="J33" s="218">
        <v>36.299999999999997</v>
      </c>
      <c r="K33" s="219">
        <f t="shared" si="5"/>
        <v>16334.999999999998</v>
      </c>
    </row>
    <row r="34" spans="4:11" s="9" customFormat="1" ht="16.5" x14ac:dyDescent="0.25">
      <c r="D34" s="3"/>
      <c r="E34" s="470" t="s">
        <v>366</v>
      </c>
      <c r="F34" s="471"/>
      <c r="G34" s="218">
        <v>1</v>
      </c>
      <c r="H34" s="218">
        <v>5</v>
      </c>
      <c r="I34" s="218">
        <v>45</v>
      </c>
      <c r="J34" s="218">
        <v>41.25</v>
      </c>
      <c r="K34" s="219">
        <f t="shared" si="5"/>
        <v>9281.25</v>
      </c>
    </row>
    <row r="35" spans="4:11" s="9" customFormat="1" ht="16.5" x14ac:dyDescent="0.3">
      <c r="D35" s="3"/>
      <c r="E35" s="472" t="s">
        <v>188</v>
      </c>
      <c r="F35" s="473"/>
      <c r="G35" s="473"/>
      <c r="H35" s="473"/>
      <c r="I35" s="473"/>
      <c r="J35" s="473"/>
      <c r="K35" s="474"/>
    </row>
    <row r="36" spans="4:11" s="9" customFormat="1" ht="16.5" x14ac:dyDescent="0.3">
      <c r="D36" s="3"/>
      <c r="E36" s="488" t="s">
        <v>189</v>
      </c>
      <c r="F36" s="217" t="s">
        <v>190</v>
      </c>
      <c r="G36" s="218">
        <v>4</v>
      </c>
      <c r="H36" s="218">
        <v>1</v>
      </c>
      <c r="I36" s="218">
        <v>2</v>
      </c>
      <c r="J36" s="218">
        <v>3.3</v>
      </c>
      <c r="K36" s="219">
        <f>G36*I36*J36*H36</f>
        <v>26.4</v>
      </c>
    </row>
    <row r="37" spans="4:11" s="9" customFormat="1" ht="16.5" x14ac:dyDescent="0.3">
      <c r="D37" s="3"/>
      <c r="E37" s="489"/>
      <c r="F37" s="217" t="s">
        <v>191</v>
      </c>
      <c r="G37" s="218">
        <v>4</v>
      </c>
      <c r="H37" s="218">
        <v>1</v>
      </c>
      <c r="I37" s="218">
        <v>2</v>
      </c>
      <c r="J37" s="218">
        <v>4.95</v>
      </c>
      <c r="K37" s="219">
        <f t="shared" ref="K37:K47" si="6">G37*I37*J37*H37</f>
        <v>39.6</v>
      </c>
    </row>
    <row r="38" spans="4:11" s="9" customFormat="1" ht="16.5" x14ac:dyDescent="0.3">
      <c r="D38" s="3"/>
      <c r="E38" s="489"/>
      <c r="F38" s="217" t="s">
        <v>192</v>
      </c>
      <c r="G38" s="218">
        <v>4</v>
      </c>
      <c r="H38" s="218">
        <v>1</v>
      </c>
      <c r="I38" s="218">
        <v>2</v>
      </c>
      <c r="J38" s="218">
        <v>1.65</v>
      </c>
      <c r="K38" s="219">
        <f t="shared" si="6"/>
        <v>13.2</v>
      </c>
    </row>
    <row r="39" spans="4:11" s="9" customFormat="1" ht="16.5" x14ac:dyDescent="0.3">
      <c r="D39" s="3"/>
      <c r="E39" s="489"/>
      <c r="F39" s="217" t="s">
        <v>193</v>
      </c>
      <c r="G39" s="218">
        <v>4</v>
      </c>
      <c r="H39" s="218">
        <v>1</v>
      </c>
      <c r="I39" s="218">
        <v>2</v>
      </c>
      <c r="J39" s="218">
        <v>3.3</v>
      </c>
      <c r="K39" s="219">
        <f t="shared" si="6"/>
        <v>26.4</v>
      </c>
    </row>
    <row r="40" spans="4:11" s="9" customFormat="1" ht="16.5" x14ac:dyDescent="0.3">
      <c r="D40" s="3"/>
      <c r="E40" s="490"/>
      <c r="F40" s="217" t="s">
        <v>314</v>
      </c>
      <c r="G40" s="218">
        <v>4</v>
      </c>
      <c r="H40" s="218">
        <v>1</v>
      </c>
      <c r="I40" s="218">
        <v>2</v>
      </c>
      <c r="J40" s="218">
        <v>16.5</v>
      </c>
      <c r="K40" s="219">
        <f t="shared" si="6"/>
        <v>132</v>
      </c>
    </row>
    <row r="41" spans="4:11" s="9" customFormat="1" ht="16.5" x14ac:dyDescent="0.3">
      <c r="D41" s="3"/>
      <c r="E41" s="465" t="s">
        <v>290</v>
      </c>
      <c r="F41" s="162" t="s">
        <v>367</v>
      </c>
      <c r="G41" s="218">
        <v>4</v>
      </c>
      <c r="H41" s="218">
        <v>1</v>
      </c>
      <c r="I41" s="218">
        <v>2</v>
      </c>
      <c r="J41" s="218">
        <v>115.5</v>
      </c>
      <c r="K41" s="219">
        <f t="shared" si="6"/>
        <v>924</v>
      </c>
    </row>
    <row r="42" spans="4:11" s="9" customFormat="1" ht="16.5" x14ac:dyDescent="0.3">
      <c r="D42" s="3"/>
      <c r="E42" s="487"/>
      <c r="F42" s="162" t="s">
        <v>368</v>
      </c>
      <c r="G42" s="218">
        <v>4</v>
      </c>
      <c r="H42" s="218">
        <v>1</v>
      </c>
      <c r="I42" s="218">
        <v>2</v>
      </c>
      <c r="J42" s="218">
        <v>66</v>
      </c>
      <c r="K42" s="219">
        <f t="shared" si="6"/>
        <v>528</v>
      </c>
    </row>
    <row r="43" spans="4:11" s="9" customFormat="1" ht="16.5" x14ac:dyDescent="0.3">
      <c r="D43" s="3"/>
      <c r="E43" s="487"/>
      <c r="F43" s="162" t="s">
        <v>369</v>
      </c>
      <c r="G43" s="218">
        <v>4</v>
      </c>
      <c r="H43" s="218">
        <v>1</v>
      </c>
      <c r="I43" s="218">
        <v>2</v>
      </c>
      <c r="J43" s="218">
        <v>82.5</v>
      </c>
      <c r="K43" s="219">
        <f t="shared" si="6"/>
        <v>660</v>
      </c>
    </row>
    <row r="44" spans="4:11" s="9" customFormat="1" ht="16.5" x14ac:dyDescent="0.3">
      <c r="D44" s="3"/>
      <c r="E44" s="466"/>
      <c r="F44" s="162" t="s">
        <v>315</v>
      </c>
      <c r="G44" s="218">
        <v>4</v>
      </c>
      <c r="H44" s="218">
        <v>1</v>
      </c>
      <c r="I44" s="218">
        <v>2</v>
      </c>
      <c r="J44" s="218">
        <v>13.2</v>
      </c>
      <c r="K44" s="219">
        <f t="shared" si="6"/>
        <v>105.6</v>
      </c>
    </row>
    <row r="45" spans="4:11" s="9" customFormat="1" ht="16.5" x14ac:dyDescent="0.3">
      <c r="D45" s="3"/>
      <c r="E45" s="488" t="s">
        <v>194</v>
      </c>
      <c r="F45" s="162" t="s">
        <v>370</v>
      </c>
      <c r="G45" s="218">
        <v>4</v>
      </c>
      <c r="H45" s="218">
        <v>1</v>
      </c>
      <c r="I45" s="218">
        <v>2</v>
      </c>
      <c r="J45" s="218">
        <v>9.9</v>
      </c>
      <c r="K45" s="219">
        <f t="shared" si="6"/>
        <v>79.2</v>
      </c>
    </row>
    <row r="46" spans="4:11" s="9" customFormat="1" ht="16.5" x14ac:dyDescent="0.3">
      <c r="D46" s="3"/>
      <c r="E46" s="489"/>
      <c r="F46" s="162" t="s">
        <v>371</v>
      </c>
      <c r="G46" s="218">
        <v>4</v>
      </c>
      <c r="H46" s="218">
        <v>1</v>
      </c>
      <c r="I46" s="218">
        <v>2</v>
      </c>
      <c r="J46" s="218">
        <v>16.5</v>
      </c>
      <c r="K46" s="219">
        <f t="shared" si="6"/>
        <v>132</v>
      </c>
    </row>
    <row r="47" spans="4:11" s="9" customFormat="1" ht="42" customHeight="1" x14ac:dyDescent="0.25">
      <c r="D47" s="3"/>
      <c r="E47" s="490"/>
      <c r="F47" s="66" t="s">
        <v>372</v>
      </c>
      <c r="G47" s="218">
        <v>4</v>
      </c>
      <c r="H47" s="218">
        <v>1</v>
      </c>
      <c r="I47" s="218">
        <v>2</v>
      </c>
      <c r="J47" s="218">
        <v>54.45</v>
      </c>
      <c r="K47" s="219">
        <f t="shared" si="6"/>
        <v>435.6</v>
      </c>
    </row>
    <row r="48" spans="4:11" s="9" customFormat="1" ht="23.25" customHeight="1" x14ac:dyDescent="0.3">
      <c r="D48" s="3"/>
      <c r="E48" s="472" t="s">
        <v>195</v>
      </c>
      <c r="F48" s="473"/>
      <c r="G48" s="473"/>
      <c r="H48" s="473"/>
      <c r="I48" s="473"/>
      <c r="J48" s="473"/>
      <c r="K48" s="474"/>
    </row>
    <row r="49" spans="4:11" s="9" customFormat="1" ht="54" customHeight="1" x14ac:dyDescent="0.25">
      <c r="D49" s="3"/>
      <c r="E49" s="215" t="s">
        <v>194</v>
      </c>
      <c r="F49" s="66" t="s">
        <v>316</v>
      </c>
      <c r="G49" s="218">
        <v>4</v>
      </c>
      <c r="H49" s="218">
        <v>1</v>
      </c>
      <c r="I49" s="218">
        <v>2</v>
      </c>
      <c r="J49" s="218">
        <v>57.75</v>
      </c>
      <c r="K49" s="219">
        <f>G49*I49*J49*H49</f>
        <v>462</v>
      </c>
    </row>
    <row r="50" spans="4:11" s="9" customFormat="1" ht="27" customHeight="1" x14ac:dyDescent="0.3">
      <c r="D50" s="3"/>
      <c r="E50" s="465" t="s">
        <v>290</v>
      </c>
      <c r="F50" s="162" t="s">
        <v>367</v>
      </c>
      <c r="G50" s="218">
        <v>4</v>
      </c>
      <c r="H50" s="218">
        <v>1</v>
      </c>
      <c r="I50" s="218">
        <v>2</v>
      </c>
      <c r="J50" s="218">
        <v>115.5</v>
      </c>
      <c r="K50" s="219">
        <f t="shared" ref="K50:K52" si="7">G50*I50*J50*H50</f>
        <v>924</v>
      </c>
    </row>
    <row r="51" spans="4:11" s="9" customFormat="1" ht="25.5" customHeight="1" x14ac:dyDescent="0.3">
      <c r="D51" s="3"/>
      <c r="E51" s="487"/>
      <c r="F51" s="162" t="s">
        <v>368</v>
      </c>
      <c r="G51" s="218">
        <v>4</v>
      </c>
      <c r="H51" s="218">
        <v>1</v>
      </c>
      <c r="I51" s="218">
        <v>2</v>
      </c>
      <c r="J51" s="218">
        <v>66</v>
      </c>
      <c r="K51" s="219">
        <f t="shared" si="7"/>
        <v>528</v>
      </c>
    </row>
    <row r="52" spans="4:11" s="9" customFormat="1" ht="27" customHeight="1" x14ac:dyDescent="0.3">
      <c r="D52" s="3"/>
      <c r="E52" s="466"/>
      <c r="F52" s="162" t="s">
        <v>369</v>
      </c>
      <c r="G52" s="218">
        <v>4</v>
      </c>
      <c r="H52" s="218">
        <v>1</v>
      </c>
      <c r="I52" s="218">
        <v>2</v>
      </c>
      <c r="J52" s="218">
        <v>79.2</v>
      </c>
      <c r="K52" s="219">
        <f t="shared" si="7"/>
        <v>633.6</v>
      </c>
    </row>
    <row r="53" spans="4:11" s="9" customFormat="1" ht="15.75" customHeight="1" x14ac:dyDescent="0.3">
      <c r="D53" s="3"/>
      <c r="E53" s="491" t="s">
        <v>196</v>
      </c>
      <c r="F53" s="492"/>
      <c r="G53" s="492"/>
      <c r="H53" s="492"/>
      <c r="I53" s="492"/>
      <c r="J53" s="492"/>
      <c r="K53" s="493"/>
    </row>
    <row r="54" spans="4:11" s="9" customFormat="1" ht="16.5" x14ac:dyDescent="0.3">
      <c r="D54" s="3"/>
      <c r="E54" s="467" t="s">
        <v>197</v>
      </c>
      <c r="F54" s="468"/>
      <c r="G54" s="226">
        <v>3</v>
      </c>
      <c r="H54" s="226">
        <v>1</v>
      </c>
      <c r="I54" s="226">
        <v>1</v>
      </c>
      <c r="J54" s="226">
        <v>8000</v>
      </c>
      <c r="K54" s="227">
        <f>G54*H54*I54*J54</f>
        <v>24000</v>
      </c>
    </row>
    <row r="55" spans="4:11" s="9" customFormat="1" ht="16.5" x14ac:dyDescent="0.25">
      <c r="D55" s="3"/>
      <c r="E55" s="215" t="s">
        <v>102</v>
      </c>
      <c r="F55" s="216" t="s">
        <v>21</v>
      </c>
      <c r="G55" s="218">
        <v>6</v>
      </c>
      <c r="H55" s="218">
        <v>3</v>
      </c>
      <c r="I55" s="218">
        <v>2</v>
      </c>
      <c r="J55" s="218">
        <v>66</v>
      </c>
      <c r="K55" s="219">
        <f t="shared" ref="K55:K61" si="8">G55*I55*J55*H55</f>
        <v>2376</v>
      </c>
    </row>
    <row r="56" spans="4:11" s="9" customFormat="1" ht="16.5" x14ac:dyDescent="0.3">
      <c r="D56" s="3"/>
      <c r="E56" s="469" t="s">
        <v>189</v>
      </c>
      <c r="F56" s="217" t="s">
        <v>190</v>
      </c>
      <c r="G56" s="218">
        <v>3</v>
      </c>
      <c r="H56" s="218">
        <v>1</v>
      </c>
      <c r="I56" s="218">
        <v>2</v>
      </c>
      <c r="J56" s="218">
        <v>3.3</v>
      </c>
      <c r="K56" s="219">
        <f t="shared" si="8"/>
        <v>19.799999999999997</v>
      </c>
    </row>
    <row r="57" spans="4:11" s="9" customFormat="1" ht="16.5" x14ac:dyDescent="0.3">
      <c r="D57" s="3"/>
      <c r="E57" s="469"/>
      <c r="F57" s="217" t="s">
        <v>192</v>
      </c>
      <c r="G57" s="218">
        <v>3</v>
      </c>
      <c r="H57" s="218">
        <v>1</v>
      </c>
      <c r="I57" s="218">
        <v>2</v>
      </c>
      <c r="J57" s="218">
        <v>1.65</v>
      </c>
      <c r="K57" s="219">
        <f t="shared" si="8"/>
        <v>9.8999999999999986</v>
      </c>
    </row>
    <row r="58" spans="4:11" s="9" customFormat="1" ht="17.25" customHeight="1" x14ac:dyDescent="0.3">
      <c r="D58" s="3"/>
      <c r="E58" s="469"/>
      <c r="F58" s="217" t="s">
        <v>193</v>
      </c>
      <c r="G58" s="218">
        <v>3</v>
      </c>
      <c r="H58" s="218">
        <v>1</v>
      </c>
      <c r="I58" s="218">
        <v>2</v>
      </c>
      <c r="J58" s="218">
        <v>3.3</v>
      </c>
      <c r="K58" s="219">
        <f t="shared" si="8"/>
        <v>19.799999999999997</v>
      </c>
    </row>
    <row r="59" spans="4:11" s="9" customFormat="1" ht="33.75" customHeight="1" x14ac:dyDescent="0.25">
      <c r="D59" s="3"/>
      <c r="E59" s="215" t="s">
        <v>194</v>
      </c>
      <c r="F59" s="66" t="s">
        <v>317</v>
      </c>
      <c r="G59" s="218">
        <v>3</v>
      </c>
      <c r="H59" s="218">
        <v>1</v>
      </c>
      <c r="I59" s="218">
        <v>2</v>
      </c>
      <c r="J59" s="218">
        <v>54.45</v>
      </c>
      <c r="K59" s="219">
        <f t="shared" si="8"/>
        <v>326.70000000000005</v>
      </c>
    </row>
    <row r="60" spans="4:11" s="9" customFormat="1" ht="16.5" x14ac:dyDescent="0.3">
      <c r="D60" s="3"/>
      <c r="E60" s="487"/>
      <c r="F60" s="162" t="s">
        <v>373</v>
      </c>
      <c r="G60" s="218">
        <v>3</v>
      </c>
      <c r="H60" s="218">
        <v>1</v>
      </c>
      <c r="I60" s="218">
        <v>2</v>
      </c>
      <c r="J60" s="218">
        <v>66</v>
      </c>
      <c r="K60" s="219">
        <f t="shared" si="8"/>
        <v>396</v>
      </c>
    </row>
    <row r="61" spans="4:11" s="9" customFormat="1" ht="36" customHeight="1" x14ac:dyDescent="0.3">
      <c r="D61" s="3"/>
      <c r="E61" s="466"/>
      <c r="F61" s="162" t="s">
        <v>374</v>
      </c>
      <c r="G61" s="218">
        <v>3</v>
      </c>
      <c r="H61" s="218">
        <v>1</v>
      </c>
      <c r="I61" s="218">
        <v>2</v>
      </c>
      <c r="J61" s="218">
        <v>79.2</v>
      </c>
      <c r="K61" s="219">
        <f t="shared" si="8"/>
        <v>475.20000000000005</v>
      </c>
    </row>
    <row r="62" spans="4:11" s="9" customFormat="1" ht="19.5" customHeight="1" x14ac:dyDescent="0.3">
      <c r="D62" s="3"/>
      <c r="E62" s="472" t="s">
        <v>198</v>
      </c>
      <c r="F62" s="473"/>
      <c r="G62" s="473"/>
      <c r="H62" s="473"/>
      <c r="I62" s="473"/>
      <c r="J62" s="473"/>
      <c r="K62" s="474"/>
    </row>
    <row r="63" spans="4:11" s="3" customFormat="1" ht="19.5" customHeight="1" x14ac:dyDescent="0.3">
      <c r="E63" s="467" t="s">
        <v>375</v>
      </c>
      <c r="F63" s="468"/>
      <c r="G63" s="218">
        <v>4</v>
      </c>
      <c r="H63" s="218">
        <v>1</v>
      </c>
      <c r="I63" s="218">
        <v>2</v>
      </c>
      <c r="J63" s="218">
        <v>29.7</v>
      </c>
      <c r="K63" s="219">
        <f>G63*H63*I63*J63</f>
        <v>237.6</v>
      </c>
    </row>
    <row r="64" spans="4:11" s="3" customFormat="1" ht="19.5" customHeight="1" x14ac:dyDescent="0.3">
      <c r="E64" s="467" t="s">
        <v>376</v>
      </c>
      <c r="F64" s="468"/>
      <c r="G64" s="218">
        <v>4</v>
      </c>
      <c r="H64" s="218">
        <v>1</v>
      </c>
      <c r="I64" s="218">
        <v>2</v>
      </c>
      <c r="J64" s="218">
        <v>29.7</v>
      </c>
      <c r="K64" s="219">
        <f t="shared" ref="K64:K66" si="9">G64*H64*I64*J64</f>
        <v>237.6</v>
      </c>
    </row>
    <row r="65" spans="4:13" s="3" customFormat="1" ht="19.5" customHeight="1" x14ac:dyDescent="0.3">
      <c r="E65" s="467" t="s">
        <v>377</v>
      </c>
      <c r="F65" s="468"/>
      <c r="G65" s="218">
        <v>4</v>
      </c>
      <c r="H65" s="218">
        <v>1</v>
      </c>
      <c r="I65" s="218">
        <v>2</v>
      </c>
      <c r="J65" s="218">
        <v>29.7</v>
      </c>
      <c r="K65" s="219">
        <f t="shared" si="9"/>
        <v>237.6</v>
      </c>
    </row>
    <row r="66" spans="4:13" s="9" customFormat="1" ht="16.5" x14ac:dyDescent="0.3">
      <c r="D66" s="3"/>
      <c r="E66" s="467" t="s">
        <v>378</v>
      </c>
      <c r="F66" s="468"/>
      <c r="G66" s="218">
        <v>4</v>
      </c>
      <c r="H66" s="218">
        <v>1</v>
      </c>
      <c r="I66" s="218">
        <v>2</v>
      </c>
      <c r="J66" s="218">
        <v>29.7</v>
      </c>
      <c r="K66" s="219">
        <f t="shared" si="9"/>
        <v>237.6</v>
      </c>
    </row>
    <row r="67" spans="4:13" s="9" customFormat="1" ht="19.899999999999999" customHeight="1" x14ac:dyDescent="0.3">
      <c r="D67" s="3"/>
      <c r="E67" s="472" t="s">
        <v>266</v>
      </c>
      <c r="F67" s="473"/>
      <c r="G67" s="473"/>
      <c r="H67" s="473"/>
      <c r="I67" s="473"/>
      <c r="J67" s="473"/>
      <c r="K67" s="474"/>
    </row>
    <row r="68" spans="4:13" s="9" customFormat="1" ht="19.899999999999999" customHeight="1" x14ac:dyDescent="0.25">
      <c r="D68" s="3"/>
      <c r="E68" s="136" t="s">
        <v>102</v>
      </c>
      <c r="F68" s="137" t="s">
        <v>267</v>
      </c>
      <c r="G68" s="134">
        <v>2</v>
      </c>
      <c r="H68" s="134">
        <v>1</v>
      </c>
      <c r="I68" s="134">
        <v>38</v>
      </c>
      <c r="J68" s="134">
        <v>40</v>
      </c>
      <c r="K68" s="135">
        <f t="shared" ref="K68" si="10">G68*I68*J68*H68</f>
        <v>3040</v>
      </c>
    </row>
    <row r="69" spans="4:13" s="9" customFormat="1" ht="19.899999999999999" customHeight="1" x14ac:dyDescent="0.25">
      <c r="D69" s="3"/>
      <c r="E69" s="475" t="s">
        <v>268</v>
      </c>
      <c r="F69" s="476"/>
      <c r="G69" s="134">
        <v>3</v>
      </c>
      <c r="H69" s="134">
        <v>1</v>
      </c>
      <c r="I69" s="134">
        <v>46</v>
      </c>
      <c r="J69" s="134">
        <v>1000</v>
      </c>
      <c r="K69" s="134">
        <f>I69*J69*H69*G69</f>
        <v>138000</v>
      </c>
    </row>
    <row r="70" spans="4:13" s="9" customFormat="1" ht="16.5" x14ac:dyDescent="0.3">
      <c r="D70" s="3"/>
      <c r="E70" s="472" t="s">
        <v>269</v>
      </c>
      <c r="F70" s="473"/>
      <c r="G70" s="473"/>
      <c r="H70" s="473"/>
      <c r="I70" s="473"/>
      <c r="J70" s="473"/>
      <c r="K70" s="474"/>
    </row>
    <row r="71" spans="4:13" s="9" customFormat="1" ht="16.5" x14ac:dyDescent="0.3">
      <c r="D71" s="3"/>
      <c r="E71" s="243" t="s">
        <v>1</v>
      </c>
      <c r="F71" s="244" t="s">
        <v>386</v>
      </c>
      <c r="G71" s="235">
        <v>1</v>
      </c>
      <c r="H71" s="235">
        <v>1</v>
      </c>
      <c r="I71" s="235">
        <v>1</v>
      </c>
      <c r="J71" s="235">
        <v>10000</v>
      </c>
      <c r="K71" s="238">
        <f>G71*H71*I71*J71</f>
        <v>10000</v>
      </c>
      <c r="M71" s="314"/>
    </row>
    <row r="72" spans="4:13" s="9" customFormat="1" ht="16.5" x14ac:dyDescent="0.25">
      <c r="D72" s="3"/>
      <c r="E72" s="136" t="s">
        <v>102</v>
      </c>
      <c r="F72" s="137" t="s">
        <v>267</v>
      </c>
      <c r="G72" s="134">
        <v>1</v>
      </c>
      <c r="H72" s="134">
        <v>1</v>
      </c>
      <c r="I72" s="134">
        <v>44</v>
      </c>
      <c r="J72" s="134">
        <v>66</v>
      </c>
      <c r="K72" s="135">
        <f t="shared" ref="K72:K74" si="11">G72*I72*J72*H72</f>
        <v>2904</v>
      </c>
    </row>
    <row r="73" spans="4:13" s="9" customFormat="1" ht="66" x14ac:dyDescent="0.25">
      <c r="D73" s="3"/>
      <c r="E73" s="136" t="s">
        <v>194</v>
      </c>
      <c r="F73" s="66" t="s">
        <v>317</v>
      </c>
      <c r="G73" s="134">
        <v>1</v>
      </c>
      <c r="H73" s="134">
        <v>1</v>
      </c>
      <c r="I73" s="134">
        <v>415</v>
      </c>
      <c r="J73" s="134">
        <v>57.75</v>
      </c>
      <c r="K73" s="135">
        <f t="shared" si="11"/>
        <v>23966.25</v>
      </c>
    </row>
    <row r="74" spans="4:13" s="9" customFormat="1" ht="16.5" x14ac:dyDescent="0.25">
      <c r="D74" s="3"/>
      <c r="E74" s="465" t="s">
        <v>290</v>
      </c>
      <c r="F74" s="66" t="s">
        <v>387</v>
      </c>
      <c r="G74" s="235">
        <v>1</v>
      </c>
      <c r="H74" s="235">
        <v>1</v>
      </c>
      <c r="I74" s="235">
        <v>415</v>
      </c>
      <c r="J74" s="235">
        <v>79.2</v>
      </c>
      <c r="K74" s="236">
        <f t="shared" si="11"/>
        <v>32868</v>
      </c>
    </row>
    <row r="75" spans="4:13" s="9" customFormat="1" ht="16.5" x14ac:dyDescent="0.25">
      <c r="D75" s="3"/>
      <c r="E75" s="466"/>
      <c r="F75" s="66" t="s">
        <v>388</v>
      </c>
      <c r="G75" s="235">
        <v>1</v>
      </c>
      <c r="H75" s="235">
        <v>1</v>
      </c>
      <c r="I75" s="235">
        <v>415</v>
      </c>
      <c r="J75" s="235">
        <v>79.2</v>
      </c>
      <c r="K75" s="134">
        <f>G75*H75*I75*J75</f>
        <v>32868</v>
      </c>
    </row>
    <row r="76" spans="4:13" s="9" customFormat="1" ht="20.25" customHeight="1" thickBot="1" x14ac:dyDescent="0.3">
      <c r="D76" s="3"/>
      <c r="E76" s="477" t="s">
        <v>218</v>
      </c>
      <c r="F76" s="478"/>
      <c r="G76" s="478"/>
      <c r="H76" s="478"/>
      <c r="I76" s="478"/>
      <c r="J76" s="478"/>
      <c r="K76" s="99">
        <f>K23+K24+K25+K27+K29+K30+K31+K32+K33+K36+K37+K38+K40+K47+K49+K54+K55+K56+K57+K58+K60+K66+K75+K73+K72+K69+K68+K52+K46+K45+K61+K39+K65+K64+K63+K51+K50+K44+K43+K42+K41+K34+K74+K71+K59</f>
        <v>455930.39999999997</v>
      </c>
    </row>
    <row r="77" spans="4:13" s="9" customFormat="1" ht="14.25" customHeight="1" thickBot="1" x14ac:dyDescent="0.35">
      <c r="D77" s="3"/>
      <c r="E77" s="10"/>
      <c r="F77" s="10"/>
      <c r="G77" s="10"/>
      <c r="H77" s="10"/>
      <c r="I77" s="10"/>
      <c r="J77" s="10"/>
      <c r="K77" s="10"/>
    </row>
    <row r="78" spans="4:13" s="9" customFormat="1" ht="14.25" customHeight="1" x14ac:dyDescent="0.25">
      <c r="D78" s="3"/>
      <c r="E78" s="479" t="s">
        <v>302</v>
      </c>
      <c r="F78" s="480"/>
      <c r="G78" s="480"/>
      <c r="H78" s="480"/>
      <c r="I78" s="480"/>
      <c r="J78" s="480"/>
      <c r="K78" s="481"/>
    </row>
    <row r="79" spans="4:13" s="9" customFormat="1" x14ac:dyDescent="0.25">
      <c r="D79" s="3"/>
      <c r="E79" s="482"/>
      <c r="F79" s="483"/>
      <c r="G79" s="483"/>
      <c r="H79" s="483"/>
      <c r="I79" s="483"/>
      <c r="J79" s="483"/>
      <c r="K79" s="484"/>
    </row>
    <row r="80" spans="4:13" s="9" customFormat="1" ht="16.5" x14ac:dyDescent="0.25">
      <c r="D80" s="3"/>
      <c r="E80" s="485" t="s">
        <v>134</v>
      </c>
      <c r="F80" s="486"/>
      <c r="G80" s="95" t="s">
        <v>167</v>
      </c>
      <c r="H80" s="95" t="s">
        <v>168</v>
      </c>
      <c r="I80" s="95" t="s">
        <v>169</v>
      </c>
      <c r="J80" s="95" t="s">
        <v>170</v>
      </c>
      <c r="K80" s="96" t="s">
        <v>171</v>
      </c>
    </row>
    <row r="81" spans="4:11" s="9" customFormat="1" ht="16.5" x14ac:dyDescent="0.25">
      <c r="D81" s="3"/>
      <c r="E81" s="470" t="s">
        <v>102</v>
      </c>
      <c r="F81" s="471"/>
      <c r="G81" s="92">
        <v>3</v>
      </c>
      <c r="H81" s="92">
        <v>4</v>
      </c>
      <c r="I81" s="92">
        <v>1</v>
      </c>
      <c r="J81" s="92">
        <v>60</v>
      </c>
      <c r="K81" s="93">
        <f>G81*I81*J81*H81</f>
        <v>720</v>
      </c>
    </row>
    <row r="82" spans="4:11" s="9" customFormat="1" ht="16.5" x14ac:dyDescent="0.25">
      <c r="D82" s="3"/>
      <c r="E82" s="470" t="s">
        <v>174</v>
      </c>
      <c r="F82" s="471"/>
      <c r="G82" s="92">
        <v>1</v>
      </c>
      <c r="H82" s="92">
        <v>1</v>
      </c>
      <c r="I82" s="92">
        <v>1</v>
      </c>
      <c r="J82" s="92">
        <v>351</v>
      </c>
      <c r="K82" s="93">
        <f t="shared" ref="K82:K83" si="12">G82*I82*J82*H82</f>
        <v>351</v>
      </c>
    </row>
    <row r="83" spans="4:11" s="9" customFormat="1" ht="16.5" x14ac:dyDescent="0.25">
      <c r="D83" s="3"/>
      <c r="E83" s="470" t="s">
        <v>175</v>
      </c>
      <c r="F83" s="471"/>
      <c r="G83" s="92">
        <v>1</v>
      </c>
      <c r="H83" s="92">
        <v>1</v>
      </c>
      <c r="I83" s="92">
        <v>1</v>
      </c>
      <c r="J83" s="92">
        <v>3500</v>
      </c>
      <c r="K83" s="93">
        <f t="shared" si="12"/>
        <v>3500</v>
      </c>
    </row>
    <row r="84" spans="4:11" s="9" customFormat="1" ht="16.5" x14ac:dyDescent="0.25">
      <c r="D84" s="3"/>
      <c r="E84" s="503" t="s">
        <v>173</v>
      </c>
      <c r="F84" s="504"/>
      <c r="G84" s="504"/>
      <c r="H84" s="504"/>
      <c r="I84" s="504"/>
      <c r="J84" s="504"/>
      <c r="K84" s="505"/>
    </row>
    <row r="85" spans="4:11" s="9" customFormat="1" ht="16.5" x14ac:dyDescent="0.25">
      <c r="D85" s="3"/>
      <c r="E85" s="495" t="s">
        <v>176</v>
      </c>
      <c r="F85" s="494"/>
      <c r="G85" s="92">
        <v>2</v>
      </c>
      <c r="H85" s="92">
        <v>1</v>
      </c>
      <c r="I85" s="92">
        <v>2</v>
      </c>
      <c r="J85" s="92">
        <v>46.67</v>
      </c>
      <c r="K85" s="93">
        <f t="shared" ref="K85" si="13">G85*I85*J85*H85</f>
        <v>186.68</v>
      </c>
    </row>
    <row r="86" spans="4:11" s="9" customFormat="1" ht="16.5" x14ac:dyDescent="0.25">
      <c r="D86" s="3"/>
      <c r="E86" s="503" t="s">
        <v>177</v>
      </c>
      <c r="F86" s="504"/>
      <c r="G86" s="504"/>
      <c r="H86" s="504"/>
      <c r="I86" s="504"/>
      <c r="J86" s="504"/>
      <c r="K86" s="505"/>
    </row>
    <row r="87" spans="4:11" s="9" customFormat="1" ht="16.5" x14ac:dyDescent="0.3">
      <c r="D87" s="3"/>
      <c r="E87" s="495" t="s">
        <v>178</v>
      </c>
      <c r="F87" s="217" t="s">
        <v>179</v>
      </c>
      <c r="G87" s="218">
        <v>2</v>
      </c>
      <c r="H87" s="218">
        <v>5</v>
      </c>
      <c r="I87" s="218">
        <v>2</v>
      </c>
      <c r="J87" s="218">
        <v>115.5</v>
      </c>
      <c r="K87" s="219">
        <f>G87*I87*J87*H87</f>
        <v>2310</v>
      </c>
    </row>
    <row r="88" spans="4:11" s="9" customFormat="1" ht="16.5" x14ac:dyDescent="0.3">
      <c r="D88" s="3"/>
      <c r="E88" s="495"/>
      <c r="F88" s="217" t="s">
        <v>180</v>
      </c>
      <c r="G88" s="218">
        <v>2</v>
      </c>
      <c r="H88" s="218">
        <v>5</v>
      </c>
      <c r="I88" s="218">
        <v>2</v>
      </c>
      <c r="J88" s="218">
        <v>140.25</v>
      </c>
      <c r="K88" s="219">
        <f t="shared" ref="K88:K92" si="14">G88*I88*J88*H88</f>
        <v>2805</v>
      </c>
    </row>
    <row r="89" spans="4:11" s="9" customFormat="1" ht="16.5" x14ac:dyDescent="0.3">
      <c r="D89" s="3"/>
      <c r="E89" s="469" t="s">
        <v>181</v>
      </c>
      <c r="F89" s="217" t="s">
        <v>182</v>
      </c>
      <c r="G89" s="218">
        <v>2</v>
      </c>
      <c r="H89" s="218">
        <v>5</v>
      </c>
      <c r="I89" s="218">
        <v>2</v>
      </c>
      <c r="J89" s="218">
        <v>29.7</v>
      </c>
      <c r="K89" s="219">
        <f t="shared" si="14"/>
        <v>594</v>
      </c>
    </row>
    <row r="90" spans="4:11" s="9" customFormat="1" ht="16.5" x14ac:dyDescent="0.3">
      <c r="D90" s="3"/>
      <c r="E90" s="469"/>
      <c r="F90" s="217" t="s">
        <v>184</v>
      </c>
      <c r="G90" s="218">
        <v>2</v>
      </c>
      <c r="H90" s="218">
        <v>5</v>
      </c>
      <c r="I90" s="218">
        <v>2</v>
      </c>
      <c r="J90" s="218">
        <v>29.7</v>
      </c>
      <c r="K90" s="219">
        <f t="shared" si="14"/>
        <v>594</v>
      </c>
    </row>
    <row r="91" spans="4:11" s="9" customFormat="1" ht="16.5" x14ac:dyDescent="0.3">
      <c r="D91" s="3"/>
      <c r="E91" s="469"/>
      <c r="F91" s="217" t="s">
        <v>185</v>
      </c>
      <c r="G91" s="218">
        <v>2</v>
      </c>
      <c r="H91" s="218">
        <v>5</v>
      </c>
      <c r="I91" s="218">
        <v>2</v>
      </c>
      <c r="J91" s="218">
        <v>36.299999999999997</v>
      </c>
      <c r="K91" s="219">
        <f t="shared" si="14"/>
        <v>726</v>
      </c>
    </row>
    <row r="92" spans="4:11" s="9" customFormat="1" ht="16.5" x14ac:dyDescent="0.25">
      <c r="D92" s="3"/>
      <c r="E92" s="470" t="s">
        <v>366</v>
      </c>
      <c r="F92" s="471"/>
      <c r="G92" s="218">
        <v>2</v>
      </c>
      <c r="H92" s="218">
        <v>5</v>
      </c>
      <c r="I92" s="218">
        <v>2</v>
      </c>
      <c r="J92" s="218">
        <v>41.25</v>
      </c>
      <c r="K92" s="219">
        <f t="shared" si="14"/>
        <v>825</v>
      </c>
    </row>
    <row r="93" spans="4:11" s="9" customFormat="1" ht="18" thickBot="1" x14ac:dyDescent="0.3">
      <c r="D93" s="3"/>
      <c r="E93" s="477" t="s">
        <v>212</v>
      </c>
      <c r="F93" s="478"/>
      <c r="G93" s="478"/>
      <c r="H93" s="478"/>
      <c r="I93" s="478"/>
      <c r="J93" s="478"/>
      <c r="K93" s="100">
        <f>K81+K82+K83+K85+K87+K88+K89+K90+K92+K91</f>
        <v>12611.68</v>
      </c>
    </row>
    <row r="94" spans="4:11" s="9" customFormat="1" ht="17.25" thickBot="1" x14ac:dyDescent="0.35">
      <c r="D94" s="3"/>
      <c r="E94" s="10"/>
      <c r="F94" s="10"/>
      <c r="G94" s="10"/>
      <c r="H94" s="10"/>
      <c r="I94" s="10"/>
      <c r="J94" s="10"/>
      <c r="K94" s="10"/>
    </row>
    <row r="95" spans="4:11" s="9" customFormat="1" x14ac:dyDescent="0.25">
      <c r="D95" s="3"/>
      <c r="E95" s="479" t="s">
        <v>283</v>
      </c>
      <c r="F95" s="480"/>
      <c r="G95" s="480"/>
      <c r="H95" s="480"/>
      <c r="I95" s="480"/>
      <c r="J95" s="480"/>
      <c r="K95" s="481"/>
    </row>
    <row r="96" spans="4:11" s="9" customFormat="1" ht="12" customHeight="1" x14ac:dyDescent="0.25">
      <c r="D96" s="3"/>
      <c r="E96" s="482"/>
      <c r="F96" s="483"/>
      <c r="G96" s="483"/>
      <c r="H96" s="483"/>
      <c r="I96" s="483"/>
      <c r="J96" s="483"/>
      <c r="K96" s="484"/>
    </row>
    <row r="97" spans="4:11" s="9" customFormat="1" ht="16.5" x14ac:dyDescent="0.25">
      <c r="D97" s="3"/>
      <c r="E97" s="506" t="s">
        <v>134</v>
      </c>
      <c r="F97" s="507"/>
      <c r="G97" s="97" t="s">
        <v>167</v>
      </c>
      <c r="H97" s="95" t="s">
        <v>168</v>
      </c>
      <c r="I97" s="97" t="s">
        <v>169</v>
      </c>
      <c r="J97" s="97" t="s">
        <v>170</v>
      </c>
      <c r="K97" s="101" t="s">
        <v>171</v>
      </c>
    </row>
    <row r="98" spans="4:11" s="9" customFormat="1" ht="16.5" x14ac:dyDescent="0.25">
      <c r="D98" s="3"/>
      <c r="E98" s="469" t="s">
        <v>102</v>
      </c>
      <c r="F98" s="494"/>
      <c r="G98" s="92">
        <v>2</v>
      </c>
      <c r="H98" s="92">
        <v>77</v>
      </c>
      <c r="I98" s="92">
        <v>1</v>
      </c>
      <c r="J98" s="92">
        <v>60</v>
      </c>
      <c r="K98" s="93">
        <f t="shared" ref="K98:K103" si="15">G98*I98*J98*H98</f>
        <v>9240</v>
      </c>
    </row>
    <row r="99" spans="4:11" s="9" customFormat="1" ht="16.5" x14ac:dyDescent="0.25">
      <c r="D99" s="3"/>
      <c r="E99" s="469" t="s">
        <v>174</v>
      </c>
      <c r="F99" s="494"/>
      <c r="G99" s="92">
        <v>1</v>
      </c>
      <c r="H99" s="92">
        <v>1</v>
      </c>
      <c r="I99" s="92">
        <v>1</v>
      </c>
      <c r="J99" s="92">
        <v>351</v>
      </c>
      <c r="K99" s="93">
        <f t="shared" si="15"/>
        <v>351</v>
      </c>
    </row>
    <row r="100" spans="4:11" s="9" customFormat="1" ht="17.25" customHeight="1" x14ac:dyDescent="0.25">
      <c r="D100" s="3"/>
      <c r="E100" s="469" t="s">
        <v>175</v>
      </c>
      <c r="F100" s="494"/>
      <c r="G100" s="92">
        <v>1</v>
      </c>
      <c r="H100" s="92">
        <v>1</v>
      </c>
      <c r="I100" s="92">
        <v>1</v>
      </c>
      <c r="J100" s="92">
        <v>4242.42</v>
      </c>
      <c r="K100" s="93">
        <f t="shared" si="15"/>
        <v>4242.42</v>
      </c>
    </row>
    <row r="101" spans="4:11" s="9" customFormat="1" ht="16.5" x14ac:dyDescent="0.3">
      <c r="D101" s="3"/>
      <c r="E101" s="472" t="s">
        <v>199</v>
      </c>
      <c r="F101" s="473"/>
      <c r="G101" s="473"/>
      <c r="H101" s="473"/>
      <c r="I101" s="473"/>
      <c r="J101" s="473"/>
      <c r="K101" s="474"/>
    </row>
    <row r="102" spans="4:11" s="9" customFormat="1" ht="49.15" customHeight="1" x14ac:dyDescent="0.25">
      <c r="D102" s="3"/>
      <c r="E102" s="94" t="s">
        <v>194</v>
      </c>
      <c r="F102" s="66" t="s">
        <v>317</v>
      </c>
      <c r="G102" s="92">
        <v>64</v>
      </c>
      <c r="H102" s="92">
        <v>1</v>
      </c>
      <c r="I102" s="92">
        <v>1</v>
      </c>
      <c r="J102" s="92">
        <v>57.75</v>
      </c>
      <c r="K102" s="93">
        <f t="shared" si="15"/>
        <v>3696</v>
      </c>
    </row>
    <row r="103" spans="4:11" s="9" customFormat="1" ht="49.15" customHeight="1" x14ac:dyDescent="0.25">
      <c r="D103" s="3"/>
      <c r="E103" s="465" t="s">
        <v>290</v>
      </c>
      <c r="F103" s="66" t="s">
        <v>387</v>
      </c>
      <c r="G103" s="235">
        <v>64</v>
      </c>
      <c r="H103" s="235">
        <v>1</v>
      </c>
      <c r="I103" s="235">
        <v>1</v>
      </c>
      <c r="J103" s="235">
        <v>79.2</v>
      </c>
      <c r="K103" s="236">
        <f t="shared" si="15"/>
        <v>5068.8</v>
      </c>
    </row>
    <row r="104" spans="4:11" s="9" customFormat="1" ht="26.45" customHeight="1" x14ac:dyDescent="0.25">
      <c r="D104" s="3"/>
      <c r="E104" s="466"/>
      <c r="F104" s="66" t="s">
        <v>388</v>
      </c>
      <c r="G104" s="235">
        <v>64</v>
      </c>
      <c r="H104" s="235">
        <v>1</v>
      </c>
      <c r="I104" s="235">
        <v>1</v>
      </c>
      <c r="J104" s="235">
        <v>79.2</v>
      </c>
      <c r="K104" s="134">
        <f>G104*H104*I104*J104</f>
        <v>5068.8</v>
      </c>
    </row>
    <row r="105" spans="4:11" s="9" customFormat="1" ht="25.9" customHeight="1" thickBot="1" x14ac:dyDescent="0.3">
      <c r="D105" s="3"/>
      <c r="E105" s="477" t="s">
        <v>219</v>
      </c>
      <c r="F105" s="478"/>
      <c r="G105" s="478"/>
      <c r="H105" s="478"/>
      <c r="I105" s="478"/>
      <c r="J105" s="478"/>
      <c r="K105" s="99">
        <f>K102+K100+K99+K98+K104+K103</f>
        <v>27667.019999999997</v>
      </c>
    </row>
    <row r="106" spans="4:11" s="9" customFormat="1" ht="17.25" thickBot="1" x14ac:dyDescent="0.35">
      <c r="D106" s="3"/>
      <c r="E106" s="10"/>
      <c r="F106" s="10"/>
      <c r="G106" s="10"/>
      <c r="H106" s="10"/>
      <c r="I106" s="10"/>
      <c r="J106" s="10"/>
      <c r="K106" s="10"/>
    </row>
    <row r="107" spans="4:11" s="9" customFormat="1" ht="19.5" customHeight="1" thickBot="1" x14ac:dyDescent="0.3">
      <c r="D107" s="3"/>
      <c r="E107" s="500" t="s">
        <v>307</v>
      </c>
      <c r="F107" s="501"/>
      <c r="G107" s="501"/>
      <c r="H107" s="501"/>
      <c r="I107" s="501"/>
      <c r="J107" s="501"/>
      <c r="K107" s="502"/>
    </row>
    <row r="108" spans="4:11" s="9" customFormat="1" ht="10.5" customHeight="1" thickBot="1" x14ac:dyDescent="0.35">
      <c r="D108" s="3"/>
      <c r="E108" s="10"/>
      <c r="F108" s="10"/>
      <c r="G108" s="10"/>
      <c r="H108" s="10"/>
      <c r="I108" s="10"/>
      <c r="J108" s="10"/>
      <c r="K108" s="10"/>
    </row>
    <row r="109" spans="4:11" s="9" customFormat="1" ht="16.5" x14ac:dyDescent="0.25">
      <c r="D109" s="3"/>
      <c r="E109" s="102" t="s">
        <v>0</v>
      </c>
      <c r="F109" s="103" t="s">
        <v>13</v>
      </c>
      <c r="G109" s="103" t="s">
        <v>4</v>
      </c>
      <c r="H109" s="103" t="s">
        <v>164</v>
      </c>
      <c r="I109" s="103" t="s">
        <v>165</v>
      </c>
      <c r="J109" s="513" t="s">
        <v>166</v>
      </c>
      <c r="K109" s="514"/>
    </row>
    <row r="110" spans="4:11" s="9" customFormat="1" ht="16.5" x14ac:dyDescent="0.25">
      <c r="D110" s="3"/>
      <c r="E110" s="497" t="s">
        <v>172</v>
      </c>
      <c r="F110" s="498"/>
      <c r="G110" s="498"/>
      <c r="H110" s="498"/>
      <c r="I110" s="498"/>
      <c r="J110" s="498"/>
      <c r="K110" s="499"/>
    </row>
    <row r="111" spans="4:11" s="9" customFormat="1" ht="57.75" customHeight="1" x14ac:dyDescent="0.25">
      <c r="D111" s="3"/>
      <c r="E111" s="104" t="s">
        <v>220</v>
      </c>
      <c r="F111" s="52" t="s">
        <v>13</v>
      </c>
      <c r="G111" s="92">
        <v>1</v>
      </c>
      <c r="H111" s="92">
        <v>1</v>
      </c>
      <c r="I111" s="92">
        <f>(46666.67+3861+11000+230+2500+8650)*2</f>
        <v>145815.34</v>
      </c>
      <c r="J111" s="511">
        <f>G111*H111*I111</f>
        <v>145815.34</v>
      </c>
      <c r="K111" s="512"/>
    </row>
    <row r="112" spans="4:11" s="9" customFormat="1" ht="16.5" x14ac:dyDescent="0.25">
      <c r="D112" s="3"/>
      <c r="E112" s="497" t="s">
        <v>183</v>
      </c>
      <c r="F112" s="498"/>
      <c r="G112" s="498"/>
      <c r="H112" s="498"/>
      <c r="I112" s="498"/>
      <c r="J112" s="498"/>
      <c r="K112" s="499"/>
    </row>
    <row r="113" spans="4:11" s="9" customFormat="1" ht="26.25" customHeight="1" x14ac:dyDescent="0.3">
      <c r="D113" s="3"/>
      <c r="E113" s="105" t="s">
        <v>225</v>
      </c>
      <c r="F113" s="52" t="s">
        <v>8</v>
      </c>
      <c r="G113" s="92">
        <v>2</v>
      </c>
      <c r="H113" s="92">
        <f>58*7</f>
        <v>406</v>
      </c>
      <c r="I113" s="92">
        <v>100</v>
      </c>
      <c r="J113" s="511">
        <f>G113*H113*I113</f>
        <v>81200</v>
      </c>
      <c r="K113" s="512"/>
    </row>
    <row r="114" spans="4:11" s="9" customFormat="1" ht="26.25" customHeight="1" x14ac:dyDescent="0.3">
      <c r="D114" s="3"/>
      <c r="E114" s="105" t="s">
        <v>187</v>
      </c>
      <c r="F114" s="52" t="s">
        <v>8</v>
      </c>
      <c r="G114" s="110">
        <v>1</v>
      </c>
      <c r="H114" s="110">
        <v>1</v>
      </c>
      <c r="I114" s="110">
        <v>2500</v>
      </c>
      <c r="J114" s="511">
        <f t="shared" ref="J114" si="16">G114*H114*I114</f>
        <v>2500</v>
      </c>
      <c r="K114" s="512"/>
    </row>
    <row r="115" spans="4:11" s="9" customFormat="1" ht="18" thickBot="1" x14ac:dyDescent="0.35">
      <c r="D115" s="3"/>
      <c r="E115" s="515" t="s">
        <v>120</v>
      </c>
      <c r="F115" s="516"/>
      <c r="G115" s="516"/>
      <c r="H115" s="516"/>
      <c r="I115" s="516"/>
      <c r="J115" s="517">
        <f>J113+J114+J111</f>
        <v>229515.34</v>
      </c>
      <c r="K115" s="518"/>
    </row>
    <row r="116" spans="4:11" s="9" customFormat="1" ht="9.75" customHeight="1" thickBot="1" x14ac:dyDescent="0.3">
      <c r="D116" s="3"/>
    </row>
    <row r="117" spans="4:11" s="9" customFormat="1" ht="18.75" thickBot="1" x14ac:dyDescent="0.3">
      <c r="D117" s="3"/>
      <c r="E117" s="508" t="s">
        <v>221</v>
      </c>
      <c r="F117" s="509"/>
      <c r="G117" s="509"/>
      <c r="H117" s="509"/>
      <c r="I117" s="509"/>
      <c r="J117" s="510"/>
      <c r="K117" s="106">
        <f>J115+K105+K93+K76+K18+J115</f>
        <v>971541.27999999991</v>
      </c>
    </row>
    <row r="118" spans="4:11" s="9" customFormat="1" ht="15.75" x14ac:dyDescent="0.25">
      <c r="D118" s="3"/>
      <c r="E118" s="496" t="s">
        <v>365</v>
      </c>
      <c r="F118" s="496"/>
      <c r="G118" s="496"/>
      <c r="H118" s="496"/>
      <c r="I118" s="496"/>
      <c r="J118" s="496"/>
      <c r="K118" s="496"/>
    </row>
    <row r="119" spans="4:11" s="9" customFormat="1" x14ac:dyDescent="0.25">
      <c r="D119" s="3"/>
      <c r="E119" s="3"/>
      <c r="F119" s="3"/>
      <c r="G119" s="3"/>
      <c r="H119" s="3"/>
      <c r="I119" s="3"/>
    </row>
    <row r="120" spans="4:11" s="9" customFormat="1" x14ac:dyDescent="0.25">
      <c r="D120" s="3"/>
      <c r="E120" s="3"/>
      <c r="F120" s="3"/>
      <c r="G120" s="3"/>
      <c r="H120" s="3"/>
      <c r="I120" s="3"/>
    </row>
    <row r="121" spans="4:11" s="9" customFormat="1" x14ac:dyDescent="0.25">
      <c r="D121" s="3"/>
      <c r="E121" s="3"/>
      <c r="F121" s="3"/>
      <c r="G121" s="3"/>
      <c r="H121" s="3"/>
      <c r="I121" s="3"/>
    </row>
    <row r="122" spans="4:11" s="9" customFormat="1" x14ac:dyDescent="0.25">
      <c r="D122" s="3"/>
      <c r="E122" s="3"/>
      <c r="F122" s="3"/>
      <c r="G122" s="3"/>
      <c r="H122" s="3"/>
      <c r="I122" s="3"/>
    </row>
    <row r="123" spans="4:11" s="9" customFormat="1" x14ac:dyDescent="0.25">
      <c r="D123" s="3"/>
      <c r="E123" s="3"/>
      <c r="F123" s="3"/>
      <c r="G123" s="3"/>
      <c r="H123" s="3"/>
      <c r="I123" s="3"/>
    </row>
    <row r="124" spans="4:11" s="9" customFormat="1" x14ac:dyDescent="0.25">
      <c r="D124" s="3"/>
      <c r="E124" s="3"/>
      <c r="F124" s="3"/>
      <c r="G124" s="3"/>
      <c r="H124" s="3"/>
      <c r="I124" s="3"/>
    </row>
    <row r="125" spans="4:11" s="9" customFormat="1" x14ac:dyDescent="0.25">
      <c r="D125" s="3"/>
      <c r="E125" s="3"/>
      <c r="F125" s="3"/>
      <c r="G125" s="3"/>
      <c r="H125" s="3"/>
      <c r="I125" s="3"/>
    </row>
    <row r="126" spans="4:11" s="9" customFormat="1" x14ac:dyDescent="0.25">
      <c r="D126" s="3"/>
      <c r="E126" s="3"/>
      <c r="F126" s="3"/>
      <c r="G126" s="3"/>
      <c r="H126" s="3"/>
      <c r="I126" s="3"/>
    </row>
    <row r="127" spans="4:11" s="9" customFormat="1" x14ac:dyDescent="0.25">
      <c r="D127" s="3"/>
      <c r="E127" s="3"/>
      <c r="F127" s="3"/>
      <c r="G127" s="3"/>
      <c r="H127" s="3"/>
      <c r="I127" s="3"/>
    </row>
    <row r="128" spans="4:11" s="9" customFormat="1" x14ac:dyDescent="0.25">
      <c r="D128" s="3"/>
      <c r="E128" s="3"/>
      <c r="F128" s="3"/>
      <c r="G128" s="3"/>
      <c r="H128" s="3"/>
      <c r="I128" s="3"/>
    </row>
    <row r="129" spans="4:9" s="9" customFormat="1" x14ac:dyDescent="0.25">
      <c r="D129" s="3"/>
      <c r="E129" s="3"/>
      <c r="F129" s="3"/>
      <c r="G129" s="3"/>
      <c r="H129" s="3"/>
      <c r="I129" s="3"/>
    </row>
    <row r="130" spans="4:9" s="9" customFormat="1" x14ac:dyDescent="0.25">
      <c r="D130" s="3"/>
      <c r="E130" s="3"/>
      <c r="F130" s="3"/>
      <c r="G130" s="3"/>
      <c r="H130" s="3"/>
      <c r="I130" s="3"/>
    </row>
    <row r="131" spans="4:9" s="9" customFormat="1" x14ac:dyDescent="0.25">
      <c r="D131" s="3"/>
      <c r="E131" s="3"/>
      <c r="F131" s="3"/>
      <c r="G131" s="3"/>
      <c r="H131" s="3"/>
      <c r="I131" s="3"/>
    </row>
    <row r="132" spans="4:9" s="9" customFormat="1" x14ac:dyDescent="0.25">
      <c r="D132" s="3"/>
      <c r="E132" s="3"/>
      <c r="F132" s="3"/>
      <c r="G132" s="3"/>
      <c r="H132" s="3"/>
      <c r="I132" s="3"/>
    </row>
    <row r="133" spans="4:9" s="9" customFormat="1" x14ac:dyDescent="0.25">
      <c r="D133" s="3"/>
      <c r="E133" s="3"/>
      <c r="F133" s="3"/>
      <c r="G133" s="3"/>
      <c r="H133" s="3"/>
      <c r="I133" s="3"/>
    </row>
    <row r="134" spans="4:9" s="9" customFormat="1" x14ac:dyDescent="0.25">
      <c r="D134" s="3"/>
      <c r="E134" s="3"/>
      <c r="F134" s="3"/>
      <c r="G134" s="3"/>
      <c r="H134" s="3"/>
      <c r="I134" s="3"/>
    </row>
    <row r="135" spans="4:9" s="9" customFormat="1" x14ac:dyDescent="0.25">
      <c r="D135" s="3"/>
      <c r="E135" s="3"/>
      <c r="F135" s="3"/>
      <c r="G135" s="3"/>
      <c r="H135" s="3"/>
      <c r="I135" s="3"/>
    </row>
    <row r="136" spans="4:9" s="9" customFormat="1" x14ac:dyDescent="0.25">
      <c r="D136" s="3"/>
      <c r="E136" s="3"/>
      <c r="F136" s="3"/>
      <c r="G136" s="3"/>
      <c r="H136" s="3"/>
      <c r="I136" s="3"/>
    </row>
    <row r="137" spans="4:9" s="9" customFormat="1" x14ac:dyDescent="0.25">
      <c r="D137" s="3"/>
      <c r="E137" s="3"/>
      <c r="F137" s="3"/>
      <c r="G137" s="3"/>
      <c r="H137" s="3"/>
      <c r="I137" s="3"/>
    </row>
    <row r="138" spans="4:9" s="9" customFormat="1" x14ac:dyDescent="0.25">
      <c r="D138" s="3"/>
      <c r="E138" s="3"/>
      <c r="F138" s="3"/>
      <c r="G138" s="3"/>
      <c r="H138" s="3"/>
      <c r="I138" s="3"/>
    </row>
    <row r="139" spans="4:9" s="9" customFormat="1" x14ac:dyDescent="0.25">
      <c r="D139" s="3"/>
      <c r="E139" s="3"/>
      <c r="F139" s="3"/>
      <c r="G139" s="3"/>
      <c r="H139" s="3"/>
      <c r="I139" s="3"/>
    </row>
    <row r="140" spans="4:9" s="9" customFormat="1" x14ac:dyDescent="0.25">
      <c r="D140" s="3"/>
      <c r="E140" s="3"/>
      <c r="F140" s="3"/>
      <c r="G140" s="3"/>
      <c r="H140" s="3"/>
      <c r="I140" s="3"/>
    </row>
    <row r="141" spans="4:9" s="9" customFormat="1" x14ac:dyDescent="0.25">
      <c r="D141" s="3"/>
      <c r="E141" s="3"/>
      <c r="F141" s="3"/>
      <c r="G141" s="3"/>
      <c r="H141" s="3"/>
      <c r="I141" s="3"/>
    </row>
    <row r="142" spans="4:9" s="9" customFormat="1" x14ac:dyDescent="0.25">
      <c r="D142" s="3"/>
      <c r="E142" s="3"/>
      <c r="F142" s="3"/>
      <c r="G142" s="3"/>
      <c r="H142" s="3"/>
      <c r="I142" s="3"/>
    </row>
    <row r="143" spans="4:9" s="9" customFormat="1" x14ac:dyDescent="0.25">
      <c r="D143" s="3"/>
      <c r="E143" s="3"/>
      <c r="F143" s="3"/>
      <c r="G143" s="3"/>
      <c r="H143" s="3"/>
      <c r="I143" s="3"/>
    </row>
    <row r="144" spans="4:9" s="9" customFormat="1" x14ac:dyDescent="0.25">
      <c r="D144" s="3"/>
      <c r="E144" s="3"/>
      <c r="F144" s="3"/>
      <c r="G144" s="3"/>
      <c r="H144" s="3"/>
      <c r="I144" s="3"/>
    </row>
    <row r="145" spans="4:9" s="9" customFormat="1" x14ac:dyDescent="0.25">
      <c r="D145" s="3"/>
      <c r="E145" s="3"/>
      <c r="F145" s="3"/>
      <c r="G145" s="3"/>
      <c r="H145" s="3"/>
      <c r="I145" s="3"/>
    </row>
    <row r="146" spans="4:9" s="9" customFormat="1" x14ac:dyDescent="0.25">
      <c r="D146" s="3"/>
      <c r="E146" s="3"/>
      <c r="F146" s="3"/>
      <c r="G146" s="3"/>
      <c r="H146" s="3"/>
      <c r="I146" s="3"/>
    </row>
    <row r="147" spans="4:9" s="9" customFormat="1" x14ac:dyDescent="0.25">
      <c r="D147" s="3"/>
      <c r="E147" s="3"/>
      <c r="F147" s="3"/>
      <c r="G147" s="3"/>
      <c r="H147" s="3"/>
      <c r="I147" s="3"/>
    </row>
    <row r="148" spans="4:9" s="9" customFormat="1" x14ac:dyDescent="0.25">
      <c r="D148" s="3"/>
      <c r="E148" s="3"/>
      <c r="F148" s="3"/>
      <c r="G148" s="3"/>
      <c r="H148" s="3"/>
      <c r="I148" s="3"/>
    </row>
  </sheetData>
  <mergeCells count="75">
    <mergeCell ref="E117:J117"/>
    <mergeCell ref="E105:J105"/>
    <mergeCell ref="J113:K113"/>
    <mergeCell ref="E99:F99"/>
    <mergeCell ref="E100:F100"/>
    <mergeCell ref="E101:K101"/>
    <mergeCell ref="E107:K107"/>
    <mergeCell ref="J109:K109"/>
    <mergeCell ref="E110:K110"/>
    <mergeCell ref="J111:K111"/>
    <mergeCell ref="E112:K112"/>
    <mergeCell ref="E115:I115"/>
    <mergeCell ref="J115:K115"/>
    <mergeCell ref="J114:K114"/>
    <mergeCell ref="E84:K84"/>
    <mergeCell ref="E98:F98"/>
    <mergeCell ref="E86:K86"/>
    <mergeCell ref="E87:E88"/>
    <mergeCell ref="E93:J93"/>
    <mergeCell ref="E85:F85"/>
    <mergeCell ref="E95:K96"/>
    <mergeCell ref="E97:F97"/>
    <mergeCell ref="E2:K2"/>
    <mergeCell ref="E4:K4"/>
    <mergeCell ref="E5:F5"/>
    <mergeCell ref="E6:F6"/>
    <mergeCell ref="E7:F7"/>
    <mergeCell ref="E118:K118"/>
    <mergeCell ref="E8:F8"/>
    <mergeCell ref="E18:J18"/>
    <mergeCell ref="E20:K21"/>
    <mergeCell ref="E22:F22"/>
    <mergeCell ref="E23:F23"/>
    <mergeCell ref="E9:K9"/>
    <mergeCell ref="E10:F10"/>
    <mergeCell ref="E11:K11"/>
    <mergeCell ref="E12:E13"/>
    <mergeCell ref="E14:E16"/>
    <mergeCell ref="E24:F24"/>
    <mergeCell ref="E27:F27"/>
    <mergeCell ref="E28:K28"/>
    <mergeCell ref="E54:F54"/>
    <mergeCell ref="E36:E40"/>
    <mergeCell ref="E81:F81"/>
    <mergeCell ref="E17:F17"/>
    <mergeCell ref="E34:F34"/>
    <mergeCell ref="E41:E44"/>
    <mergeCell ref="E45:E47"/>
    <mergeCell ref="E50:E52"/>
    <mergeCell ref="E48:K48"/>
    <mergeCell ref="E56:E58"/>
    <mergeCell ref="E62:K62"/>
    <mergeCell ref="E53:K53"/>
    <mergeCell ref="E60:E61"/>
    <mergeCell ref="E25:F25"/>
    <mergeCell ref="E26:K26"/>
    <mergeCell ref="E29:E30"/>
    <mergeCell ref="E31:E33"/>
    <mergeCell ref="E35:K35"/>
    <mergeCell ref="E74:E75"/>
    <mergeCell ref="E103:E104"/>
    <mergeCell ref="E63:F63"/>
    <mergeCell ref="E64:F64"/>
    <mergeCell ref="E65:F65"/>
    <mergeCell ref="E89:E91"/>
    <mergeCell ref="E92:F92"/>
    <mergeCell ref="E82:F82"/>
    <mergeCell ref="E83:F83"/>
    <mergeCell ref="E66:F66"/>
    <mergeCell ref="E67:K67"/>
    <mergeCell ref="E69:F69"/>
    <mergeCell ref="E70:K70"/>
    <mergeCell ref="E76:J76"/>
    <mergeCell ref="E78:K79"/>
    <mergeCell ref="E80:F80"/>
  </mergeCells>
  <printOptions horizontalCentered="1"/>
  <pageMargins left="0.70866141732283472" right="0.70866141732283472" top="0.74803149606299213" bottom="0.74803149606299213" header="0.31496062992125984" footer="0.31496062992125984"/>
  <pageSetup paperSize="8" scale="48" orientation="portrait" r:id="rId1"/>
  <rowBreaks count="1" manualBreakCount="1">
    <brk id="77" min="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pageSetUpPr fitToPage="1"/>
  </sheetPr>
  <dimension ref="A1:L45"/>
  <sheetViews>
    <sheetView tabSelected="1" view="pageBreakPreview" topLeftCell="A16" zoomScale="60" zoomScaleNormal="70" workbookViewId="0">
      <selection activeCell="O144" sqref="O144"/>
    </sheetView>
  </sheetViews>
  <sheetFormatPr baseColWidth="10" defaultRowHeight="15" x14ac:dyDescent="0.25"/>
  <cols>
    <col min="1" max="1" width="11.42578125" style="9"/>
    <col min="2" max="2" width="19.42578125" customWidth="1"/>
    <col min="3" max="3" width="28.7109375" customWidth="1"/>
    <col min="4" max="4" width="23.42578125" customWidth="1"/>
    <col min="5" max="5" width="17.5703125" customWidth="1"/>
    <col min="6" max="6" width="15.140625" customWidth="1"/>
    <col min="7" max="7" width="17.28515625" customWidth="1"/>
    <col min="8" max="8" width="22.42578125" customWidth="1"/>
    <col min="11" max="11" width="27.5703125" customWidth="1"/>
  </cols>
  <sheetData>
    <row r="1" spans="2:8" s="9" customFormat="1" ht="13.5" customHeight="1" thickBot="1" x14ac:dyDescent="0.3"/>
    <row r="2" spans="2:8" s="9" customFormat="1" ht="22.5" customHeight="1" thickBot="1" x14ac:dyDescent="0.3">
      <c r="B2" s="500" t="s">
        <v>309</v>
      </c>
      <c r="C2" s="501"/>
      <c r="D2" s="501"/>
      <c r="E2" s="501"/>
      <c r="F2" s="501"/>
      <c r="G2" s="501"/>
      <c r="H2" s="502"/>
    </row>
    <row r="3" spans="2:8" s="9" customFormat="1" ht="15.75" thickBot="1" x14ac:dyDescent="0.3"/>
    <row r="4" spans="2:8" s="9" customFormat="1" ht="15" customHeight="1" x14ac:dyDescent="0.25">
      <c r="B4" s="479" t="s">
        <v>303</v>
      </c>
      <c r="C4" s="480"/>
      <c r="D4" s="480"/>
      <c r="E4" s="480"/>
      <c r="F4" s="480"/>
      <c r="G4" s="480"/>
      <c r="H4" s="481"/>
    </row>
    <row r="5" spans="2:8" s="9" customFormat="1" ht="9" customHeight="1" x14ac:dyDescent="0.25">
      <c r="B5" s="482"/>
      <c r="C5" s="483"/>
      <c r="D5" s="483"/>
      <c r="E5" s="483"/>
      <c r="F5" s="483"/>
      <c r="G5" s="483"/>
      <c r="H5" s="484"/>
    </row>
    <row r="6" spans="2:8" s="9" customFormat="1" ht="24" customHeight="1" x14ac:dyDescent="0.25">
      <c r="B6" s="485" t="s">
        <v>134</v>
      </c>
      <c r="C6" s="486"/>
      <c r="D6" s="97" t="s">
        <v>167</v>
      </c>
      <c r="E6" s="95" t="s">
        <v>168</v>
      </c>
      <c r="F6" s="95" t="s">
        <v>310</v>
      </c>
      <c r="G6" s="95" t="s">
        <v>170</v>
      </c>
      <c r="H6" s="96" t="s">
        <v>171</v>
      </c>
    </row>
    <row r="7" spans="2:8" s="9" customFormat="1" ht="16.5" x14ac:dyDescent="0.3">
      <c r="B7" s="467" t="s">
        <v>102</v>
      </c>
      <c r="C7" s="468"/>
      <c r="D7" s="92">
        <v>3</v>
      </c>
      <c r="E7" s="92">
        <v>4</v>
      </c>
      <c r="F7" s="92">
        <v>7</v>
      </c>
      <c r="G7" s="92">
        <v>60</v>
      </c>
      <c r="H7" s="93">
        <f>D7*F7*G7*E7</f>
        <v>5040</v>
      </c>
    </row>
    <row r="8" spans="2:8" s="9" customFormat="1" ht="21" customHeight="1" x14ac:dyDescent="0.25">
      <c r="B8" s="469" t="s">
        <v>174</v>
      </c>
      <c r="C8" s="494"/>
      <c r="D8" s="92">
        <v>1</v>
      </c>
      <c r="E8" s="92">
        <v>1</v>
      </c>
      <c r="F8" s="92">
        <v>7</v>
      </c>
      <c r="G8" s="92">
        <v>351</v>
      </c>
      <c r="H8" s="93">
        <f t="shared" ref="H8:H9" si="0">D8*F8*G8*E8</f>
        <v>2457</v>
      </c>
    </row>
    <row r="9" spans="2:8" s="9" customFormat="1" ht="24" customHeight="1" x14ac:dyDescent="0.25">
      <c r="B9" s="469" t="s">
        <v>175</v>
      </c>
      <c r="C9" s="494"/>
      <c r="D9" s="92">
        <v>1</v>
      </c>
      <c r="E9" s="92">
        <v>1</v>
      </c>
      <c r="F9" s="92">
        <v>7</v>
      </c>
      <c r="G9" s="92">
        <v>3500</v>
      </c>
      <c r="H9" s="93">
        <f t="shared" si="0"/>
        <v>24500</v>
      </c>
    </row>
    <row r="10" spans="2:8" s="9" customFormat="1" ht="17.25" customHeight="1" x14ac:dyDescent="0.25">
      <c r="B10" s="525" t="s">
        <v>188</v>
      </c>
      <c r="C10" s="526"/>
      <c r="D10" s="526"/>
      <c r="E10" s="526"/>
      <c r="F10" s="526"/>
      <c r="G10" s="526"/>
      <c r="H10" s="527"/>
    </row>
    <row r="11" spans="2:8" s="9" customFormat="1" ht="25.5" customHeight="1" x14ac:dyDescent="0.3">
      <c r="B11" s="488" t="s">
        <v>189</v>
      </c>
      <c r="C11" s="241" t="s">
        <v>190</v>
      </c>
      <c r="D11" s="237">
        <v>4</v>
      </c>
      <c r="E11" s="237">
        <v>1</v>
      </c>
      <c r="F11" s="237">
        <v>7</v>
      </c>
      <c r="G11" s="237">
        <v>3</v>
      </c>
      <c r="H11" s="93">
        <f>D11*F11*G11*E11</f>
        <v>84</v>
      </c>
    </row>
    <row r="12" spans="2:8" s="9" customFormat="1" ht="16.5" x14ac:dyDescent="0.3">
      <c r="B12" s="489"/>
      <c r="C12" s="241" t="s">
        <v>191</v>
      </c>
      <c r="D12" s="237">
        <v>4</v>
      </c>
      <c r="E12" s="237">
        <v>1</v>
      </c>
      <c r="F12" s="237">
        <v>7</v>
      </c>
      <c r="G12" s="237">
        <v>4.5</v>
      </c>
      <c r="H12" s="238">
        <f t="shared" ref="H12:H22" si="1">D12*F12*G12*E12</f>
        <v>126</v>
      </c>
    </row>
    <row r="13" spans="2:8" s="9" customFormat="1" ht="16.5" x14ac:dyDescent="0.3">
      <c r="B13" s="489"/>
      <c r="C13" s="241" t="s">
        <v>192</v>
      </c>
      <c r="D13" s="237">
        <v>4</v>
      </c>
      <c r="E13" s="237">
        <v>1</v>
      </c>
      <c r="F13" s="237">
        <v>7</v>
      </c>
      <c r="G13" s="237">
        <v>1.5</v>
      </c>
      <c r="H13" s="238">
        <f t="shared" si="1"/>
        <v>42</v>
      </c>
    </row>
    <row r="14" spans="2:8" s="9" customFormat="1" ht="16.5" x14ac:dyDescent="0.3">
      <c r="B14" s="489"/>
      <c r="C14" s="241" t="s">
        <v>193</v>
      </c>
      <c r="D14" s="237">
        <v>4</v>
      </c>
      <c r="E14" s="237">
        <v>1</v>
      </c>
      <c r="F14" s="237">
        <v>7</v>
      </c>
      <c r="G14" s="237">
        <v>3</v>
      </c>
      <c r="H14" s="238">
        <f t="shared" si="1"/>
        <v>84</v>
      </c>
    </row>
    <row r="15" spans="2:8" s="9" customFormat="1" ht="16.5" x14ac:dyDescent="0.3">
      <c r="B15" s="490"/>
      <c r="C15" s="241" t="s">
        <v>314</v>
      </c>
      <c r="D15" s="237">
        <v>4</v>
      </c>
      <c r="E15" s="237">
        <v>1</v>
      </c>
      <c r="F15" s="237">
        <v>7</v>
      </c>
      <c r="G15" s="237">
        <v>15</v>
      </c>
      <c r="H15" s="238">
        <f t="shared" si="1"/>
        <v>420</v>
      </c>
    </row>
    <row r="16" spans="2:8" s="9" customFormat="1" ht="16.899999999999999" customHeight="1" x14ac:dyDescent="0.3">
      <c r="B16" s="465" t="s">
        <v>290</v>
      </c>
      <c r="C16" s="162" t="s">
        <v>367</v>
      </c>
      <c r="D16" s="237">
        <v>4</v>
      </c>
      <c r="E16" s="237">
        <v>1</v>
      </c>
      <c r="F16" s="237">
        <v>7</v>
      </c>
      <c r="G16" s="237">
        <v>105</v>
      </c>
      <c r="H16" s="238">
        <f t="shared" si="1"/>
        <v>2940</v>
      </c>
    </row>
    <row r="17" spans="2:8" s="9" customFormat="1" ht="18" customHeight="1" x14ac:dyDescent="0.3">
      <c r="B17" s="487"/>
      <c r="C17" s="162" t="s">
        <v>368</v>
      </c>
      <c r="D17" s="237">
        <v>4</v>
      </c>
      <c r="E17" s="237">
        <v>1</v>
      </c>
      <c r="F17" s="237">
        <v>7</v>
      </c>
      <c r="G17" s="237">
        <v>60</v>
      </c>
      <c r="H17" s="238">
        <f t="shared" si="1"/>
        <v>1680</v>
      </c>
    </row>
    <row r="18" spans="2:8" s="9" customFormat="1" ht="23.45" customHeight="1" x14ac:dyDescent="0.3">
      <c r="B18" s="487"/>
      <c r="C18" s="162" t="s">
        <v>369</v>
      </c>
      <c r="D18" s="237">
        <v>4</v>
      </c>
      <c r="E18" s="237">
        <v>1</v>
      </c>
      <c r="F18" s="237">
        <v>7</v>
      </c>
      <c r="G18" s="237">
        <v>75</v>
      </c>
      <c r="H18" s="238">
        <f t="shared" si="1"/>
        <v>2100</v>
      </c>
    </row>
    <row r="19" spans="2:8" s="9" customFormat="1" ht="19.5" customHeight="1" x14ac:dyDescent="0.3">
      <c r="B19" s="466"/>
      <c r="C19" s="162" t="s">
        <v>315</v>
      </c>
      <c r="D19" s="237">
        <v>4</v>
      </c>
      <c r="E19" s="237">
        <v>1</v>
      </c>
      <c r="F19" s="237">
        <v>7</v>
      </c>
      <c r="G19" s="237">
        <v>12</v>
      </c>
      <c r="H19" s="238">
        <f t="shared" si="1"/>
        <v>336</v>
      </c>
    </row>
    <row r="20" spans="2:8" s="9" customFormat="1" ht="17.45" customHeight="1" x14ac:dyDescent="0.3">
      <c r="B20" s="488" t="s">
        <v>194</v>
      </c>
      <c r="C20" s="162" t="s">
        <v>370</v>
      </c>
      <c r="D20" s="237">
        <v>4</v>
      </c>
      <c r="E20" s="237">
        <v>1</v>
      </c>
      <c r="F20" s="237">
        <v>7</v>
      </c>
      <c r="G20" s="237">
        <v>9</v>
      </c>
      <c r="H20" s="238">
        <f t="shared" si="1"/>
        <v>252</v>
      </c>
    </row>
    <row r="21" spans="2:8" s="9" customFormat="1" ht="21" customHeight="1" x14ac:dyDescent="0.3">
      <c r="B21" s="489"/>
      <c r="C21" s="162" t="s">
        <v>371</v>
      </c>
      <c r="D21" s="237">
        <v>4</v>
      </c>
      <c r="E21" s="237">
        <v>1</v>
      </c>
      <c r="F21" s="237">
        <v>7</v>
      </c>
      <c r="G21" s="237">
        <v>15</v>
      </c>
      <c r="H21" s="238">
        <f t="shared" si="1"/>
        <v>420</v>
      </c>
    </row>
    <row r="22" spans="2:8" s="9" customFormat="1" ht="57.6" customHeight="1" x14ac:dyDescent="0.25">
      <c r="B22" s="490"/>
      <c r="C22" s="66" t="s">
        <v>372</v>
      </c>
      <c r="D22" s="237">
        <v>4</v>
      </c>
      <c r="E22" s="237">
        <v>1</v>
      </c>
      <c r="F22" s="237">
        <v>7</v>
      </c>
      <c r="G22" s="237">
        <v>49.5</v>
      </c>
      <c r="H22" s="238">
        <f t="shared" si="1"/>
        <v>1386</v>
      </c>
    </row>
    <row r="23" spans="2:8" s="9" customFormat="1" ht="19.5" customHeight="1" x14ac:dyDescent="0.25">
      <c r="B23" s="497" t="s">
        <v>195</v>
      </c>
      <c r="C23" s="498"/>
      <c r="D23" s="498"/>
      <c r="E23" s="498"/>
      <c r="F23" s="498"/>
      <c r="G23" s="498"/>
      <c r="H23" s="499"/>
    </row>
    <row r="24" spans="2:8" s="9" customFormat="1" ht="77.25" customHeight="1" x14ac:dyDescent="0.25">
      <c r="B24" s="239" t="s">
        <v>194</v>
      </c>
      <c r="C24" s="66" t="s">
        <v>316</v>
      </c>
      <c r="D24" s="237">
        <v>4</v>
      </c>
      <c r="E24" s="237">
        <v>1</v>
      </c>
      <c r="F24" s="237">
        <v>7</v>
      </c>
      <c r="G24" s="92">
        <v>52.5</v>
      </c>
      <c r="H24" s="93">
        <f>D24*F24*G24*E24</f>
        <v>1470</v>
      </c>
    </row>
    <row r="25" spans="2:8" s="9" customFormat="1" ht="21.6" customHeight="1" x14ac:dyDescent="0.3">
      <c r="B25" s="465" t="s">
        <v>290</v>
      </c>
      <c r="C25" s="162" t="s">
        <v>367</v>
      </c>
      <c r="D25" s="237">
        <v>4</v>
      </c>
      <c r="E25" s="237">
        <v>1</v>
      </c>
      <c r="F25" s="237">
        <v>7</v>
      </c>
      <c r="G25" s="237">
        <v>105</v>
      </c>
      <c r="H25" s="238">
        <f>D25*F25*G25*E25</f>
        <v>2940</v>
      </c>
    </row>
    <row r="26" spans="2:8" s="9" customFormat="1" ht="16.5" customHeight="1" x14ac:dyDescent="0.3">
      <c r="B26" s="487"/>
      <c r="C26" s="162" t="s">
        <v>368</v>
      </c>
      <c r="D26" s="237">
        <v>4</v>
      </c>
      <c r="E26" s="237">
        <v>1</v>
      </c>
      <c r="F26" s="237">
        <v>7</v>
      </c>
      <c r="G26" s="237">
        <v>60</v>
      </c>
      <c r="H26" s="238">
        <f>D26*F26*G26*E26</f>
        <v>1680</v>
      </c>
    </row>
    <row r="27" spans="2:8" s="9" customFormat="1" ht="24" customHeight="1" x14ac:dyDescent="0.3">
      <c r="B27" s="466"/>
      <c r="C27" s="162" t="s">
        <v>369</v>
      </c>
      <c r="D27" s="237">
        <v>4</v>
      </c>
      <c r="E27" s="237">
        <v>1</v>
      </c>
      <c r="F27" s="237">
        <v>7</v>
      </c>
      <c r="G27" s="160">
        <v>72</v>
      </c>
      <c r="H27" s="161">
        <f>D27*F27*G27*E27</f>
        <v>2016</v>
      </c>
    </row>
    <row r="28" spans="2:8" s="9" customFormat="1" ht="16.5" x14ac:dyDescent="0.3">
      <c r="B28" s="472" t="s">
        <v>196</v>
      </c>
      <c r="C28" s="473"/>
      <c r="D28" s="473"/>
      <c r="E28" s="473"/>
      <c r="F28" s="473"/>
      <c r="G28" s="473"/>
      <c r="H28" s="474"/>
    </row>
    <row r="29" spans="2:8" s="9" customFormat="1" ht="26.25" customHeight="1" x14ac:dyDescent="0.25">
      <c r="B29" s="239" t="s">
        <v>102</v>
      </c>
      <c r="C29" s="240" t="s">
        <v>21</v>
      </c>
      <c r="D29" s="237">
        <v>6</v>
      </c>
      <c r="E29" s="237">
        <v>3</v>
      </c>
      <c r="F29" s="237">
        <v>7</v>
      </c>
      <c r="G29" s="92">
        <v>60</v>
      </c>
      <c r="H29" s="93">
        <f t="shared" ref="H29:H35" si="2">D29*F29*G29*E29</f>
        <v>7560</v>
      </c>
    </row>
    <row r="30" spans="2:8" s="9" customFormat="1" ht="16.5" x14ac:dyDescent="0.3">
      <c r="B30" s="469" t="s">
        <v>189</v>
      </c>
      <c r="C30" s="241" t="s">
        <v>190</v>
      </c>
      <c r="D30" s="237">
        <v>3</v>
      </c>
      <c r="E30" s="237">
        <v>1</v>
      </c>
      <c r="F30" s="237">
        <v>7</v>
      </c>
      <c r="G30" s="92">
        <v>3</v>
      </c>
      <c r="H30" s="93">
        <f t="shared" si="2"/>
        <v>63</v>
      </c>
    </row>
    <row r="31" spans="2:8" ht="16.5" x14ac:dyDescent="0.3">
      <c r="B31" s="469"/>
      <c r="C31" s="241" t="s">
        <v>192</v>
      </c>
      <c r="D31" s="237">
        <v>3</v>
      </c>
      <c r="E31" s="237">
        <v>1</v>
      </c>
      <c r="F31" s="237">
        <v>7</v>
      </c>
      <c r="G31" s="92">
        <v>1.5</v>
      </c>
      <c r="H31" s="93">
        <f t="shared" si="2"/>
        <v>31.5</v>
      </c>
    </row>
    <row r="32" spans="2:8" ht="16.5" x14ac:dyDescent="0.3">
      <c r="B32" s="469"/>
      <c r="C32" s="241" t="s">
        <v>193</v>
      </c>
      <c r="D32" s="237">
        <v>3</v>
      </c>
      <c r="E32" s="237">
        <v>1</v>
      </c>
      <c r="F32" s="237">
        <v>7</v>
      </c>
      <c r="G32" s="92">
        <v>3</v>
      </c>
      <c r="H32" s="93">
        <f t="shared" si="2"/>
        <v>63</v>
      </c>
    </row>
    <row r="33" spans="2:12" ht="75" customHeight="1" x14ac:dyDescent="0.25">
      <c r="B33" s="239" t="s">
        <v>194</v>
      </c>
      <c r="C33" s="66" t="s">
        <v>317</v>
      </c>
      <c r="D33" s="237">
        <v>3</v>
      </c>
      <c r="E33" s="237">
        <v>1</v>
      </c>
      <c r="F33" s="237">
        <v>7</v>
      </c>
      <c r="G33" s="92">
        <v>49.5</v>
      </c>
      <c r="H33" s="93">
        <f t="shared" si="2"/>
        <v>1039.5</v>
      </c>
      <c r="L33" s="66"/>
    </row>
    <row r="34" spans="2:12" s="9" customFormat="1" ht="15" customHeight="1" x14ac:dyDescent="0.3">
      <c r="B34" s="465" t="s">
        <v>290</v>
      </c>
      <c r="C34" s="162" t="s">
        <v>399</v>
      </c>
      <c r="D34" s="237">
        <v>3</v>
      </c>
      <c r="E34" s="237">
        <v>1</v>
      </c>
      <c r="F34" s="237">
        <v>7</v>
      </c>
      <c r="G34" s="237">
        <v>105</v>
      </c>
      <c r="H34" s="238">
        <f t="shared" si="2"/>
        <v>2205</v>
      </c>
    </row>
    <row r="35" spans="2:12" s="9" customFormat="1" ht="30.6" customHeight="1" x14ac:dyDescent="0.3">
      <c r="B35" s="487"/>
      <c r="C35" s="162" t="s">
        <v>373</v>
      </c>
      <c r="D35" s="237">
        <v>3</v>
      </c>
      <c r="E35" s="237">
        <v>1</v>
      </c>
      <c r="F35" s="237">
        <v>7</v>
      </c>
      <c r="G35" s="237">
        <v>60</v>
      </c>
      <c r="H35" s="238">
        <f t="shared" si="2"/>
        <v>1260</v>
      </c>
    </row>
    <row r="36" spans="2:12" s="9" customFormat="1" ht="33" x14ac:dyDescent="0.3">
      <c r="B36" s="466"/>
      <c r="C36" s="162" t="s">
        <v>374</v>
      </c>
      <c r="D36" s="237">
        <v>3</v>
      </c>
      <c r="E36" s="237">
        <v>1</v>
      </c>
      <c r="F36" s="237">
        <v>7</v>
      </c>
      <c r="G36" s="160">
        <v>72</v>
      </c>
      <c r="H36" s="161">
        <f>D36*F36*G36*E36</f>
        <v>1512</v>
      </c>
    </row>
    <row r="37" spans="2:12" ht="16.5" x14ac:dyDescent="0.3">
      <c r="B37" s="472" t="s">
        <v>198</v>
      </c>
      <c r="C37" s="473"/>
      <c r="D37" s="473"/>
      <c r="E37" s="473"/>
      <c r="F37" s="473"/>
      <c r="G37" s="473"/>
      <c r="H37" s="474"/>
    </row>
    <row r="38" spans="2:12" s="9" customFormat="1" ht="16.5" x14ac:dyDescent="0.3">
      <c r="B38" s="467" t="s">
        <v>375</v>
      </c>
      <c r="C38" s="468"/>
      <c r="D38" s="237">
        <v>4</v>
      </c>
      <c r="E38" s="237">
        <v>1</v>
      </c>
      <c r="F38" s="237">
        <v>7</v>
      </c>
      <c r="G38" s="237">
        <v>27</v>
      </c>
      <c r="H38" s="310">
        <f>D38*E38*F38*G38</f>
        <v>756</v>
      </c>
    </row>
    <row r="39" spans="2:12" s="9" customFormat="1" ht="16.5" x14ac:dyDescent="0.3">
      <c r="B39" s="467" t="s">
        <v>376</v>
      </c>
      <c r="C39" s="468"/>
      <c r="D39" s="237">
        <v>4</v>
      </c>
      <c r="E39" s="237">
        <v>1</v>
      </c>
      <c r="F39" s="237">
        <v>7</v>
      </c>
      <c r="G39" s="237">
        <v>27</v>
      </c>
      <c r="H39" s="310">
        <f t="shared" ref="H39:H41" si="3">D39*E39*F39*G39</f>
        <v>756</v>
      </c>
    </row>
    <row r="40" spans="2:12" s="9" customFormat="1" ht="16.5" x14ac:dyDescent="0.3">
      <c r="B40" s="467" t="s">
        <v>377</v>
      </c>
      <c r="C40" s="468"/>
      <c r="D40" s="237">
        <v>4</v>
      </c>
      <c r="E40" s="237">
        <v>1</v>
      </c>
      <c r="F40" s="237">
        <v>7</v>
      </c>
      <c r="G40" s="237">
        <v>27</v>
      </c>
      <c r="H40" s="310">
        <f t="shared" si="3"/>
        <v>756</v>
      </c>
    </row>
    <row r="41" spans="2:12" ht="23.25" customHeight="1" x14ac:dyDescent="0.3">
      <c r="B41" s="467" t="s">
        <v>378</v>
      </c>
      <c r="C41" s="468"/>
      <c r="D41" s="237">
        <v>4</v>
      </c>
      <c r="E41" s="237">
        <v>1</v>
      </c>
      <c r="F41" s="237">
        <v>7</v>
      </c>
      <c r="G41" s="237">
        <v>27</v>
      </c>
      <c r="H41" s="310">
        <f t="shared" si="3"/>
        <v>756</v>
      </c>
    </row>
    <row r="42" spans="2:12" s="9" customFormat="1" ht="23.25" customHeight="1" x14ac:dyDescent="0.3">
      <c r="B42" s="522" t="s">
        <v>400</v>
      </c>
      <c r="C42" s="523"/>
      <c r="D42" s="523"/>
      <c r="E42" s="523"/>
      <c r="F42" s="523"/>
      <c r="G42" s="524"/>
      <c r="H42" s="311">
        <v>75522.36</v>
      </c>
      <c r="J42" s="16">
        <f>12752.17+3581.76</f>
        <v>16333.93</v>
      </c>
      <c r="K42" s="16" t="s">
        <v>401</v>
      </c>
      <c r="L42" s="9">
        <v>8000</v>
      </c>
    </row>
    <row r="43" spans="2:12" ht="22.5" customHeight="1" thickBot="1" x14ac:dyDescent="0.3">
      <c r="B43" s="520" t="s">
        <v>222</v>
      </c>
      <c r="C43" s="521"/>
      <c r="D43" s="521"/>
      <c r="E43" s="521"/>
      <c r="F43" s="521"/>
      <c r="G43" s="521"/>
      <c r="H43" s="107">
        <f>H7+H8+H9+H11+H12+H13+H15+H16+H24+H29+H30+H31+H32+H33+H41+H36+H27+H22+H17+H14+H18+H19+H20+H21+H25+H26+H34+H35+H38+H39+H40+H42</f>
        <v>142253.35999999999</v>
      </c>
      <c r="J43" t="s">
        <v>402</v>
      </c>
      <c r="K43">
        <v>42174.3</v>
      </c>
      <c r="L43">
        <f>K43/2</f>
        <v>21087.15</v>
      </c>
    </row>
    <row r="44" spans="2:12" ht="16.5" x14ac:dyDescent="0.3">
      <c r="B44" s="519" t="s">
        <v>365</v>
      </c>
      <c r="C44" s="519"/>
      <c r="D44" s="519"/>
      <c r="E44" s="519"/>
      <c r="F44" s="519"/>
      <c r="G44" s="519"/>
      <c r="H44" s="519"/>
    </row>
    <row r="45" spans="2:12" ht="16.5" x14ac:dyDescent="0.3">
      <c r="B45" s="519" t="s">
        <v>311</v>
      </c>
      <c r="C45" s="519"/>
      <c r="D45" s="519"/>
      <c r="E45" s="519"/>
      <c r="F45" s="519"/>
      <c r="G45" s="519"/>
      <c r="H45" s="519"/>
      <c r="K45">
        <f>28651.52*L43/L42</f>
        <v>75522.362496000002</v>
      </c>
    </row>
  </sheetData>
  <mergeCells count="24">
    <mergeCell ref="B2:H2"/>
    <mergeCell ref="B44:H44"/>
    <mergeCell ref="B30:B32"/>
    <mergeCell ref="B37:H37"/>
    <mergeCell ref="B41:C41"/>
    <mergeCell ref="B10:H10"/>
    <mergeCell ref="B11:B15"/>
    <mergeCell ref="B23:H23"/>
    <mergeCell ref="B28:H28"/>
    <mergeCell ref="B4:H5"/>
    <mergeCell ref="B6:C6"/>
    <mergeCell ref="B7:C7"/>
    <mergeCell ref="B16:B19"/>
    <mergeCell ref="B20:B22"/>
    <mergeCell ref="B25:B27"/>
    <mergeCell ref="B34:B36"/>
    <mergeCell ref="B8:C8"/>
    <mergeCell ref="B9:C9"/>
    <mergeCell ref="B45:H45"/>
    <mergeCell ref="B43:G43"/>
    <mergeCell ref="B38:C38"/>
    <mergeCell ref="B39:C39"/>
    <mergeCell ref="B40:C40"/>
    <mergeCell ref="B42:G42"/>
  </mergeCells>
  <printOptions horizontalCentered="1"/>
  <pageMargins left="0.70866141732283472" right="0.70866141732283472" top="0.74803149606299213" bottom="0.74803149606299213" header="0.31496062992125984" footer="0.31496062992125984"/>
  <pageSetup paperSize="8"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047B6-4B60-4E34-9474-36E7DFB10570}">
  <sheetPr>
    <tabColor theme="8" tint="0.79998168889431442"/>
    <pageSetUpPr fitToPage="1"/>
  </sheetPr>
  <dimension ref="A1:CN64"/>
  <sheetViews>
    <sheetView tabSelected="1" view="pageBreakPreview" zoomScale="60" zoomScaleNormal="55" workbookViewId="0">
      <selection activeCell="O144" sqref="O144"/>
    </sheetView>
  </sheetViews>
  <sheetFormatPr baseColWidth="10" defaultRowHeight="15" x14ac:dyDescent="0.25"/>
  <cols>
    <col min="1" max="1" width="4" customWidth="1"/>
    <col min="4" max="4" width="13.140625" customWidth="1"/>
    <col min="5" max="47" width="3.28515625" customWidth="1"/>
    <col min="48" max="60" width="3.28515625" style="9" customWidth="1"/>
    <col min="61" max="61" width="8.85546875" style="9" customWidth="1"/>
    <col min="62" max="62" width="8.28515625" customWidth="1"/>
    <col min="63" max="82" width="3.28515625" customWidth="1"/>
  </cols>
  <sheetData>
    <row r="1" spans="1:92" ht="15.75" thickBot="1" x14ac:dyDescent="0.3">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BJ1" s="9"/>
      <c r="BK1" s="9"/>
      <c r="BL1" s="9"/>
      <c r="BM1" s="9"/>
      <c r="BN1" s="9"/>
      <c r="BO1" s="9"/>
      <c r="BP1" s="9"/>
      <c r="BQ1" s="9"/>
      <c r="BR1" s="9"/>
      <c r="BS1" s="9"/>
      <c r="BT1" s="9"/>
      <c r="BU1" s="9"/>
      <c r="BV1" s="9"/>
      <c r="BW1" s="9"/>
      <c r="BX1" s="9"/>
      <c r="BY1" s="9"/>
      <c r="BZ1" s="9"/>
      <c r="CA1" s="9"/>
      <c r="CB1" s="9"/>
      <c r="CC1" s="9"/>
      <c r="CD1" s="9"/>
    </row>
    <row r="2" spans="1:92" ht="25.5" x14ac:dyDescent="0.35">
      <c r="A2" s="9"/>
      <c r="B2" s="584" t="s">
        <v>364</v>
      </c>
      <c r="C2" s="585"/>
      <c r="D2" s="585"/>
      <c r="E2" s="585"/>
      <c r="F2" s="585"/>
      <c r="G2" s="585"/>
      <c r="H2" s="585"/>
      <c r="I2" s="585"/>
      <c r="J2" s="585"/>
      <c r="K2" s="585"/>
      <c r="L2" s="585"/>
      <c r="M2" s="585"/>
      <c r="N2" s="585"/>
      <c r="O2" s="585"/>
      <c r="P2" s="585"/>
      <c r="Q2" s="585"/>
      <c r="R2" s="585"/>
      <c r="S2" s="585"/>
      <c r="T2" s="585"/>
      <c r="U2" s="585"/>
      <c r="V2" s="585"/>
      <c r="W2" s="585"/>
      <c r="X2" s="585"/>
      <c r="Y2" s="585"/>
      <c r="Z2" s="585"/>
      <c r="AA2" s="585"/>
      <c r="AB2" s="585"/>
      <c r="AC2" s="585"/>
      <c r="AD2" s="585"/>
      <c r="AE2" s="585"/>
      <c r="AF2" s="585"/>
      <c r="AG2" s="585"/>
      <c r="AH2" s="585"/>
      <c r="AI2" s="585"/>
      <c r="AJ2" s="585"/>
      <c r="AK2" s="585"/>
      <c r="AL2" s="585"/>
      <c r="AM2" s="585"/>
      <c r="AN2" s="585"/>
      <c r="AO2" s="585"/>
      <c r="AP2" s="585"/>
      <c r="AQ2" s="585"/>
      <c r="AR2" s="585"/>
      <c r="AS2" s="585"/>
      <c r="AT2" s="585"/>
      <c r="AU2" s="585"/>
      <c r="AV2" s="585"/>
      <c r="AW2" s="585"/>
      <c r="AX2" s="585"/>
      <c r="AY2" s="585"/>
      <c r="AZ2" s="585"/>
      <c r="BA2" s="585"/>
      <c r="BB2" s="585"/>
      <c r="BC2" s="585"/>
      <c r="BD2" s="585"/>
      <c r="BE2" s="585"/>
      <c r="BF2" s="585"/>
      <c r="BG2" s="585"/>
      <c r="BH2" s="585"/>
      <c r="BI2" s="585"/>
      <c r="BJ2" s="585"/>
      <c r="BK2" s="585"/>
      <c r="BL2" s="585"/>
      <c r="BM2" s="585"/>
      <c r="BN2" s="585"/>
      <c r="BO2" s="585"/>
      <c r="BP2" s="585"/>
      <c r="BQ2" s="585"/>
      <c r="BR2" s="585"/>
      <c r="BS2" s="585"/>
      <c r="BT2" s="585"/>
      <c r="BU2" s="585"/>
      <c r="BV2" s="585"/>
      <c r="BW2" s="585"/>
      <c r="BX2" s="585"/>
      <c r="BY2" s="585"/>
      <c r="BZ2" s="585"/>
      <c r="CA2" s="585"/>
      <c r="CB2" s="585"/>
      <c r="CC2" s="585"/>
      <c r="CD2" s="586"/>
    </row>
    <row r="3" spans="1:92" ht="15.75" thickBot="1" x14ac:dyDescent="0.3">
      <c r="A3" s="9"/>
      <c r="B3" s="570"/>
      <c r="C3" s="571"/>
      <c r="D3" s="571"/>
      <c r="E3" s="571"/>
      <c r="F3" s="571"/>
      <c r="G3" s="571"/>
      <c r="H3" s="571"/>
      <c r="I3" s="571"/>
      <c r="J3" s="571"/>
      <c r="K3" s="571"/>
      <c r="L3" s="571"/>
      <c r="M3" s="571"/>
      <c r="N3" s="571"/>
      <c r="O3" s="571"/>
      <c r="P3" s="571"/>
      <c r="Q3" s="571"/>
      <c r="R3" s="571"/>
      <c r="S3" s="571"/>
      <c r="T3" s="571"/>
      <c r="U3" s="571"/>
      <c r="V3" s="571"/>
      <c r="W3" s="571"/>
      <c r="X3" s="571"/>
      <c r="Y3" s="571"/>
      <c r="Z3" s="571"/>
      <c r="AA3" s="571"/>
      <c r="AB3" s="571"/>
      <c r="AC3" s="571"/>
      <c r="AD3" s="571"/>
      <c r="AE3" s="571"/>
      <c r="AF3" s="571"/>
      <c r="AG3" s="571"/>
      <c r="AH3" s="571"/>
      <c r="AI3" s="571"/>
      <c r="AJ3" s="571"/>
      <c r="AK3" s="571"/>
      <c r="AL3" s="571"/>
      <c r="AM3" s="571"/>
      <c r="AN3" s="571"/>
      <c r="AO3" s="571"/>
      <c r="AP3" s="571"/>
      <c r="AQ3" s="571"/>
      <c r="AR3" s="571"/>
      <c r="AS3" s="571"/>
      <c r="AT3" s="571"/>
      <c r="AU3" s="571"/>
      <c r="AV3" s="571"/>
      <c r="AW3" s="571"/>
      <c r="AX3" s="571"/>
      <c r="AY3" s="571"/>
      <c r="AZ3" s="571"/>
      <c r="BA3" s="571"/>
      <c r="BB3" s="571"/>
      <c r="BC3" s="571"/>
      <c r="BD3" s="571"/>
      <c r="BE3" s="571"/>
      <c r="BF3" s="571"/>
      <c r="BG3" s="571"/>
      <c r="BH3" s="571"/>
      <c r="BI3" s="571"/>
      <c r="BJ3" s="571"/>
      <c r="BK3" s="571"/>
      <c r="BL3" s="571"/>
      <c r="BM3" s="571"/>
      <c r="BN3" s="571"/>
      <c r="BO3" s="571"/>
      <c r="BP3" s="571"/>
      <c r="BQ3" s="571"/>
      <c r="BR3" s="571"/>
      <c r="BS3" s="571"/>
      <c r="BT3" s="571"/>
      <c r="BU3" s="571"/>
      <c r="BV3" s="571"/>
      <c r="BW3" s="571"/>
      <c r="BX3" s="571"/>
      <c r="BY3" s="571"/>
      <c r="BZ3" s="571"/>
      <c r="CA3" s="571"/>
      <c r="CB3" s="571"/>
      <c r="CC3" s="571"/>
      <c r="CD3" s="572"/>
    </row>
    <row r="4" spans="1:92" ht="19.5" x14ac:dyDescent="0.25">
      <c r="A4" s="9"/>
      <c r="B4" s="573" t="s">
        <v>0</v>
      </c>
      <c r="C4" s="574"/>
      <c r="D4" s="574"/>
      <c r="E4" s="582" t="s">
        <v>329</v>
      </c>
      <c r="F4" s="583"/>
      <c r="G4" s="583"/>
      <c r="H4" s="583"/>
      <c r="I4" s="583"/>
      <c r="J4" s="583"/>
      <c r="K4" s="583"/>
      <c r="L4" s="583"/>
      <c r="M4" s="583"/>
      <c r="N4" s="583"/>
      <c r="O4" s="583"/>
      <c r="P4" s="583"/>
      <c r="Q4" s="583"/>
      <c r="R4" s="583"/>
      <c r="S4" s="583"/>
      <c r="T4" s="583"/>
      <c r="U4" s="583"/>
      <c r="V4" s="583"/>
      <c r="W4" s="583"/>
      <c r="X4" s="583"/>
      <c r="Y4" s="583"/>
      <c r="Z4" s="583"/>
      <c r="AA4" s="583"/>
      <c r="AB4" s="583"/>
      <c r="AC4" s="583"/>
      <c r="AD4" s="583"/>
      <c r="AE4" s="583"/>
      <c r="AF4" s="583"/>
      <c r="AG4" s="583"/>
      <c r="AH4" s="583"/>
      <c r="AI4" s="583"/>
      <c r="AJ4" s="583"/>
      <c r="AK4" s="583"/>
      <c r="AL4" s="583"/>
      <c r="AM4" s="583"/>
      <c r="AN4" s="583"/>
      <c r="AO4" s="583"/>
      <c r="AP4" s="583"/>
      <c r="AQ4" s="583"/>
      <c r="AR4" s="583"/>
      <c r="AS4" s="583"/>
      <c r="AT4" s="583"/>
      <c r="AU4" s="583"/>
      <c r="AV4" s="583"/>
      <c r="AW4" s="583"/>
      <c r="AX4" s="583"/>
      <c r="AY4" s="583"/>
      <c r="AZ4" s="583"/>
      <c r="BA4" s="583"/>
      <c r="BB4" s="583"/>
      <c r="BC4" s="583"/>
      <c r="BD4" s="583"/>
      <c r="BE4" s="583"/>
      <c r="BF4" s="583"/>
      <c r="BG4" s="583"/>
      <c r="BH4" s="583"/>
      <c r="BI4" s="583"/>
      <c r="BJ4" s="583"/>
      <c r="BK4" s="577" t="s">
        <v>330</v>
      </c>
      <c r="BL4" s="578"/>
      <c r="BM4" s="578"/>
      <c r="BN4" s="578"/>
      <c r="BO4" s="578"/>
      <c r="BP4" s="578"/>
      <c r="BQ4" s="578"/>
      <c r="BR4" s="578"/>
      <c r="BS4" s="578"/>
      <c r="BT4" s="578"/>
      <c r="BU4" s="578"/>
      <c r="BV4" s="578"/>
      <c r="BW4" s="578"/>
      <c r="BX4" s="578"/>
      <c r="BY4" s="578"/>
      <c r="BZ4" s="578"/>
      <c r="CA4" s="578"/>
      <c r="CB4" s="578"/>
      <c r="CC4" s="578"/>
      <c r="CD4" s="579"/>
    </row>
    <row r="5" spans="1:92" ht="16.5" x14ac:dyDescent="0.25">
      <c r="A5" s="9"/>
      <c r="B5" s="575"/>
      <c r="C5" s="576"/>
      <c r="D5" s="576"/>
      <c r="E5" s="568" t="s">
        <v>331</v>
      </c>
      <c r="F5" s="568"/>
      <c r="G5" s="568"/>
      <c r="H5" s="568"/>
      <c r="I5" s="568"/>
      <c r="J5" s="568"/>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c r="AO5" s="568"/>
      <c r="AP5" s="568"/>
      <c r="AQ5" s="568"/>
      <c r="AR5" s="568"/>
      <c r="AS5" s="568"/>
      <c r="AT5" s="568"/>
      <c r="AU5" s="568"/>
      <c r="AV5" s="568"/>
      <c r="AW5" s="568"/>
      <c r="AX5" s="568"/>
      <c r="AY5" s="568"/>
      <c r="AZ5" s="568"/>
      <c r="BA5" s="566" t="s">
        <v>395</v>
      </c>
      <c r="BB5" s="567"/>
      <c r="BC5" s="567"/>
      <c r="BD5" s="567"/>
      <c r="BE5" s="567"/>
      <c r="BF5" s="567"/>
      <c r="BG5" s="567"/>
      <c r="BH5" s="581"/>
      <c r="BI5" s="566" t="s">
        <v>396</v>
      </c>
      <c r="BJ5" s="581"/>
      <c r="BK5" s="562" t="s">
        <v>331</v>
      </c>
      <c r="BL5" s="562"/>
      <c r="BM5" s="562"/>
      <c r="BN5" s="563"/>
      <c r="BO5" s="561" t="s">
        <v>332</v>
      </c>
      <c r="BP5" s="562"/>
      <c r="BQ5" s="562"/>
      <c r="BR5" s="563"/>
      <c r="BS5" s="561" t="s">
        <v>333</v>
      </c>
      <c r="BT5" s="562"/>
      <c r="BU5" s="562"/>
      <c r="BV5" s="563"/>
      <c r="BW5" s="561" t="s">
        <v>334</v>
      </c>
      <c r="BX5" s="562"/>
      <c r="BY5" s="562"/>
      <c r="BZ5" s="563"/>
      <c r="CA5" s="561" t="s">
        <v>335</v>
      </c>
      <c r="CB5" s="562"/>
      <c r="CC5" s="562"/>
      <c r="CD5" s="580"/>
    </row>
    <row r="6" spans="1:92" ht="16.5" x14ac:dyDescent="0.25">
      <c r="A6" s="9"/>
      <c r="B6" s="575"/>
      <c r="C6" s="576"/>
      <c r="D6" s="576"/>
      <c r="E6" s="566" t="s">
        <v>336</v>
      </c>
      <c r="F6" s="567"/>
      <c r="G6" s="567"/>
      <c r="H6" s="581"/>
      <c r="I6" s="566" t="s">
        <v>337</v>
      </c>
      <c r="J6" s="567"/>
      <c r="K6" s="567"/>
      <c r="L6" s="581"/>
      <c r="M6" s="566" t="s">
        <v>338</v>
      </c>
      <c r="N6" s="567"/>
      <c r="O6" s="567"/>
      <c r="P6" s="581"/>
      <c r="Q6" s="566" t="s">
        <v>339</v>
      </c>
      <c r="R6" s="567"/>
      <c r="S6" s="567"/>
      <c r="T6" s="581"/>
      <c r="U6" s="566" t="s">
        <v>340</v>
      </c>
      <c r="V6" s="567"/>
      <c r="W6" s="567"/>
      <c r="X6" s="581"/>
      <c r="Y6" s="566" t="s">
        <v>341</v>
      </c>
      <c r="Z6" s="567"/>
      <c r="AA6" s="567"/>
      <c r="AB6" s="581"/>
      <c r="AC6" s="566" t="s">
        <v>342</v>
      </c>
      <c r="AD6" s="567"/>
      <c r="AE6" s="567"/>
      <c r="AF6" s="581"/>
      <c r="AG6" s="566" t="s">
        <v>343</v>
      </c>
      <c r="AH6" s="567"/>
      <c r="AI6" s="567"/>
      <c r="AJ6" s="581"/>
      <c r="AK6" s="566" t="s">
        <v>344</v>
      </c>
      <c r="AL6" s="567"/>
      <c r="AM6" s="567"/>
      <c r="AN6" s="581"/>
      <c r="AO6" s="566" t="s">
        <v>345</v>
      </c>
      <c r="AP6" s="567"/>
      <c r="AQ6" s="567"/>
      <c r="AR6" s="581"/>
      <c r="AS6" s="568" t="s">
        <v>346</v>
      </c>
      <c r="AT6" s="568"/>
      <c r="AU6" s="568"/>
      <c r="AV6" s="568"/>
      <c r="AW6" s="568" t="s">
        <v>393</v>
      </c>
      <c r="AX6" s="568"/>
      <c r="AY6" s="568"/>
      <c r="AZ6" s="568"/>
      <c r="BA6" s="566" t="s">
        <v>392</v>
      </c>
      <c r="BB6" s="567"/>
      <c r="BC6" s="567"/>
      <c r="BD6" s="567"/>
      <c r="BE6" s="568" t="s">
        <v>394</v>
      </c>
      <c r="BF6" s="568"/>
      <c r="BG6" s="568"/>
      <c r="BH6" s="568"/>
      <c r="BI6" s="308" t="s">
        <v>397</v>
      </c>
      <c r="BJ6" s="308" t="s">
        <v>398</v>
      </c>
      <c r="BK6" s="562" t="s">
        <v>347</v>
      </c>
      <c r="BL6" s="562"/>
      <c r="BM6" s="562"/>
      <c r="BN6" s="563"/>
      <c r="BO6" s="561" t="s">
        <v>347</v>
      </c>
      <c r="BP6" s="562"/>
      <c r="BQ6" s="562"/>
      <c r="BR6" s="563"/>
      <c r="BS6" s="561" t="s">
        <v>347</v>
      </c>
      <c r="BT6" s="562"/>
      <c r="BU6" s="562"/>
      <c r="BV6" s="563"/>
      <c r="BW6" s="561" t="s">
        <v>347</v>
      </c>
      <c r="BX6" s="562"/>
      <c r="BY6" s="562"/>
      <c r="BZ6" s="563"/>
      <c r="CA6" s="561" t="s">
        <v>347</v>
      </c>
      <c r="CB6" s="562"/>
      <c r="CC6" s="562"/>
      <c r="CD6" s="580"/>
    </row>
    <row r="7" spans="1:92" ht="16.5" x14ac:dyDescent="0.25">
      <c r="A7" s="9"/>
      <c r="B7" s="575"/>
      <c r="C7" s="576"/>
      <c r="D7" s="576"/>
      <c r="E7" s="221">
        <v>1</v>
      </c>
      <c r="F7" s="221">
        <v>2</v>
      </c>
      <c r="G7" s="221">
        <v>3</v>
      </c>
      <c r="H7" s="221">
        <v>4</v>
      </c>
      <c r="I7" s="221">
        <v>5</v>
      </c>
      <c r="J7" s="221">
        <v>6</v>
      </c>
      <c r="K7" s="221">
        <v>7</v>
      </c>
      <c r="L7" s="221">
        <v>8</v>
      </c>
      <c r="M7" s="221">
        <v>9</v>
      </c>
      <c r="N7" s="221">
        <v>10</v>
      </c>
      <c r="O7" s="221">
        <v>11</v>
      </c>
      <c r="P7" s="221">
        <v>12</v>
      </c>
      <c r="Q7" s="221">
        <v>13</v>
      </c>
      <c r="R7" s="221">
        <v>14</v>
      </c>
      <c r="S7" s="221">
        <v>15</v>
      </c>
      <c r="T7" s="221">
        <v>16</v>
      </c>
      <c r="U7" s="221">
        <v>17</v>
      </c>
      <c r="V7" s="221">
        <v>18</v>
      </c>
      <c r="W7" s="221">
        <v>19</v>
      </c>
      <c r="X7" s="221">
        <v>20</v>
      </c>
      <c r="Y7" s="221">
        <v>21</v>
      </c>
      <c r="Z7" s="221">
        <v>22</v>
      </c>
      <c r="AA7" s="221">
        <v>23</v>
      </c>
      <c r="AB7" s="221">
        <v>24</v>
      </c>
      <c r="AC7" s="221">
        <v>25</v>
      </c>
      <c r="AD7" s="221">
        <v>26</v>
      </c>
      <c r="AE7" s="221">
        <v>27</v>
      </c>
      <c r="AF7" s="221">
        <v>28</v>
      </c>
      <c r="AG7" s="221">
        <v>29</v>
      </c>
      <c r="AH7" s="221">
        <v>30</v>
      </c>
      <c r="AI7" s="221">
        <v>31</v>
      </c>
      <c r="AJ7" s="221">
        <v>32</v>
      </c>
      <c r="AK7" s="221">
        <v>33</v>
      </c>
      <c r="AL7" s="221">
        <v>34</v>
      </c>
      <c r="AM7" s="221">
        <v>35</v>
      </c>
      <c r="AN7" s="221">
        <v>36</v>
      </c>
      <c r="AO7" s="221">
        <v>37</v>
      </c>
      <c r="AP7" s="221">
        <v>38</v>
      </c>
      <c r="AQ7" s="221">
        <v>39</v>
      </c>
      <c r="AR7" s="221">
        <v>40</v>
      </c>
      <c r="AS7" s="221">
        <v>41</v>
      </c>
      <c r="AT7" s="221">
        <v>42</v>
      </c>
      <c r="AU7" s="221">
        <v>43</v>
      </c>
      <c r="AV7" s="222">
        <v>44</v>
      </c>
      <c r="AW7" s="222">
        <v>45</v>
      </c>
      <c r="AX7" s="222">
        <v>46</v>
      </c>
      <c r="AY7" s="222">
        <v>47</v>
      </c>
      <c r="AZ7" s="222">
        <v>48</v>
      </c>
      <c r="BA7" s="222">
        <v>49</v>
      </c>
      <c r="BB7" s="222">
        <v>50</v>
      </c>
      <c r="BC7" s="222">
        <v>51</v>
      </c>
      <c r="BD7" s="222">
        <v>52</v>
      </c>
      <c r="BE7" s="222">
        <v>53</v>
      </c>
      <c r="BF7" s="222">
        <v>54</v>
      </c>
      <c r="BG7" s="222">
        <v>55</v>
      </c>
      <c r="BH7" s="222">
        <v>56</v>
      </c>
      <c r="BI7" s="222">
        <v>57</v>
      </c>
      <c r="BJ7" s="222">
        <v>58</v>
      </c>
      <c r="BK7" s="200">
        <v>1</v>
      </c>
      <c r="BL7" s="198">
        <v>2</v>
      </c>
      <c r="BM7" s="198">
        <v>3</v>
      </c>
      <c r="BN7" s="198">
        <v>4</v>
      </c>
      <c r="BO7" s="198">
        <v>1</v>
      </c>
      <c r="BP7" s="198">
        <v>2</v>
      </c>
      <c r="BQ7" s="198">
        <v>3</v>
      </c>
      <c r="BR7" s="198">
        <v>4</v>
      </c>
      <c r="BS7" s="198">
        <v>1</v>
      </c>
      <c r="BT7" s="198">
        <v>2</v>
      </c>
      <c r="BU7" s="198">
        <v>3</v>
      </c>
      <c r="BV7" s="198">
        <v>4</v>
      </c>
      <c r="BW7" s="198">
        <v>1</v>
      </c>
      <c r="BX7" s="198">
        <v>2</v>
      </c>
      <c r="BY7" s="198">
        <v>3</v>
      </c>
      <c r="BZ7" s="198">
        <v>4</v>
      </c>
      <c r="CA7" s="198">
        <v>1</v>
      </c>
      <c r="CB7" s="198">
        <v>2</v>
      </c>
      <c r="CC7" s="198">
        <v>3</v>
      </c>
      <c r="CD7" s="201">
        <v>4</v>
      </c>
    </row>
    <row r="8" spans="1:92" ht="15.75" thickBot="1" x14ac:dyDescent="0.3">
      <c r="A8" s="9"/>
      <c r="B8" s="565" t="s">
        <v>63</v>
      </c>
      <c r="C8" s="552"/>
      <c r="D8" s="552"/>
      <c r="E8" s="552"/>
      <c r="F8" s="552"/>
      <c r="G8" s="552"/>
      <c r="H8" s="552"/>
      <c r="I8" s="552"/>
      <c r="J8" s="552"/>
      <c r="K8" s="552"/>
      <c r="L8" s="552"/>
      <c r="M8" s="552"/>
      <c r="N8" s="552"/>
      <c r="O8" s="552"/>
      <c r="P8" s="552"/>
      <c r="Q8" s="552"/>
      <c r="R8" s="552"/>
      <c r="S8" s="552"/>
      <c r="T8" s="552"/>
      <c r="U8" s="552"/>
      <c r="V8" s="552"/>
      <c r="W8" s="552"/>
      <c r="X8" s="552"/>
      <c r="Y8" s="552"/>
      <c r="Z8" s="552"/>
      <c r="AA8" s="552"/>
      <c r="AB8" s="552"/>
      <c r="AC8" s="552"/>
      <c r="AD8" s="552"/>
      <c r="AE8" s="552"/>
      <c r="AF8" s="552"/>
      <c r="AG8" s="552"/>
      <c r="AH8" s="552"/>
      <c r="AI8" s="552"/>
      <c r="AJ8" s="552"/>
      <c r="AK8" s="552"/>
      <c r="AL8" s="552"/>
      <c r="AM8" s="552"/>
      <c r="AN8" s="552"/>
      <c r="AO8" s="552"/>
      <c r="AP8" s="552"/>
      <c r="AQ8" s="552"/>
      <c r="AR8" s="552"/>
      <c r="AS8" s="552"/>
      <c r="AT8" s="552"/>
      <c r="AU8" s="552"/>
      <c r="AV8" s="552"/>
      <c r="AW8" s="552"/>
      <c r="AX8" s="552"/>
      <c r="AY8" s="552"/>
      <c r="AZ8" s="552"/>
      <c r="BA8" s="552"/>
      <c r="BB8" s="552"/>
      <c r="BC8" s="552"/>
      <c r="BD8" s="552"/>
      <c r="BE8" s="552"/>
      <c r="BF8" s="552"/>
      <c r="BG8" s="552"/>
      <c r="BH8" s="552"/>
      <c r="BI8" s="552"/>
      <c r="BJ8" s="553"/>
      <c r="BK8" s="202"/>
      <c r="BL8" s="16"/>
      <c r="BM8" s="16"/>
      <c r="BN8" s="16"/>
      <c r="BO8" s="16"/>
      <c r="BP8" s="16"/>
      <c r="BQ8" s="16"/>
      <c r="BR8" s="16"/>
      <c r="BS8" s="16"/>
      <c r="BT8" s="16"/>
      <c r="BU8" s="16"/>
      <c r="BV8" s="16"/>
      <c r="BW8" s="16"/>
      <c r="BX8" s="16"/>
      <c r="BY8" s="16"/>
      <c r="BZ8" s="16"/>
      <c r="CA8" s="16"/>
      <c r="CB8" s="16"/>
      <c r="CC8" s="16"/>
      <c r="CD8" s="203"/>
    </row>
    <row r="9" spans="1:92" ht="14.45" customHeight="1" thickBot="1" x14ac:dyDescent="0.3">
      <c r="A9" s="9"/>
      <c r="B9" s="539" t="s">
        <v>103</v>
      </c>
      <c r="C9" s="540"/>
      <c r="D9" s="541"/>
      <c r="E9" s="274">
        <v>3</v>
      </c>
      <c r="F9" s="274">
        <v>3</v>
      </c>
      <c r="G9" s="274">
        <v>3</v>
      </c>
      <c r="H9" s="274">
        <v>3</v>
      </c>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c r="AW9" s="255"/>
      <c r="AX9" s="255"/>
      <c r="AY9" s="255"/>
      <c r="AZ9" s="255"/>
      <c r="BA9" s="255"/>
      <c r="BB9" s="255"/>
      <c r="BC9" s="255"/>
      <c r="BD9" s="255"/>
      <c r="BE9" s="256"/>
      <c r="BF9" s="256"/>
      <c r="BG9" s="256"/>
      <c r="BH9" s="256"/>
      <c r="BI9" s="255"/>
      <c r="BJ9" s="255"/>
      <c r="BK9" s="202"/>
      <c r="BL9" s="16"/>
      <c r="BM9" s="16"/>
      <c r="BN9" s="16"/>
      <c r="BO9" s="16"/>
      <c r="BP9" s="16"/>
      <c r="BQ9" s="16"/>
      <c r="BR9" s="16"/>
      <c r="BS9" s="16"/>
      <c r="BT9" s="16"/>
      <c r="BU9" s="16"/>
      <c r="BV9" s="16"/>
      <c r="BW9" s="16"/>
      <c r="BX9" s="16"/>
      <c r="BY9" s="16"/>
      <c r="BZ9" s="16"/>
      <c r="CA9" s="16"/>
      <c r="CB9" s="16"/>
      <c r="CC9" s="16"/>
      <c r="CD9" s="203"/>
    </row>
    <row r="10" spans="1:92" ht="14.45" customHeight="1" thickBot="1" x14ac:dyDescent="0.3">
      <c r="A10" s="9"/>
      <c r="B10" s="539" t="s">
        <v>62</v>
      </c>
      <c r="C10" s="540"/>
      <c r="D10" s="541"/>
      <c r="E10" s="257"/>
      <c r="F10" s="257"/>
      <c r="G10" s="257"/>
      <c r="H10" s="257"/>
      <c r="I10" s="275">
        <v>10</v>
      </c>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c r="AW10" s="255"/>
      <c r="AX10" s="255"/>
      <c r="AY10" s="255"/>
      <c r="AZ10" s="255"/>
      <c r="BA10" s="255"/>
      <c r="BB10" s="255"/>
      <c r="BC10" s="255"/>
      <c r="BD10" s="255"/>
      <c r="BE10" s="256"/>
      <c r="BF10" s="256"/>
      <c r="BG10" s="256"/>
      <c r="BH10" s="256"/>
      <c r="BI10" s="258"/>
      <c r="BJ10" s="259"/>
      <c r="BK10" s="202"/>
      <c r="BL10" s="16"/>
      <c r="BM10" s="16"/>
      <c r="BN10" s="16"/>
      <c r="BO10" s="16"/>
      <c r="BP10" s="16"/>
      <c r="BQ10" s="16"/>
      <c r="BR10" s="16"/>
      <c r="BS10" s="16"/>
      <c r="BT10" s="16"/>
      <c r="BU10" s="16"/>
      <c r="BV10" s="16"/>
      <c r="BW10" s="16"/>
      <c r="BX10" s="16"/>
      <c r="BY10" s="16"/>
      <c r="BZ10" s="16"/>
      <c r="CA10" s="16"/>
      <c r="CB10" s="16"/>
      <c r="CC10" s="16"/>
      <c r="CD10" s="203"/>
    </row>
    <row r="11" spans="1:92" ht="14.45" customHeight="1" thickBot="1" x14ac:dyDescent="0.3">
      <c r="A11" s="9"/>
      <c r="B11" s="539" t="s">
        <v>389</v>
      </c>
      <c r="C11" s="540"/>
      <c r="D11" s="541"/>
      <c r="E11" s="257"/>
      <c r="F11" s="257"/>
      <c r="G11" s="257"/>
      <c r="H11" s="257"/>
      <c r="I11" s="275">
        <v>4</v>
      </c>
      <c r="J11" s="275">
        <v>4</v>
      </c>
      <c r="K11" s="275">
        <v>4</v>
      </c>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c r="AW11" s="255"/>
      <c r="AX11" s="255"/>
      <c r="AY11" s="255"/>
      <c r="AZ11" s="255"/>
      <c r="BA11" s="255"/>
      <c r="BB11" s="255"/>
      <c r="BC11" s="255"/>
      <c r="BD11" s="255"/>
      <c r="BE11" s="256"/>
      <c r="BF11" s="256"/>
      <c r="BG11" s="256"/>
      <c r="BH11" s="256"/>
      <c r="BI11" s="258"/>
      <c r="BJ11" s="259"/>
      <c r="BK11" s="202"/>
      <c r="BL11" s="16"/>
      <c r="BM11" s="16"/>
      <c r="BN11" s="16"/>
      <c r="BO11" s="16"/>
      <c r="BP11" s="16"/>
      <c r="BQ11" s="16"/>
      <c r="BR11" s="16"/>
      <c r="BS11" s="16"/>
      <c r="BT11" s="16"/>
      <c r="BU11" s="16"/>
      <c r="BV11" s="16"/>
      <c r="BW11" s="16"/>
      <c r="BX11" s="16"/>
      <c r="BY11" s="16"/>
      <c r="BZ11" s="16"/>
      <c r="CA11" s="16"/>
      <c r="CB11" s="16"/>
      <c r="CC11" s="16"/>
      <c r="CD11" s="203"/>
    </row>
    <row r="12" spans="1:92" ht="15.75" thickBot="1" x14ac:dyDescent="0.3">
      <c r="A12" s="9"/>
      <c r="B12" s="555" t="s">
        <v>228</v>
      </c>
      <c r="C12" s="556"/>
      <c r="D12" s="556"/>
      <c r="E12" s="556"/>
      <c r="F12" s="556"/>
      <c r="G12" s="556"/>
      <c r="H12" s="556"/>
      <c r="I12" s="556"/>
      <c r="J12" s="556"/>
      <c r="K12" s="556"/>
      <c r="L12" s="556"/>
      <c r="M12" s="556"/>
      <c r="N12" s="556"/>
      <c r="O12" s="556"/>
      <c r="P12" s="556"/>
      <c r="Q12" s="556"/>
      <c r="R12" s="556"/>
      <c r="S12" s="556"/>
      <c r="T12" s="556"/>
      <c r="U12" s="556"/>
      <c r="V12" s="556"/>
      <c r="W12" s="556"/>
      <c r="X12" s="556"/>
      <c r="Y12" s="556"/>
      <c r="Z12" s="556"/>
      <c r="AA12" s="556"/>
      <c r="AB12" s="556"/>
      <c r="AC12" s="556"/>
      <c r="AD12" s="556"/>
      <c r="AE12" s="556"/>
      <c r="AF12" s="556"/>
      <c r="AG12" s="556"/>
      <c r="AH12" s="556"/>
      <c r="AI12" s="556"/>
      <c r="AJ12" s="556"/>
      <c r="AK12" s="556"/>
      <c r="AL12" s="556"/>
      <c r="AM12" s="556"/>
      <c r="AN12" s="556"/>
      <c r="AO12" s="556"/>
      <c r="AP12" s="556"/>
      <c r="AQ12" s="556"/>
      <c r="AR12" s="556"/>
      <c r="AS12" s="556"/>
      <c r="AT12" s="556"/>
      <c r="AU12" s="556"/>
      <c r="AV12" s="556"/>
      <c r="AW12" s="556"/>
      <c r="AX12" s="556"/>
      <c r="AY12" s="556"/>
      <c r="AZ12" s="556"/>
      <c r="BA12" s="556"/>
      <c r="BB12" s="556"/>
      <c r="BC12" s="556"/>
      <c r="BD12" s="556"/>
      <c r="BE12" s="556"/>
      <c r="BF12" s="556"/>
      <c r="BG12" s="556"/>
      <c r="BH12" s="556"/>
      <c r="BI12" s="556"/>
      <c r="BJ12" s="557"/>
      <c r="BK12" s="202"/>
      <c r="BL12" s="16"/>
      <c r="BM12" s="16"/>
      <c r="BN12" s="16"/>
      <c r="BO12" s="16"/>
      <c r="BP12" s="16"/>
      <c r="BQ12" s="16"/>
      <c r="BR12" s="16"/>
      <c r="BS12" s="16"/>
      <c r="BT12" s="16"/>
      <c r="BU12" s="16"/>
      <c r="BV12" s="16"/>
      <c r="BW12" s="16"/>
      <c r="BX12" s="16"/>
      <c r="BY12" s="16"/>
      <c r="BZ12" s="16"/>
      <c r="CA12" s="16"/>
      <c r="CB12" s="16"/>
      <c r="CC12" s="16"/>
      <c r="CD12" s="203"/>
    </row>
    <row r="13" spans="1:92" ht="24" customHeight="1" thickBot="1" x14ac:dyDescent="0.3">
      <c r="A13" s="9"/>
      <c r="B13" s="539" t="s">
        <v>229</v>
      </c>
      <c r="C13" s="540"/>
      <c r="D13" s="541"/>
      <c r="E13" s="260"/>
      <c r="F13" s="260"/>
      <c r="G13" s="260"/>
      <c r="H13" s="260"/>
      <c r="I13" s="276">
        <v>5</v>
      </c>
      <c r="J13" s="276">
        <v>5</v>
      </c>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c r="AW13" s="261"/>
      <c r="AX13" s="261"/>
      <c r="AY13" s="261"/>
      <c r="AZ13" s="261"/>
      <c r="BA13" s="261"/>
      <c r="BB13" s="261"/>
      <c r="BC13" s="261"/>
      <c r="BD13" s="261"/>
      <c r="BE13" s="256"/>
      <c r="BF13" s="256"/>
      <c r="BG13" s="256"/>
      <c r="BH13" s="256"/>
      <c r="BI13" s="262"/>
      <c r="BJ13" s="263"/>
      <c r="BK13" s="202"/>
      <c r="BL13" s="16"/>
      <c r="BM13" s="16"/>
      <c r="BN13" s="16"/>
      <c r="BO13" s="16"/>
      <c r="BP13" s="16"/>
      <c r="BQ13" s="16"/>
      <c r="BR13" s="16"/>
      <c r="BS13" s="16"/>
      <c r="BT13" s="16"/>
      <c r="BU13" s="16"/>
      <c r="BV13" s="16"/>
      <c r="BW13" s="16"/>
      <c r="BX13" s="16"/>
      <c r="BY13" s="16"/>
      <c r="BZ13" s="16"/>
      <c r="CA13" s="16"/>
      <c r="CB13" s="16"/>
      <c r="CC13" s="16"/>
      <c r="CD13" s="203"/>
    </row>
    <row r="14" spans="1:92" ht="24" customHeight="1" thickBot="1" x14ac:dyDescent="0.3">
      <c r="A14" s="9"/>
      <c r="B14" s="539" t="s">
        <v>84</v>
      </c>
      <c r="C14" s="540"/>
      <c r="D14" s="541"/>
      <c r="E14" s="264"/>
      <c r="F14" s="264"/>
      <c r="G14" s="264"/>
      <c r="H14" s="264"/>
      <c r="I14" s="277">
        <v>2</v>
      </c>
      <c r="J14" s="277">
        <v>2</v>
      </c>
      <c r="K14" s="277">
        <v>2</v>
      </c>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65"/>
      <c r="AY14" s="265"/>
      <c r="AZ14" s="265"/>
      <c r="BA14" s="265"/>
      <c r="BB14" s="265"/>
      <c r="BC14" s="265"/>
      <c r="BD14" s="265"/>
      <c r="BE14" s="256"/>
      <c r="BF14" s="256"/>
      <c r="BG14" s="256"/>
      <c r="BH14" s="256"/>
      <c r="BI14" s="266"/>
      <c r="BJ14" s="267"/>
      <c r="BK14" s="202"/>
      <c r="BL14" s="16"/>
      <c r="BM14" s="16"/>
      <c r="BN14" s="16"/>
      <c r="BO14" s="16"/>
      <c r="BP14" s="16"/>
      <c r="BQ14" s="16"/>
      <c r="BR14" s="16"/>
      <c r="BS14" s="16"/>
      <c r="BT14" s="16"/>
      <c r="BU14" s="16"/>
      <c r="BV14" s="16"/>
      <c r="BW14" s="16"/>
      <c r="BX14" s="16"/>
      <c r="BY14" s="16"/>
      <c r="BZ14" s="16"/>
      <c r="CA14" s="16"/>
      <c r="CB14" s="16"/>
      <c r="CC14" s="16"/>
      <c r="CD14" s="203"/>
    </row>
    <row r="15" spans="1:92" ht="14.45" customHeight="1" thickBot="1" x14ac:dyDescent="0.3">
      <c r="A15" s="9"/>
      <c r="B15" s="539" t="s">
        <v>82</v>
      </c>
      <c r="C15" s="540"/>
      <c r="D15" s="541"/>
      <c r="E15" s="264"/>
      <c r="F15" s="264"/>
      <c r="G15" s="264"/>
      <c r="H15" s="264"/>
      <c r="I15" s="265"/>
      <c r="J15" s="277">
        <v>8</v>
      </c>
      <c r="K15" s="277">
        <v>8</v>
      </c>
      <c r="L15" s="265"/>
      <c r="M15" s="265"/>
      <c r="N15" s="265" t="s">
        <v>292</v>
      </c>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c r="AW15" s="265"/>
      <c r="AX15" s="265"/>
      <c r="AY15" s="265"/>
      <c r="AZ15" s="265"/>
      <c r="BA15" s="265"/>
      <c r="BB15" s="265"/>
      <c r="BC15" s="265"/>
      <c r="BD15" s="265"/>
      <c r="BE15" s="256"/>
      <c r="BF15" s="256"/>
      <c r="BG15" s="256"/>
      <c r="BH15" s="256"/>
      <c r="BI15" s="266"/>
      <c r="BJ15" s="267"/>
      <c r="BK15" s="202"/>
      <c r="BL15" s="16"/>
      <c r="BM15" s="16"/>
      <c r="BN15" s="16"/>
      <c r="BO15" s="16"/>
      <c r="BP15" s="16"/>
      <c r="BQ15" s="16"/>
      <c r="BR15" s="16"/>
      <c r="BS15" s="16"/>
      <c r="BT15" s="16"/>
      <c r="BU15" s="16"/>
      <c r="BV15" s="16"/>
      <c r="BW15" s="16"/>
      <c r="BX15" s="16"/>
      <c r="BY15" s="16"/>
      <c r="BZ15" s="16"/>
      <c r="CA15" s="16"/>
      <c r="CB15" s="16"/>
      <c r="CC15" s="16"/>
      <c r="CD15" s="203"/>
    </row>
    <row r="16" spans="1:92" ht="14.45" customHeight="1" thickBot="1" x14ac:dyDescent="0.3">
      <c r="A16" s="9"/>
      <c r="B16" s="539" t="s">
        <v>58</v>
      </c>
      <c r="C16" s="540"/>
      <c r="D16" s="541"/>
      <c r="E16" s="264"/>
      <c r="F16" s="264"/>
      <c r="G16" s="264"/>
      <c r="H16" s="264"/>
      <c r="I16" s="265"/>
      <c r="J16" s="265"/>
      <c r="K16" s="277">
        <v>6</v>
      </c>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c r="AW16" s="265"/>
      <c r="AX16" s="265"/>
      <c r="AY16" s="265"/>
      <c r="AZ16" s="265"/>
      <c r="BA16" s="265"/>
      <c r="BB16" s="265"/>
      <c r="BC16" s="265"/>
      <c r="BD16" s="265"/>
      <c r="BE16" s="256"/>
      <c r="BF16" s="256"/>
      <c r="BG16" s="256"/>
      <c r="BH16" s="256"/>
      <c r="BI16" s="266"/>
      <c r="BJ16" s="267"/>
      <c r="BK16" s="202"/>
      <c r="BL16" s="16"/>
      <c r="BM16" s="16"/>
      <c r="BN16" s="16"/>
      <c r="BO16" s="16"/>
      <c r="BP16" s="16"/>
      <c r="BQ16" s="16"/>
      <c r="BR16" s="16"/>
      <c r="BS16" s="16"/>
      <c r="BT16" s="16"/>
      <c r="BU16" s="16"/>
      <c r="BV16" s="16"/>
      <c r="BW16" s="16"/>
      <c r="BX16" s="16"/>
      <c r="BY16" s="16"/>
      <c r="BZ16" s="16"/>
      <c r="CA16" s="16"/>
      <c r="CB16" s="16"/>
      <c r="CC16" s="16"/>
      <c r="CD16" s="203"/>
      <c r="CF16" s="309"/>
      <c r="CG16" s="309"/>
      <c r="CH16" s="309"/>
      <c r="CI16" s="309"/>
      <c r="CJ16" s="309"/>
      <c r="CK16" s="309"/>
      <c r="CL16" s="309"/>
      <c r="CM16" s="309"/>
      <c r="CN16" s="309"/>
    </row>
    <row r="17" spans="1:92" ht="15.75" thickBot="1" x14ac:dyDescent="0.3">
      <c r="A17" s="9"/>
      <c r="B17" s="555" t="s">
        <v>249</v>
      </c>
      <c r="C17" s="556"/>
      <c r="D17" s="556"/>
      <c r="E17" s="556"/>
      <c r="F17" s="556"/>
      <c r="G17" s="556"/>
      <c r="H17" s="556"/>
      <c r="I17" s="556"/>
      <c r="J17" s="556"/>
      <c r="K17" s="556"/>
      <c r="L17" s="556"/>
      <c r="M17" s="556"/>
      <c r="N17" s="556"/>
      <c r="O17" s="556"/>
      <c r="P17" s="556"/>
      <c r="Q17" s="556"/>
      <c r="R17" s="556"/>
      <c r="S17" s="556"/>
      <c r="T17" s="556"/>
      <c r="U17" s="556"/>
      <c r="V17" s="556"/>
      <c r="W17" s="556"/>
      <c r="X17" s="556"/>
      <c r="Y17" s="556"/>
      <c r="Z17" s="556"/>
      <c r="AA17" s="556"/>
      <c r="AB17" s="556"/>
      <c r="AC17" s="556"/>
      <c r="AD17" s="556"/>
      <c r="AE17" s="556"/>
      <c r="AF17" s="556"/>
      <c r="AG17" s="556"/>
      <c r="AH17" s="556"/>
      <c r="AI17" s="556"/>
      <c r="AJ17" s="556"/>
      <c r="AK17" s="556"/>
      <c r="AL17" s="556"/>
      <c r="AM17" s="556"/>
      <c r="AN17" s="556"/>
      <c r="AO17" s="556"/>
      <c r="AP17" s="556"/>
      <c r="AQ17" s="556"/>
      <c r="AR17" s="556"/>
      <c r="AS17" s="556"/>
      <c r="AT17" s="556"/>
      <c r="AU17" s="556"/>
      <c r="AV17" s="556"/>
      <c r="AW17" s="556"/>
      <c r="AX17" s="556"/>
      <c r="AY17" s="556"/>
      <c r="AZ17" s="556"/>
      <c r="BA17" s="556"/>
      <c r="BB17" s="556"/>
      <c r="BC17" s="556"/>
      <c r="BD17" s="556"/>
      <c r="BE17" s="556"/>
      <c r="BF17" s="556"/>
      <c r="BG17" s="556"/>
      <c r="BH17" s="556"/>
      <c r="BI17" s="556"/>
      <c r="BJ17" s="557"/>
      <c r="BK17" s="202"/>
      <c r="BL17" s="16"/>
      <c r="BM17" s="16"/>
      <c r="BN17" s="16"/>
      <c r="BO17" s="16"/>
      <c r="BP17" s="16"/>
      <c r="BQ17" s="16"/>
      <c r="BR17" s="16"/>
      <c r="BS17" s="16"/>
      <c r="BT17" s="16"/>
      <c r="BU17" s="16"/>
      <c r="BV17" s="16"/>
      <c r="BW17" s="16"/>
      <c r="BX17" s="16"/>
      <c r="BY17" s="16"/>
      <c r="BZ17" s="16"/>
      <c r="CA17" s="16"/>
      <c r="CB17" s="16"/>
      <c r="CC17" s="16"/>
      <c r="CD17" s="203"/>
      <c r="CF17" s="309"/>
      <c r="CG17" s="309"/>
      <c r="CH17" s="309"/>
      <c r="CI17" s="309"/>
      <c r="CJ17" s="309"/>
      <c r="CK17" s="309"/>
      <c r="CL17" s="309"/>
      <c r="CM17" s="309"/>
      <c r="CN17" s="309"/>
    </row>
    <row r="18" spans="1:92" ht="15.75" thickBot="1" x14ac:dyDescent="0.3">
      <c r="A18" s="9"/>
      <c r="B18" s="558" t="s">
        <v>233</v>
      </c>
      <c r="C18" s="559"/>
      <c r="D18" s="560"/>
      <c r="E18" s="268"/>
      <c r="F18" s="268"/>
      <c r="G18" s="268"/>
      <c r="H18" s="268"/>
      <c r="I18" s="268"/>
      <c r="J18" s="255"/>
      <c r="K18" s="275">
        <v>1</v>
      </c>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c r="AX18" s="255"/>
      <c r="AY18" s="255"/>
      <c r="AZ18" s="255"/>
      <c r="BA18" s="255"/>
      <c r="BB18" s="255"/>
      <c r="BC18" s="255"/>
      <c r="BD18" s="255"/>
      <c r="BE18" s="256"/>
      <c r="BF18" s="256"/>
      <c r="BG18" s="256"/>
      <c r="BH18" s="256"/>
      <c r="BI18" s="258"/>
      <c r="BJ18" s="259"/>
      <c r="BK18" s="202"/>
      <c r="BL18" s="16"/>
      <c r="BM18" s="16"/>
      <c r="BN18" s="16"/>
      <c r="BO18" s="16"/>
      <c r="BP18" s="16"/>
      <c r="BQ18" s="16"/>
      <c r="BR18" s="16"/>
      <c r="BS18" s="16"/>
      <c r="BT18" s="16"/>
      <c r="BU18" s="16"/>
      <c r="BV18" s="16"/>
      <c r="BW18" s="16"/>
      <c r="BX18" s="16"/>
      <c r="BY18" s="16"/>
      <c r="BZ18" s="16"/>
      <c r="CA18" s="16"/>
      <c r="CB18" s="16"/>
      <c r="CC18" s="16"/>
      <c r="CD18" s="203"/>
      <c r="CF18" s="309"/>
      <c r="CG18" s="309"/>
      <c r="CH18" s="309"/>
      <c r="CI18" s="309"/>
      <c r="CJ18" s="309"/>
      <c r="CK18" s="309"/>
      <c r="CL18" s="309"/>
      <c r="CM18" s="309"/>
      <c r="CN18" s="309"/>
    </row>
    <row r="19" spans="1:92" ht="14.65" customHeight="1" thickBot="1" x14ac:dyDescent="0.3">
      <c r="A19" s="9"/>
      <c r="B19" s="539" t="s">
        <v>235</v>
      </c>
      <c r="C19" s="540"/>
      <c r="D19" s="554"/>
      <c r="E19" s="260"/>
      <c r="F19" s="260"/>
      <c r="G19" s="260" t="s">
        <v>292</v>
      </c>
      <c r="H19" s="260"/>
      <c r="I19" s="255"/>
      <c r="J19" s="255"/>
      <c r="K19" s="255"/>
      <c r="L19" s="275">
        <v>3</v>
      </c>
      <c r="M19" s="275">
        <v>3</v>
      </c>
      <c r="N19" s="275">
        <v>3</v>
      </c>
      <c r="O19" s="275">
        <v>3</v>
      </c>
      <c r="P19" s="275">
        <v>3</v>
      </c>
      <c r="Q19" s="275">
        <v>3</v>
      </c>
      <c r="R19" s="275">
        <v>3</v>
      </c>
      <c r="S19" s="275">
        <v>3</v>
      </c>
      <c r="T19" s="275">
        <v>3</v>
      </c>
      <c r="U19" s="275">
        <v>3</v>
      </c>
      <c r="V19" s="275">
        <v>3</v>
      </c>
      <c r="W19" s="275">
        <v>3</v>
      </c>
      <c r="X19" s="275">
        <v>3</v>
      </c>
      <c r="Y19" s="275">
        <v>3</v>
      </c>
      <c r="Z19" s="275">
        <v>3</v>
      </c>
      <c r="AA19" s="275">
        <v>3</v>
      </c>
      <c r="AB19" s="275">
        <v>3</v>
      </c>
      <c r="AC19" s="275">
        <v>3</v>
      </c>
      <c r="AD19" s="275">
        <v>3</v>
      </c>
      <c r="AE19" s="275">
        <v>3</v>
      </c>
      <c r="AF19" s="275">
        <v>3</v>
      </c>
      <c r="AG19" s="275">
        <v>3</v>
      </c>
      <c r="AH19" s="275">
        <v>3</v>
      </c>
      <c r="AI19" s="275">
        <v>3</v>
      </c>
      <c r="AJ19" s="275">
        <v>3</v>
      </c>
      <c r="AK19" s="275">
        <v>3</v>
      </c>
      <c r="AL19" s="275">
        <v>3</v>
      </c>
      <c r="AM19" s="275">
        <v>3</v>
      </c>
      <c r="AN19" s="275">
        <v>3</v>
      </c>
      <c r="AO19" s="275">
        <v>3</v>
      </c>
      <c r="AP19" s="275">
        <v>3</v>
      </c>
      <c r="AQ19" s="275">
        <v>3</v>
      </c>
      <c r="AR19" s="275">
        <v>3</v>
      </c>
      <c r="AS19" s="275">
        <v>3</v>
      </c>
      <c r="AT19" s="275">
        <v>3</v>
      </c>
      <c r="AU19" s="275">
        <v>3</v>
      </c>
      <c r="AV19" s="275">
        <v>3</v>
      </c>
      <c r="AW19" s="275">
        <v>3</v>
      </c>
      <c r="AX19" s="275">
        <v>3</v>
      </c>
      <c r="AY19" s="275">
        <v>3</v>
      </c>
      <c r="AZ19" s="275">
        <v>3</v>
      </c>
      <c r="BA19" s="255"/>
      <c r="BB19" s="255"/>
      <c r="BC19" s="255"/>
      <c r="BD19" s="255"/>
      <c r="BE19" s="256"/>
      <c r="BF19" s="256"/>
      <c r="BG19" s="256"/>
      <c r="BH19" s="256"/>
      <c r="BI19" s="258"/>
      <c r="BJ19" s="259"/>
      <c r="BK19" s="202"/>
      <c r="BL19" s="16"/>
      <c r="BM19" s="16"/>
      <c r="BN19" s="16"/>
      <c r="BO19" s="16"/>
      <c r="BP19" s="16"/>
      <c r="BQ19" s="16"/>
      <c r="BR19" s="16"/>
      <c r="BS19" s="16"/>
      <c r="BT19" s="16"/>
      <c r="BU19" s="16"/>
      <c r="BV19" s="16"/>
      <c r="BW19" s="16"/>
      <c r="BX19" s="16"/>
      <c r="BY19" s="16"/>
      <c r="BZ19" s="16"/>
      <c r="CA19" s="16"/>
      <c r="CB19" s="16"/>
      <c r="CC19" s="16"/>
      <c r="CD19" s="203"/>
      <c r="CF19" s="309"/>
      <c r="CG19" s="309"/>
      <c r="CH19" s="309"/>
      <c r="CI19" s="309"/>
      <c r="CJ19" s="309"/>
      <c r="CK19" s="309"/>
      <c r="CL19" s="309"/>
      <c r="CM19" s="309"/>
      <c r="CN19" s="309"/>
    </row>
    <row r="20" spans="1:92" s="9" customFormat="1" ht="15.75" thickBot="1" x14ac:dyDescent="0.3">
      <c r="B20" s="558" t="s">
        <v>84</v>
      </c>
      <c r="C20" s="559"/>
      <c r="D20" s="560"/>
      <c r="E20" s="269"/>
      <c r="F20" s="269"/>
      <c r="G20" s="269"/>
      <c r="H20" s="269"/>
      <c r="I20" s="255"/>
      <c r="J20" s="255"/>
      <c r="K20" s="255"/>
      <c r="L20" s="275">
        <v>2</v>
      </c>
      <c r="M20" s="275">
        <v>2</v>
      </c>
      <c r="N20" s="275">
        <v>2</v>
      </c>
      <c r="O20" s="275">
        <v>2</v>
      </c>
      <c r="P20" s="275">
        <v>2</v>
      </c>
      <c r="Q20" s="275">
        <v>2</v>
      </c>
      <c r="R20" s="275">
        <v>2</v>
      </c>
      <c r="S20" s="275">
        <v>2</v>
      </c>
      <c r="T20" s="275">
        <v>2</v>
      </c>
      <c r="U20" s="275">
        <v>2</v>
      </c>
      <c r="V20" s="275">
        <v>2</v>
      </c>
      <c r="W20" s="275">
        <v>2</v>
      </c>
      <c r="X20" s="275">
        <v>2</v>
      </c>
      <c r="Y20" s="275">
        <v>2</v>
      </c>
      <c r="Z20" s="275">
        <v>2</v>
      </c>
      <c r="AA20" s="275">
        <v>2</v>
      </c>
      <c r="AB20" s="275">
        <v>2</v>
      </c>
      <c r="AC20" s="275">
        <v>2</v>
      </c>
      <c r="AD20" s="275">
        <v>2</v>
      </c>
      <c r="AE20" s="275">
        <v>2</v>
      </c>
      <c r="AF20" s="275">
        <v>2</v>
      </c>
      <c r="AG20" s="275">
        <v>2</v>
      </c>
      <c r="AH20" s="275">
        <v>2</v>
      </c>
      <c r="AI20" s="275">
        <v>2</v>
      </c>
      <c r="AJ20" s="275">
        <v>2</v>
      </c>
      <c r="AK20" s="275">
        <v>2</v>
      </c>
      <c r="AL20" s="275">
        <v>2</v>
      </c>
      <c r="AM20" s="275">
        <v>2</v>
      </c>
      <c r="AN20" s="275">
        <v>2</v>
      </c>
      <c r="AO20" s="275">
        <v>2</v>
      </c>
      <c r="AP20" s="275">
        <v>2</v>
      </c>
      <c r="AQ20" s="275">
        <v>2</v>
      </c>
      <c r="AR20" s="275">
        <v>2</v>
      </c>
      <c r="AS20" s="275">
        <v>2</v>
      </c>
      <c r="AT20" s="275">
        <v>2</v>
      </c>
      <c r="AU20" s="275">
        <v>2</v>
      </c>
      <c r="AV20" s="275">
        <v>2</v>
      </c>
      <c r="AW20" s="275">
        <v>2</v>
      </c>
      <c r="AX20" s="275">
        <v>2</v>
      </c>
      <c r="AY20" s="275">
        <v>2</v>
      </c>
      <c r="AZ20" s="275">
        <v>2</v>
      </c>
      <c r="BA20" s="255"/>
      <c r="BB20" s="255"/>
      <c r="BC20" s="255"/>
      <c r="BD20" s="255"/>
      <c r="BE20" s="256"/>
      <c r="BF20" s="256"/>
      <c r="BG20" s="256"/>
      <c r="BH20" s="256"/>
      <c r="BI20" s="258"/>
      <c r="BJ20" s="259"/>
      <c r="BK20" s="202"/>
      <c r="BL20" s="16"/>
      <c r="BM20" s="16"/>
      <c r="BN20" s="16"/>
      <c r="BO20" s="16"/>
      <c r="BP20" s="16"/>
      <c r="BQ20" s="16"/>
      <c r="BR20" s="16"/>
      <c r="BS20" s="16"/>
      <c r="BT20" s="16"/>
      <c r="BU20" s="16"/>
      <c r="BV20" s="16"/>
      <c r="BW20" s="16"/>
      <c r="BX20" s="16"/>
      <c r="BY20" s="16"/>
      <c r="BZ20" s="16"/>
      <c r="CA20" s="16"/>
      <c r="CB20" s="16"/>
      <c r="CC20" s="16"/>
      <c r="CD20" s="203"/>
      <c r="CF20" s="309"/>
      <c r="CG20" s="309"/>
      <c r="CH20" s="309"/>
      <c r="CI20" s="309"/>
      <c r="CJ20" s="309"/>
      <c r="CK20" s="309"/>
      <c r="CL20" s="309"/>
      <c r="CM20" s="309"/>
      <c r="CN20" s="309"/>
    </row>
    <row r="21" spans="1:92" ht="15.75" thickBot="1" x14ac:dyDescent="0.3">
      <c r="A21" s="9"/>
      <c r="B21" s="558" t="s">
        <v>293</v>
      </c>
      <c r="C21" s="559"/>
      <c r="D21" s="564"/>
      <c r="E21" s="269"/>
      <c r="F21" s="269"/>
      <c r="G21" s="269"/>
      <c r="H21" s="269"/>
      <c r="I21" s="255" t="s">
        <v>292</v>
      </c>
      <c r="J21" s="255" t="s">
        <v>292</v>
      </c>
      <c r="K21" s="255" t="s">
        <v>292</v>
      </c>
      <c r="L21" s="275">
        <v>3</v>
      </c>
      <c r="M21" s="275">
        <v>3</v>
      </c>
      <c r="N21" s="275">
        <v>3</v>
      </c>
      <c r="O21" s="275">
        <v>3</v>
      </c>
      <c r="P21" s="275">
        <v>3</v>
      </c>
      <c r="Q21" s="275">
        <v>3</v>
      </c>
      <c r="R21" s="275">
        <v>3</v>
      </c>
      <c r="S21" s="275">
        <v>3</v>
      </c>
      <c r="T21" s="275">
        <v>3</v>
      </c>
      <c r="U21" s="275">
        <v>3</v>
      </c>
      <c r="V21" s="275">
        <v>3</v>
      </c>
      <c r="W21" s="275">
        <v>3</v>
      </c>
      <c r="X21" s="275">
        <v>3</v>
      </c>
      <c r="Y21" s="275">
        <v>3</v>
      </c>
      <c r="Z21" s="275">
        <v>3</v>
      </c>
      <c r="AA21" s="275">
        <v>3</v>
      </c>
      <c r="AB21" s="275">
        <v>3</v>
      </c>
      <c r="AC21" s="275">
        <v>3</v>
      </c>
      <c r="AD21" s="275">
        <v>3</v>
      </c>
      <c r="AE21" s="275">
        <v>3</v>
      </c>
      <c r="AF21" s="275">
        <v>3</v>
      </c>
      <c r="AG21" s="275">
        <v>3</v>
      </c>
      <c r="AH21" s="275">
        <v>3</v>
      </c>
      <c r="AI21" s="275">
        <v>3</v>
      </c>
      <c r="AJ21" s="275">
        <v>3</v>
      </c>
      <c r="AK21" s="275">
        <v>3</v>
      </c>
      <c r="AL21" s="275">
        <v>3</v>
      </c>
      <c r="AM21" s="275">
        <v>3</v>
      </c>
      <c r="AN21" s="275">
        <v>3</v>
      </c>
      <c r="AO21" s="275">
        <v>3</v>
      </c>
      <c r="AP21" s="275">
        <v>3</v>
      </c>
      <c r="AQ21" s="275">
        <v>3</v>
      </c>
      <c r="AR21" s="275">
        <v>3</v>
      </c>
      <c r="AS21" s="275">
        <v>3</v>
      </c>
      <c r="AT21" s="275">
        <v>3</v>
      </c>
      <c r="AU21" s="275">
        <v>3</v>
      </c>
      <c r="AV21" s="275">
        <v>3</v>
      </c>
      <c r="AW21" s="275">
        <v>3</v>
      </c>
      <c r="AX21" s="275">
        <v>3</v>
      </c>
      <c r="AY21" s="275">
        <v>3</v>
      </c>
      <c r="AZ21" s="275">
        <v>3</v>
      </c>
      <c r="BA21" s="255"/>
      <c r="BB21" s="255"/>
      <c r="BC21" s="255"/>
      <c r="BD21" s="255"/>
      <c r="BE21" s="256"/>
      <c r="BF21" s="256"/>
      <c r="BG21" s="256"/>
      <c r="BH21" s="256"/>
      <c r="BI21" s="258"/>
      <c r="BJ21" s="259"/>
      <c r="BK21" s="202"/>
      <c r="BL21" s="16"/>
      <c r="BM21" s="16"/>
      <c r="BN21" s="16"/>
      <c r="BO21" s="16"/>
      <c r="BP21" s="16"/>
      <c r="BQ21" s="16"/>
      <c r="BR21" s="16"/>
      <c r="BS21" s="16"/>
      <c r="BT21" s="16"/>
      <c r="BU21" s="16"/>
      <c r="BV21" s="16"/>
      <c r="BW21" s="16"/>
      <c r="BX21" s="16"/>
      <c r="BY21" s="16"/>
      <c r="BZ21" s="16"/>
      <c r="CA21" s="16"/>
      <c r="CB21" s="16"/>
      <c r="CC21" s="16"/>
      <c r="CD21" s="203"/>
      <c r="CF21" s="309"/>
      <c r="CG21" s="309"/>
      <c r="CH21" s="309"/>
      <c r="CI21" s="309" t="s">
        <v>380</v>
      </c>
      <c r="CJ21" s="309"/>
      <c r="CK21" s="309"/>
      <c r="CL21" s="309"/>
      <c r="CM21" s="309"/>
      <c r="CN21" s="309"/>
    </row>
    <row r="22" spans="1:92" ht="15.75" thickBot="1" x14ac:dyDescent="0.3">
      <c r="A22" s="9"/>
      <c r="B22" s="558" t="s">
        <v>265</v>
      </c>
      <c r="C22" s="559"/>
      <c r="D22" s="564"/>
      <c r="E22" s="270"/>
      <c r="F22" s="270"/>
      <c r="G22" s="270"/>
      <c r="H22" s="270"/>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c r="AS22" s="255"/>
      <c r="AT22" s="255"/>
      <c r="AU22" s="255"/>
      <c r="AV22" s="255"/>
      <c r="AW22" s="255"/>
      <c r="AX22" s="255"/>
      <c r="AY22" s="255"/>
      <c r="AZ22" s="255"/>
      <c r="BA22" s="255"/>
      <c r="BB22" s="255"/>
      <c r="BC22" s="255"/>
      <c r="BD22" s="255"/>
      <c r="BE22" s="256"/>
      <c r="BF22" s="256"/>
      <c r="BG22" s="256"/>
      <c r="BH22" s="256"/>
      <c r="BI22" s="258"/>
      <c r="BJ22" s="259"/>
      <c r="BK22" s="202"/>
      <c r="BL22" s="16"/>
      <c r="BM22" s="16"/>
      <c r="BN22" s="16"/>
      <c r="BO22" s="16"/>
      <c r="BP22" s="16"/>
      <c r="BQ22" s="16"/>
      <c r="BR22" s="16"/>
      <c r="BS22" s="16"/>
      <c r="BT22" s="16"/>
      <c r="BU22" s="16"/>
      <c r="BV22" s="16"/>
      <c r="BW22" s="16"/>
      <c r="BX22" s="16"/>
      <c r="BY22" s="16"/>
      <c r="BZ22" s="16"/>
      <c r="CA22" s="16"/>
      <c r="CB22" s="16"/>
      <c r="CC22" s="16"/>
      <c r="CD22" s="203"/>
      <c r="CF22" s="309">
        <v>26553.48</v>
      </c>
      <c r="CG22" s="309">
        <f>CF22*1.15</f>
        <v>30536.501999999997</v>
      </c>
      <c r="CH22" s="309"/>
      <c r="CI22" s="309">
        <v>800</v>
      </c>
      <c r="CJ22" s="309"/>
      <c r="CK22" s="309"/>
      <c r="CL22" s="309"/>
      <c r="CM22" s="309"/>
      <c r="CN22" s="309"/>
    </row>
    <row r="23" spans="1:92" ht="15.75" thickBot="1" x14ac:dyDescent="0.3">
      <c r="A23" s="9"/>
      <c r="B23" s="555" t="s">
        <v>250</v>
      </c>
      <c r="C23" s="556"/>
      <c r="D23" s="556"/>
      <c r="E23" s="556"/>
      <c r="F23" s="556"/>
      <c r="G23" s="556"/>
      <c r="H23" s="556"/>
      <c r="I23" s="556"/>
      <c r="J23" s="556"/>
      <c r="K23" s="556"/>
      <c r="L23" s="556"/>
      <c r="M23" s="556"/>
      <c r="N23" s="556"/>
      <c r="O23" s="556"/>
      <c r="P23" s="556"/>
      <c r="Q23" s="556"/>
      <c r="R23" s="556"/>
      <c r="S23" s="556"/>
      <c r="T23" s="556"/>
      <c r="U23" s="556"/>
      <c r="V23" s="556"/>
      <c r="W23" s="556"/>
      <c r="X23" s="556"/>
      <c r="Y23" s="556"/>
      <c r="Z23" s="556"/>
      <c r="AA23" s="556"/>
      <c r="AB23" s="556"/>
      <c r="AC23" s="556"/>
      <c r="AD23" s="556"/>
      <c r="AE23" s="556"/>
      <c r="AF23" s="556"/>
      <c r="AG23" s="556"/>
      <c r="AH23" s="556"/>
      <c r="AI23" s="556"/>
      <c r="AJ23" s="556"/>
      <c r="AK23" s="556"/>
      <c r="AL23" s="556"/>
      <c r="AM23" s="556"/>
      <c r="AN23" s="556"/>
      <c r="AO23" s="556"/>
      <c r="AP23" s="556"/>
      <c r="AQ23" s="556"/>
      <c r="AR23" s="556"/>
      <c r="AS23" s="556"/>
      <c r="AT23" s="556"/>
      <c r="AU23" s="556"/>
      <c r="AV23" s="556"/>
      <c r="AW23" s="556"/>
      <c r="AX23" s="556"/>
      <c r="AY23" s="556"/>
      <c r="AZ23" s="556"/>
      <c r="BA23" s="556"/>
      <c r="BB23" s="556"/>
      <c r="BC23" s="556"/>
      <c r="BD23" s="556"/>
      <c r="BE23" s="556"/>
      <c r="BF23" s="556"/>
      <c r="BG23" s="556"/>
      <c r="BH23" s="556"/>
      <c r="BI23" s="556"/>
      <c r="BJ23" s="557"/>
      <c r="BK23" s="202"/>
      <c r="BL23" s="16"/>
      <c r="BM23" s="16"/>
      <c r="BN23" s="16"/>
      <c r="BO23" s="16"/>
      <c r="BP23" s="16"/>
      <c r="BQ23" s="16"/>
      <c r="BR23" s="16"/>
      <c r="BS23" s="16"/>
      <c r="BT23" s="16"/>
      <c r="BU23" s="16"/>
      <c r="BV23" s="16"/>
      <c r="BW23" s="16"/>
      <c r="BX23" s="16"/>
      <c r="BY23" s="16"/>
      <c r="BZ23" s="16"/>
      <c r="CA23" s="16"/>
      <c r="CB23" s="16"/>
      <c r="CC23" s="16"/>
      <c r="CD23" s="203"/>
      <c r="CF23" s="309"/>
      <c r="CG23" s="309"/>
      <c r="CH23" s="309"/>
      <c r="CI23" s="309"/>
      <c r="CJ23" s="309" t="s">
        <v>384</v>
      </c>
      <c r="CK23" s="309"/>
      <c r="CL23" s="309"/>
      <c r="CM23" s="309"/>
      <c r="CN23" s="309"/>
    </row>
    <row r="24" spans="1:92" ht="21.75" customHeight="1" thickBot="1" x14ac:dyDescent="0.3">
      <c r="A24" s="9"/>
      <c r="B24" s="539" t="s">
        <v>237</v>
      </c>
      <c r="C24" s="540"/>
      <c r="D24" s="554"/>
      <c r="E24" s="260"/>
      <c r="F24" s="260"/>
      <c r="G24" s="260"/>
      <c r="H24" s="260"/>
      <c r="I24" s="255"/>
      <c r="J24" s="255"/>
      <c r="K24" s="255"/>
      <c r="L24" s="275">
        <v>2</v>
      </c>
      <c r="M24" s="275">
        <v>2</v>
      </c>
      <c r="N24" s="275">
        <v>2</v>
      </c>
      <c r="O24" s="275">
        <v>2</v>
      </c>
      <c r="P24" s="275">
        <v>2</v>
      </c>
      <c r="Q24" s="275">
        <v>2</v>
      </c>
      <c r="R24" s="275">
        <v>2</v>
      </c>
      <c r="S24" s="275">
        <v>2</v>
      </c>
      <c r="T24" s="275">
        <v>2</v>
      </c>
      <c r="U24" s="275">
        <v>2</v>
      </c>
      <c r="V24" s="275">
        <v>2</v>
      </c>
      <c r="W24" s="275">
        <v>2</v>
      </c>
      <c r="X24" s="275">
        <v>2</v>
      </c>
      <c r="Y24" s="275">
        <v>2</v>
      </c>
      <c r="Z24" s="275">
        <v>2</v>
      </c>
      <c r="AA24" s="275">
        <v>2</v>
      </c>
      <c r="AB24" s="275">
        <v>2</v>
      </c>
      <c r="AC24" s="275">
        <v>2</v>
      </c>
      <c r="AD24" s="275">
        <v>2</v>
      </c>
      <c r="AE24" s="275">
        <v>2</v>
      </c>
      <c r="AF24" s="275">
        <v>2</v>
      </c>
      <c r="AG24" s="275">
        <v>2</v>
      </c>
      <c r="AH24" s="275">
        <v>2</v>
      </c>
      <c r="AI24" s="275">
        <v>2</v>
      </c>
      <c r="AJ24" s="275">
        <v>2</v>
      </c>
      <c r="AK24" s="275">
        <v>2</v>
      </c>
      <c r="AL24" s="275">
        <v>2</v>
      </c>
      <c r="AM24" s="275">
        <v>2</v>
      </c>
      <c r="AN24" s="275">
        <v>2</v>
      </c>
      <c r="AO24" s="275">
        <v>2</v>
      </c>
      <c r="AP24" s="275">
        <v>2</v>
      </c>
      <c r="AQ24" s="275">
        <v>2</v>
      </c>
      <c r="AR24" s="275">
        <v>2</v>
      </c>
      <c r="AS24" s="275">
        <v>2</v>
      </c>
      <c r="AT24" s="275">
        <v>2</v>
      </c>
      <c r="AU24" s="275">
        <v>2</v>
      </c>
      <c r="AV24" s="275">
        <v>2</v>
      </c>
      <c r="AW24" s="275">
        <v>2</v>
      </c>
      <c r="AX24" s="275">
        <v>2</v>
      </c>
      <c r="AY24" s="275">
        <v>2</v>
      </c>
      <c r="AZ24" s="275">
        <v>2</v>
      </c>
      <c r="BA24" s="275">
        <v>2</v>
      </c>
      <c r="BB24" s="275">
        <v>2</v>
      </c>
      <c r="BC24" s="275">
        <v>2</v>
      </c>
      <c r="BD24" s="255"/>
      <c r="BE24" s="256"/>
      <c r="BF24" s="256"/>
      <c r="BG24" s="256"/>
      <c r="BH24" s="256"/>
      <c r="BI24" s="256"/>
      <c r="BJ24" s="256"/>
      <c r="BK24" s="202"/>
      <c r="BL24" s="16"/>
      <c r="BM24" s="16"/>
      <c r="BN24" s="16"/>
      <c r="BO24" s="16"/>
      <c r="BP24" s="16"/>
      <c r="BQ24" s="16"/>
      <c r="BR24" s="16"/>
      <c r="BS24" s="16"/>
      <c r="BT24" s="16"/>
      <c r="BU24" s="16"/>
      <c r="BV24" s="16"/>
      <c r="BW24" s="16"/>
      <c r="BX24" s="16"/>
      <c r="BY24" s="16"/>
      <c r="BZ24" s="16"/>
      <c r="CA24" s="16"/>
      <c r="CB24" s="16"/>
      <c r="CC24" s="16"/>
      <c r="CD24" s="203"/>
      <c r="CF24" s="309" t="s">
        <v>381</v>
      </c>
      <c r="CG24" s="309" t="s">
        <v>379</v>
      </c>
      <c r="CH24" s="309">
        <f>CG22/CI22</f>
        <v>38.170627499999995</v>
      </c>
      <c r="CI24" s="569" t="s">
        <v>383</v>
      </c>
      <c r="CJ24" s="309">
        <f>CH24*7</f>
        <v>267.19439249999994</v>
      </c>
      <c r="CK24" s="309">
        <f>CJ24/7</f>
        <v>38.170627499999988</v>
      </c>
      <c r="CL24" s="309"/>
      <c r="CM24" s="309"/>
      <c r="CN24" s="309"/>
    </row>
    <row r="25" spans="1:92" ht="15" customHeight="1" thickBot="1" x14ac:dyDescent="0.3">
      <c r="A25" s="9"/>
      <c r="B25" s="539" t="s">
        <v>251</v>
      </c>
      <c r="C25" s="540"/>
      <c r="D25" s="541"/>
      <c r="E25" s="271"/>
      <c r="F25" s="271"/>
      <c r="G25" s="271"/>
      <c r="H25" s="271"/>
      <c r="I25" s="255"/>
      <c r="J25" s="255"/>
      <c r="K25" s="255"/>
      <c r="L25" s="275">
        <v>6</v>
      </c>
      <c r="M25" s="275">
        <v>6</v>
      </c>
      <c r="N25" s="275">
        <v>6</v>
      </c>
      <c r="O25" s="275">
        <v>6</v>
      </c>
      <c r="P25" s="275">
        <v>6</v>
      </c>
      <c r="Q25" s="275">
        <v>6</v>
      </c>
      <c r="R25" s="275">
        <v>6</v>
      </c>
      <c r="S25" s="275">
        <v>6</v>
      </c>
      <c r="T25" s="275">
        <f>$T$31</f>
        <v>1</v>
      </c>
      <c r="U25" s="275">
        <f t="shared" ref="U25:AO25" si="0">$T$31</f>
        <v>1</v>
      </c>
      <c r="V25" s="275">
        <f t="shared" si="0"/>
        <v>1</v>
      </c>
      <c r="W25" s="275">
        <f t="shared" si="0"/>
        <v>1</v>
      </c>
      <c r="X25" s="275">
        <f t="shared" si="0"/>
        <v>1</v>
      </c>
      <c r="Y25" s="275">
        <f t="shared" si="0"/>
        <v>1</v>
      </c>
      <c r="Z25" s="275">
        <f t="shared" si="0"/>
        <v>1</v>
      </c>
      <c r="AA25" s="275">
        <f t="shared" si="0"/>
        <v>1</v>
      </c>
      <c r="AB25" s="275">
        <f t="shared" si="0"/>
        <v>1</v>
      </c>
      <c r="AC25" s="275">
        <f t="shared" si="0"/>
        <v>1</v>
      </c>
      <c r="AD25" s="275">
        <f t="shared" si="0"/>
        <v>1</v>
      </c>
      <c r="AE25" s="275">
        <f t="shared" si="0"/>
        <v>1</v>
      </c>
      <c r="AF25" s="275">
        <f t="shared" si="0"/>
        <v>1</v>
      </c>
      <c r="AG25" s="275">
        <f t="shared" si="0"/>
        <v>1</v>
      </c>
      <c r="AH25" s="275">
        <f t="shared" si="0"/>
        <v>1</v>
      </c>
      <c r="AI25" s="275">
        <f t="shared" si="0"/>
        <v>1</v>
      </c>
      <c r="AJ25" s="275">
        <f t="shared" si="0"/>
        <v>1</v>
      </c>
      <c r="AK25" s="275">
        <f t="shared" si="0"/>
        <v>1</v>
      </c>
      <c r="AL25" s="275">
        <f t="shared" si="0"/>
        <v>1</v>
      </c>
      <c r="AM25" s="275">
        <f t="shared" si="0"/>
        <v>1</v>
      </c>
      <c r="AN25" s="275">
        <f t="shared" si="0"/>
        <v>1</v>
      </c>
      <c r="AO25" s="275">
        <f t="shared" si="0"/>
        <v>1</v>
      </c>
      <c r="AP25" s="275">
        <v>6</v>
      </c>
      <c r="AQ25" s="275">
        <v>6</v>
      </c>
      <c r="AR25" s="275">
        <v>6</v>
      </c>
      <c r="AS25" s="275">
        <v>6</v>
      </c>
      <c r="AT25" s="275">
        <v>6</v>
      </c>
      <c r="AU25" s="275">
        <v>6</v>
      </c>
      <c r="AV25" s="275">
        <v>6</v>
      </c>
      <c r="AW25" s="275">
        <v>6</v>
      </c>
      <c r="AX25" s="275">
        <v>6</v>
      </c>
      <c r="AY25" s="275">
        <v>6</v>
      </c>
      <c r="AZ25" s="275">
        <v>6</v>
      </c>
      <c r="BA25" s="275">
        <v>6</v>
      </c>
      <c r="BB25" s="275">
        <v>6</v>
      </c>
      <c r="BC25" s="275">
        <v>6</v>
      </c>
      <c r="BD25" s="255"/>
      <c r="BE25" s="256"/>
      <c r="BF25" s="256"/>
      <c r="BG25" s="256"/>
      <c r="BH25" s="256"/>
      <c r="BI25" s="256"/>
      <c r="BJ25" s="256"/>
      <c r="BK25" s="202"/>
      <c r="BL25" s="16"/>
      <c r="BM25" s="16"/>
      <c r="BN25" s="16"/>
      <c r="BO25" s="16"/>
      <c r="BP25" s="16"/>
      <c r="BQ25" s="16"/>
      <c r="BR25" s="16"/>
      <c r="BS25" s="16"/>
      <c r="BT25" s="16"/>
      <c r="BU25" s="16"/>
      <c r="BV25" s="16"/>
      <c r="BW25" s="16"/>
      <c r="BX25" s="16"/>
      <c r="BY25" s="16"/>
      <c r="BZ25" s="16"/>
      <c r="CA25" s="16"/>
      <c r="CB25" s="16"/>
      <c r="CC25" s="16"/>
      <c r="CD25" s="203"/>
      <c r="CF25" s="309" t="s">
        <v>382</v>
      </c>
      <c r="CG25" s="309"/>
      <c r="CH25" s="309"/>
      <c r="CI25" s="569"/>
      <c r="CJ25" s="309"/>
      <c r="CK25" s="309"/>
      <c r="CL25" s="309"/>
      <c r="CM25" s="309"/>
      <c r="CN25" s="309"/>
    </row>
    <row r="26" spans="1:92" ht="27" customHeight="1" thickBot="1" x14ac:dyDescent="0.3">
      <c r="A26" s="9"/>
      <c r="B26" s="539" t="s">
        <v>240</v>
      </c>
      <c r="C26" s="540"/>
      <c r="D26" s="541"/>
      <c r="E26" s="257"/>
      <c r="F26" s="257"/>
      <c r="G26" s="257"/>
      <c r="H26" s="257"/>
      <c r="I26" s="255"/>
      <c r="J26" s="255"/>
      <c r="K26" s="255"/>
      <c r="L26" s="275">
        <v>2</v>
      </c>
      <c r="M26" s="275">
        <v>2</v>
      </c>
      <c r="N26" s="275">
        <v>2</v>
      </c>
      <c r="O26" s="275">
        <v>2</v>
      </c>
      <c r="P26" s="275">
        <v>2</v>
      </c>
      <c r="Q26" s="275">
        <v>2</v>
      </c>
      <c r="R26" s="275">
        <v>2</v>
      </c>
      <c r="S26" s="275">
        <v>2</v>
      </c>
      <c r="T26" s="275">
        <v>2</v>
      </c>
      <c r="U26" s="275">
        <v>2</v>
      </c>
      <c r="V26" s="275">
        <v>2</v>
      </c>
      <c r="W26" s="275">
        <v>2</v>
      </c>
      <c r="X26" s="275">
        <v>2</v>
      </c>
      <c r="Y26" s="275">
        <v>2</v>
      </c>
      <c r="Z26" s="275">
        <v>2</v>
      </c>
      <c r="AA26" s="275">
        <v>2</v>
      </c>
      <c r="AB26" s="275">
        <v>2</v>
      </c>
      <c r="AC26" s="275">
        <v>2</v>
      </c>
      <c r="AD26" s="275">
        <v>2</v>
      </c>
      <c r="AE26" s="275">
        <v>2</v>
      </c>
      <c r="AF26" s="275">
        <v>2</v>
      </c>
      <c r="AG26" s="275">
        <v>2</v>
      </c>
      <c r="AH26" s="275">
        <v>2</v>
      </c>
      <c r="AI26" s="275">
        <v>2</v>
      </c>
      <c r="AJ26" s="275">
        <v>2</v>
      </c>
      <c r="AK26" s="275">
        <v>2</v>
      </c>
      <c r="AL26" s="275">
        <v>2</v>
      </c>
      <c r="AM26" s="275">
        <v>2</v>
      </c>
      <c r="AN26" s="275">
        <v>2</v>
      </c>
      <c r="AO26" s="275">
        <v>2</v>
      </c>
      <c r="AP26" s="275">
        <v>2</v>
      </c>
      <c r="AQ26" s="275">
        <v>2</v>
      </c>
      <c r="AR26" s="275">
        <v>2</v>
      </c>
      <c r="AS26" s="275">
        <v>2</v>
      </c>
      <c r="AT26" s="275">
        <v>2</v>
      </c>
      <c r="AU26" s="275">
        <v>2</v>
      </c>
      <c r="AV26" s="275">
        <v>2</v>
      </c>
      <c r="AW26" s="275">
        <v>2</v>
      </c>
      <c r="AX26" s="275">
        <v>2</v>
      </c>
      <c r="AY26" s="275">
        <v>2</v>
      </c>
      <c r="AZ26" s="275">
        <v>2</v>
      </c>
      <c r="BA26" s="275">
        <v>2</v>
      </c>
      <c r="BB26" s="275">
        <v>2</v>
      </c>
      <c r="BC26" s="275">
        <v>2</v>
      </c>
      <c r="BD26" s="255"/>
      <c r="BE26" s="256"/>
      <c r="BF26" s="256"/>
      <c r="BG26" s="256"/>
      <c r="BH26" s="256"/>
      <c r="BI26" s="256"/>
      <c r="BJ26" s="256" t="s">
        <v>292</v>
      </c>
      <c r="BK26" s="202"/>
      <c r="BL26" s="16"/>
      <c r="BM26" s="16"/>
      <c r="BN26" s="16"/>
      <c r="BO26" s="16"/>
      <c r="BP26" s="16"/>
      <c r="BQ26" s="16"/>
      <c r="BR26" s="16"/>
      <c r="BS26" s="16"/>
      <c r="BT26" s="16"/>
      <c r="BU26" s="16"/>
      <c r="BV26" s="16"/>
      <c r="BW26" s="16"/>
      <c r="BX26" s="16"/>
      <c r="BY26" s="16"/>
      <c r="BZ26" s="16"/>
      <c r="CA26" s="16"/>
      <c r="CB26" s="16"/>
      <c r="CC26" s="16"/>
      <c r="CD26" s="203"/>
      <c r="CF26" s="309">
        <v>41645.72</v>
      </c>
      <c r="CG26" s="309"/>
      <c r="CH26" s="309">
        <f>CF26/CI22</f>
        <v>52.05715</v>
      </c>
      <c r="CI26" s="569"/>
      <c r="CJ26" s="309">
        <f>CH26*7</f>
        <v>364.40005000000002</v>
      </c>
      <c r="CK26" s="309">
        <f>CJ26/7</f>
        <v>52.05715</v>
      </c>
      <c r="CL26" s="309"/>
      <c r="CM26" s="309"/>
      <c r="CN26" s="309"/>
    </row>
    <row r="27" spans="1:92" ht="15" customHeight="1" thickBot="1" x14ac:dyDescent="0.3">
      <c r="A27" s="9"/>
      <c r="B27" s="539" t="s">
        <v>252</v>
      </c>
      <c r="C27" s="540"/>
      <c r="D27" s="541"/>
      <c r="E27" s="257"/>
      <c r="F27" s="257"/>
      <c r="G27" s="257"/>
      <c r="H27" s="257"/>
      <c r="I27" s="255"/>
      <c r="J27" s="255"/>
      <c r="K27" s="255"/>
      <c r="L27" s="275">
        <v>2</v>
      </c>
      <c r="M27" s="275">
        <v>2</v>
      </c>
      <c r="N27" s="275">
        <v>2</v>
      </c>
      <c r="O27" s="275">
        <v>2</v>
      </c>
      <c r="P27" s="275">
        <v>2</v>
      </c>
      <c r="Q27" s="275">
        <v>2</v>
      </c>
      <c r="R27" s="275">
        <v>2</v>
      </c>
      <c r="S27" s="275">
        <v>2</v>
      </c>
      <c r="T27" s="275">
        <v>2</v>
      </c>
      <c r="U27" s="275">
        <v>2</v>
      </c>
      <c r="V27" s="275">
        <v>2</v>
      </c>
      <c r="W27" s="275">
        <v>2</v>
      </c>
      <c r="X27" s="275">
        <v>2</v>
      </c>
      <c r="Y27" s="275">
        <v>2</v>
      </c>
      <c r="Z27" s="275">
        <v>2</v>
      </c>
      <c r="AA27" s="275">
        <v>2</v>
      </c>
      <c r="AB27" s="275">
        <v>2</v>
      </c>
      <c r="AC27" s="275">
        <v>2</v>
      </c>
      <c r="AD27" s="275">
        <v>2</v>
      </c>
      <c r="AE27" s="275">
        <v>2</v>
      </c>
      <c r="AF27" s="275">
        <v>2</v>
      </c>
      <c r="AG27" s="275">
        <v>2</v>
      </c>
      <c r="AH27" s="275">
        <v>2</v>
      </c>
      <c r="AI27" s="275">
        <v>2</v>
      </c>
      <c r="AJ27" s="275">
        <v>2</v>
      </c>
      <c r="AK27" s="275">
        <v>2</v>
      </c>
      <c r="AL27" s="275">
        <v>2</v>
      </c>
      <c r="AM27" s="275">
        <v>2</v>
      </c>
      <c r="AN27" s="275">
        <v>2</v>
      </c>
      <c r="AO27" s="275">
        <v>2</v>
      </c>
      <c r="AP27" s="275">
        <v>2</v>
      </c>
      <c r="AQ27" s="275">
        <v>2</v>
      </c>
      <c r="AR27" s="275">
        <v>2</v>
      </c>
      <c r="AS27" s="275">
        <v>2</v>
      </c>
      <c r="AT27" s="275">
        <v>2</v>
      </c>
      <c r="AU27" s="275">
        <v>2</v>
      </c>
      <c r="AV27" s="275">
        <v>2</v>
      </c>
      <c r="AW27" s="275">
        <v>2</v>
      </c>
      <c r="AX27" s="275">
        <v>2</v>
      </c>
      <c r="AY27" s="275">
        <v>2</v>
      </c>
      <c r="AZ27" s="275">
        <v>2</v>
      </c>
      <c r="BA27" s="275">
        <v>2</v>
      </c>
      <c r="BB27" s="275">
        <v>2</v>
      </c>
      <c r="BC27" s="275">
        <v>2</v>
      </c>
      <c r="BD27" s="255"/>
      <c r="BE27" s="256"/>
      <c r="BF27" s="256"/>
      <c r="BG27" s="256"/>
      <c r="BH27" s="256"/>
      <c r="BI27" s="256"/>
      <c r="BJ27" s="256"/>
      <c r="BK27" s="202"/>
      <c r="BL27" s="16"/>
      <c r="BM27" s="16"/>
      <c r="BN27" s="16"/>
      <c r="BO27" s="16"/>
      <c r="BP27" s="16"/>
      <c r="BQ27" s="16"/>
      <c r="BR27" s="16"/>
      <c r="BS27" s="16"/>
      <c r="BT27" s="16"/>
      <c r="BU27" s="16"/>
      <c r="BV27" s="16"/>
      <c r="BW27" s="16"/>
      <c r="BX27" s="16"/>
      <c r="BY27" s="16"/>
      <c r="BZ27" s="16"/>
      <c r="CA27" s="16"/>
      <c r="CB27" s="16"/>
      <c r="CC27" s="16"/>
      <c r="CD27" s="203"/>
      <c r="CF27" s="309"/>
      <c r="CG27" s="309"/>
      <c r="CH27" s="309"/>
      <c r="CI27" s="309"/>
      <c r="CJ27" s="309" t="s">
        <v>385</v>
      </c>
      <c r="CK27" s="309"/>
      <c r="CL27" s="309"/>
      <c r="CM27" s="309"/>
      <c r="CN27" s="309"/>
    </row>
    <row r="28" spans="1:92" ht="15" customHeight="1" thickBot="1" x14ac:dyDescent="0.3">
      <c r="A28" s="9"/>
      <c r="B28" s="539" t="s">
        <v>253</v>
      </c>
      <c r="C28" s="540"/>
      <c r="D28" s="554"/>
      <c r="E28" s="257"/>
      <c r="F28" s="257"/>
      <c r="G28" s="257"/>
      <c r="H28" s="257"/>
      <c r="I28" s="255"/>
      <c r="J28" s="255"/>
      <c r="K28" s="255"/>
      <c r="L28" s="275">
        <v>3</v>
      </c>
      <c r="M28" s="275">
        <v>3</v>
      </c>
      <c r="N28" s="275">
        <v>3</v>
      </c>
      <c r="O28" s="275">
        <v>3</v>
      </c>
      <c r="P28" s="275">
        <v>3</v>
      </c>
      <c r="Q28" s="275">
        <v>3</v>
      </c>
      <c r="R28" s="275">
        <v>3</v>
      </c>
      <c r="S28" s="275">
        <v>3</v>
      </c>
      <c r="T28" s="275">
        <v>3</v>
      </c>
      <c r="U28" s="275">
        <v>3</v>
      </c>
      <c r="V28" s="275">
        <v>3</v>
      </c>
      <c r="W28" s="275">
        <v>3</v>
      </c>
      <c r="X28" s="275">
        <v>3</v>
      </c>
      <c r="Y28" s="275">
        <v>3</v>
      </c>
      <c r="Z28" s="275">
        <v>3</v>
      </c>
      <c r="AA28" s="275">
        <v>3</v>
      </c>
      <c r="AB28" s="275">
        <v>3</v>
      </c>
      <c r="AC28" s="275">
        <v>3</v>
      </c>
      <c r="AD28" s="275">
        <v>3</v>
      </c>
      <c r="AE28" s="275">
        <v>3</v>
      </c>
      <c r="AF28" s="275">
        <v>3</v>
      </c>
      <c r="AG28" s="275">
        <v>3</v>
      </c>
      <c r="AH28" s="275">
        <v>3</v>
      </c>
      <c r="AI28" s="275">
        <v>3</v>
      </c>
      <c r="AJ28" s="275">
        <v>3</v>
      </c>
      <c r="AK28" s="275">
        <v>3</v>
      </c>
      <c r="AL28" s="275">
        <v>3</v>
      </c>
      <c r="AM28" s="275">
        <v>3</v>
      </c>
      <c r="AN28" s="275">
        <v>3</v>
      </c>
      <c r="AO28" s="275">
        <v>3</v>
      </c>
      <c r="AP28" s="275">
        <v>3</v>
      </c>
      <c r="AQ28" s="275">
        <v>3</v>
      </c>
      <c r="AR28" s="275">
        <v>3</v>
      </c>
      <c r="AS28" s="275">
        <v>3</v>
      </c>
      <c r="AT28" s="275">
        <v>3</v>
      </c>
      <c r="AU28" s="275">
        <v>3</v>
      </c>
      <c r="AV28" s="275">
        <v>3</v>
      </c>
      <c r="AW28" s="275">
        <v>3</v>
      </c>
      <c r="AX28" s="275">
        <v>3</v>
      </c>
      <c r="AY28" s="275">
        <v>3</v>
      </c>
      <c r="AZ28" s="275">
        <v>3</v>
      </c>
      <c r="BA28" s="275">
        <v>3</v>
      </c>
      <c r="BB28" s="275">
        <v>3</v>
      </c>
      <c r="BC28" s="275">
        <v>3</v>
      </c>
      <c r="BD28" s="255"/>
      <c r="BE28" s="256" t="s">
        <v>292</v>
      </c>
      <c r="BF28" s="256"/>
      <c r="BG28" s="256"/>
      <c r="BH28" s="256"/>
      <c r="BI28" s="256"/>
      <c r="BJ28" s="256"/>
      <c r="BK28" s="202"/>
      <c r="BL28" s="16"/>
      <c r="BM28" s="16"/>
      <c r="BN28" s="16"/>
      <c r="BO28" s="16"/>
      <c r="BP28" s="16"/>
      <c r="BQ28" s="16"/>
      <c r="BR28" s="16"/>
      <c r="BS28" s="16"/>
      <c r="BT28" s="16"/>
      <c r="BU28" s="16"/>
      <c r="BV28" s="16"/>
      <c r="BW28" s="16"/>
      <c r="BX28" s="16"/>
      <c r="BY28" s="16"/>
      <c r="BZ28" s="16"/>
      <c r="CA28" s="16"/>
      <c r="CB28" s="16"/>
      <c r="CC28" s="16"/>
      <c r="CD28" s="203"/>
      <c r="CF28" s="309"/>
      <c r="CG28" s="309"/>
      <c r="CH28" s="309"/>
      <c r="CI28" s="309"/>
      <c r="CJ28" s="309"/>
      <c r="CK28" s="309"/>
      <c r="CL28" s="309"/>
      <c r="CM28" s="309"/>
      <c r="CN28" s="309"/>
    </row>
    <row r="29" spans="1:92" ht="15" customHeight="1" thickBot="1" x14ac:dyDescent="0.3">
      <c r="A29" s="9"/>
      <c r="B29" s="539" t="s">
        <v>254</v>
      </c>
      <c r="C29" s="540"/>
      <c r="D29" s="554"/>
      <c r="E29" s="257"/>
      <c r="F29" s="257"/>
      <c r="G29" s="257"/>
      <c r="H29" s="257"/>
      <c r="I29" s="255"/>
      <c r="J29" s="255"/>
      <c r="K29" s="255"/>
      <c r="L29" s="275">
        <v>3</v>
      </c>
      <c r="M29" s="275">
        <v>3</v>
      </c>
      <c r="N29" s="275">
        <v>3</v>
      </c>
      <c r="O29" s="275">
        <v>3</v>
      </c>
      <c r="P29" s="275">
        <v>3</v>
      </c>
      <c r="Q29" s="275">
        <v>3</v>
      </c>
      <c r="R29" s="275">
        <v>3</v>
      </c>
      <c r="S29" s="275">
        <v>3</v>
      </c>
      <c r="T29" s="275">
        <v>3</v>
      </c>
      <c r="U29" s="275">
        <v>3</v>
      </c>
      <c r="V29" s="275">
        <v>3</v>
      </c>
      <c r="W29" s="275">
        <v>3</v>
      </c>
      <c r="X29" s="275">
        <v>3</v>
      </c>
      <c r="Y29" s="275">
        <v>3</v>
      </c>
      <c r="Z29" s="275">
        <v>3</v>
      </c>
      <c r="AA29" s="275">
        <v>3</v>
      </c>
      <c r="AB29" s="275">
        <v>3</v>
      </c>
      <c r="AC29" s="275">
        <v>3</v>
      </c>
      <c r="AD29" s="275">
        <v>3</v>
      </c>
      <c r="AE29" s="275">
        <v>3</v>
      </c>
      <c r="AF29" s="275">
        <v>3</v>
      </c>
      <c r="AG29" s="275">
        <v>3</v>
      </c>
      <c r="AH29" s="275">
        <v>3</v>
      </c>
      <c r="AI29" s="275">
        <v>3</v>
      </c>
      <c r="AJ29" s="275">
        <v>3</v>
      </c>
      <c r="AK29" s="275">
        <v>3</v>
      </c>
      <c r="AL29" s="275">
        <v>3</v>
      </c>
      <c r="AM29" s="275">
        <v>3</v>
      </c>
      <c r="AN29" s="275">
        <v>3</v>
      </c>
      <c r="AO29" s="275">
        <v>3</v>
      </c>
      <c r="AP29" s="275">
        <v>3</v>
      </c>
      <c r="AQ29" s="275">
        <v>3</v>
      </c>
      <c r="AR29" s="275">
        <v>3</v>
      </c>
      <c r="AS29" s="275">
        <v>3</v>
      </c>
      <c r="AT29" s="275">
        <v>3</v>
      </c>
      <c r="AU29" s="275">
        <v>3</v>
      </c>
      <c r="AV29" s="275">
        <v>3</v>
      </c>
      <c r="AW29" s="275">
        <v>3</v>
      </c>
      <c r="AX29" s="275">
        <v>3</v>
      </c>
      <c r="AY29" s="275">
        <v>3</v>
      </c>
      <c r="AZ29" s="275">
        <v>3</v>
      </c>
      <c r="BA29" s="275">
        <v>3</v>
      </c>
      <c r="BB29" s="275">
        <v>3</v>
      </c>
      <c r="BC29" s="275">
        <v>3</v>
      </c>
      <c r="BD29" s="255"/>
      <c r="BE29" s="256"/>
      <c r="BF29" s="256"/>
      <c r="BG29" s="256"/>
      <c r="BH29" s="256"/>
      <c r="BI29" s="256"/>
      <c r="BJ29" s="256"/>
      <c r="BK29" s="202"/>
      <c r="BL29" s="16"/>
      <c r="BM29" s="16"/>
      <c r="BN29" s="16"/>
      <c r="BO29" s="16"/>
      <c r="BP29" s="16"/>
      <c r="BQ29" s="16"/>
      <c r="BR29" s="16"/>
      <c r="BS29" s="16"/>
      <c r="BT29" s="16"/>
      <c r="BU29" s="16"/>
      <c r="BV29" s="16"/>
      <c r="BW29" s="16"/>
      <c r="BX29" s="16"/>
      <c r="BY29" s="16"/>
      <c r="BZ29" s="16"/>
      <c r="CA29" s="16"/>
      <c r="CB29" s="16"/>
      <c r="CC29" s="16"/>
      <c r="CD29" s="203"/>
      <c r="CF29" s="309"/>
      <c r="CG29" s="309"/>
      <c r="CH29" s="309"/>
      <c r="CI29" s="309"/>
      <c r="CJ29" s="309"/>
      <c r="CK29" s="309"/>
      <c r="CL29" s="309"/>
      <c r="CM29" s="309"/>
      <c r="CN29" s="309"/>
    </row>
    <row r="30" spans="1:92" ht="15.75" thickBot="1" x14ac:dyDescent="0.3">
      <c r="A30" s="9"/>
      <c r="B30" s="555" t="s">
        <v>255</v>
      </c>
      <c r="C30" s="556"/>
      <c r="D30" s="556"/>
      <c r="E30" s="556"/>
      <c r="F30" s="556"/>
      <c r="G30" s="556"/>
      <c r="H30" s="556"/>
      <c r="I30" s="556"/>
      <c r="J30" s="556"/>
      <c r="K30" s="556"/>
      <c r="L30" s="556"/>
      <c r="M30" s="556"/>
      <c r="N30" s="556"/>
      <c r="O30" s="556"/>
      <c r="P30" s="556"/>
      <c r="Q30" s="556"/>
      <c r="R30" s="556"/>
      <c r="S30" s="556"/>
      <c r="T30" s="556"/>
      <c r="U30" s="556"/>
      <c r="V30" s="556"/>
      <c r="W30" s="556"/>
      <c r="X30" s="556"/>
      <c r="Y30" s="556"/>
      <c r="Z30" s="556"/>
      <c r="AA30" s="556"/>
      <c r="AB30" s="556"/>
      <c r="AC30" s="556"/>
      <c r="AD30" s="556"/>
      <c r="AE30" s="556"/>
      <c r="AF30" s="556"/>
      <c r="AG30" s="556"/>
      <c r="AH30" s="556"/>
      <c r="AI30" s="556"/>
      <c r="AJ30" s="556"/>
      <c r="AK30" s="556"/>
      <c r="AL30" s="556"/>
      <c r="AM30" s="556"/>
      <c r="AN30" s="556"/>
      <c r="AO30" s="556"/>
      <c r="AP30" s="556"/>
      <c r="AQ30" s="556"/>
      <c r="AR30" s="556"/>
      <c r="AS30" s="556"/>
      <c r="AT30" s="556"/>
      <c r="AU30" s="556"/>
      <c r="AV30" s="556"/>
      <c r="AW30" s="556"/>
      <c r="AX30" s="556"/>
      <c r="AY30" s="556"/>
      <c r="AZ30" s="556"/>
      <c r="BA30" s="556"/>
      <c r="BB30" s="556"/>
      <c r="BC30" s="556"/>
      <c r="BD30" s="556"/>
      <c r="BE30" s="556"/>
      <c r="BF30" s="556"/>
      <c r="BG30" s="556"/>
      <c r="BH30" s="556"/>
      <c r="BI30" s="556"/>
      <c r="BJ30" s="557"/>
      <c r="BK30" s="202"/>
      <c r="BL30" s="16"/>
      <c r="BM30" s="16"/>
      <c r="BN30" s="16"/>
      <c r="BO30" s="16"/>
      <c r="BP30" s="16"/>
      <c r="BQ30" s="16"/>
      <c r="BR30" s="16"/>
      <c r="BS30" s="16"/>
      <c r="BT30" s="16"/>
      <c r="BU30" s="16"/>
      <c r="BV30" s="16"/>
      <c r="BW30" s="16"/>
      <c r="BX30" s="16"/>
      <c r="BY30" s="16"/>
      <c r="BZ30" s="16"/>
      <c r="CA30" s="16"/>
      <c r="CB30" s="16"/>
      <c r="CC30" s="16"/>
      <c r="CD30" s="203"/>
      <c r="CF30" s="309"/>
      <c r="CG30" s="309"/>
      <c r="CH30" s="309"/>
      <c r="CI30" s="309">
        <f>1229.92-298.02</f>
        <v>931.90000000000009</v>
      </c>
      <c r="CJ30" s="309">
        <f>CI30*0.6</f>
        <v>559.14</v>
      </c>
      <c r="CK30" s="309"/>
      <c r="CL30" s="309"/>
      <c r="CM30" s="309"/>
      <c r="CN30" s="309"/>
    </row>
    <row r="31" spans="1:92" ht="15.75" thickBot="1" x14ac:dyDescent="0.3">
      <c r="A31" s="9"/>
      <c r="B31" s="558" t="s">
        <v>294</v>
      </c>
      <c r="C31" s="559"/>
      <c r="D31" s="559"/>
      <c r="E31" s="272"/>
      <c r="F31" s="272"/>
      <c r="G31" s="272"/>
      <c r="H31" s="272"/>
      <c r="I31" s="256"/>
      <c r="J31" s="256"/>
      <c r="K31" s="256"/>
      <c r="L31" s="278">
        <v>1</v>
      </c>
      <c r="M31" s="278">
        <v>1</v>
      </c>
      <c r="N31" s="278">
        <v>1</v>
      </c>
      <c r="O31" s="278">
        <v>1</v>
      </c>
      <c r="P31" s="278">
        <v>1</v>
      </c>
      <c r="Q31" s="278">
        <v>1</v>
      </c>
      <c r="R31" s="278">
        <v>1</v>
      </c>
      <c r="S31" s="278">
        <v>1</v>
      </c>
      <c r="T31" s="278">
        <v>1</v>
      </c>
      <c r="U31" s="278">
        <v>1</v>
      </c>
      <c r="V31" s="278">
        <v>1</v>
      </c>
      <c r="W31" s="278">
        <v>1</v>
      </c>
      <c r="X31" s="278">
        <v>1</v>
      </c>
      <c r="Y31" s="278">
        <v>1</v>
      </c>
      <c r="Z31" s="278">
        <v>1</v>
      </c>
      <c r="AA31" s="278">
        <v>1</v>
      </c>
      <c r="AB31" s="278">
        <v>1</v>
      </c>
      <c r="AC31" s="275">
        <v>1</v>
      </c>
      <c r="AD31" s="275">
        <v>1</v>
      </c>
      <c r="AE31" s="275">
        <v>1</v>
      </c>
      <c r="AF31" s="275">
        <v>1</v>
      </c>
      <c r="AG31" s="275">
        <v>1</v>
      </c>
      <c r="AH31" s="275">
        <v>1</v>
      </c>
      <c r="AI31" s="275">
        <v>1</v>
      </c>
      <c r="AJ31" s="275">
        <v>1</v>
      </c>
      <c r="AK31" s="275">
        <v>1</v>
      </c>
      <c r="AL31" s="275">
        <v>1</v>
      </c>
      <c r="AM31" s="275">
        <v>1</v>
      </c>
      <c r="AN31" s="275">
        <v>1</v>
      </c>
      <c r="AO31" s="275">
        <v>1</v>
      </c>
      <c r="AP31" s="275">
        <v>1</v>
      </c>
      <c r="AQ31" s="275">
        <v>1</v>
      </c>
      <c r="AR31" s="275">
        <v>1</v>
      </c>
      <c r="AS31" s="275">
        <v>1</v>
      </c>
      <c r="AT31" s="275">
        <v>1</v>
      </c>
      <c r="AU31" s="275">
        <v>1</v>
      </c>
      <c r="AV31" s="275">
        <v>1</v>
      </c>
      <c r="AW31" s="275">
        <v>1</v>
      </c>
      <c r="AX31" s="275">
        <v>1</v>
      </c>
      <c r="AY31" s="275">
        <v>1</v>
      </c>
      <c r="AZ31" s="275">
        <v>1</v>
      </c>
      <c r="BA31" s="275">
        <v>1</v>
      </c>
      <c r="BB31" s="275">
        <v>1</v>
      </c>
      <c r="BC31" s="275">
        <v>1</v>
      </c>
      <c r="BD31" s="275">
        <v>1</v>
      </c>
      <c r="BE31" s="256"/>
      <c r="BF31" s="256"/>
      <c r="BG31" s="256"/>
      <c r="BH31" s="256"/>
      <c r="BI31" s="256"/>
      <c r="BJ31" s="256"/>
      <c r="BK31" s="202"/>
      <c r="BL31" s="16"/>
      <c r="BM31" s="16"/>
      <c r="BN31" s="16"/>
      <c r="BO31" s="16"/>
      <c r="BP31" s="16"/>
      <c r="BQ31" s="16"/>
      <c r="BR31" s="16"/>
      <c r="BS31" s="16"/>
      <c r="BT31" s="16"/>
      <c r="BU31" s="16"/>
      <c r="BV31" s="16"/>
      <c r="BW31" s="16"/>
      <c r="BX31" s="16"/>
      <c r="BY31" s="16"/>
      <c r="BZ31" s="16"/>
      <c r="CA31" s="16"/>
      <c r="CB31" s="16"/>
      <c r="CC31" s="16"/>
      <c r="CD31" s="203"/>
      <c r="CF31" s="309"/>
      <c r="CG31" s="309"/>
      <c r="CH31" s="309"/>
      <c r="CI31" s="309"/>
      <c r="CJ31" s="309">
        <f>298.02*1.2</f>
        <v>357.62399999999997</v>
      </c>
      <c r="CK31" s="309"/>
      <c r="CL31" s="309"/>
      <c r="CM31" s="309"/>
      <c r="CN31" s="309"/>
    </row>
    <row r="32" spans="1:92" ht="15" customHeight="1" thickBot="1" x14ac:dyDescent="0.3">
      <c r="A32" s="9"/>
      <c r="B32" s="539" t="s">
        <v>295</v>
      </c>
      <c r="C32" s="540"/>
      <c r="D32" s="540"/>
      <c r="E32" s="273"/>
      <c r="F32" s="273"/>
      <c r="G32" s="273"/>
      <c r="H32" s="273"/>
      <c r="I32" s="256"/>
      <c r="J32" s="256"/>
      <c r="K32" s="256"/>
      <c r="L32" s="278">
        <v>2</v>
      </c>
      <c r="M32" s="278">
        <v>2</v>
      </c>
      <c r="N32" s="278">
        <v>2</v>
      </c>
      <c r="O32" s="278">
        <v>2</v>
      </c>
      <c r="P32" s="278">
        <v>2</v>
      </c>
      <c r="Q32" s="278">
        <v>2</v>
      </c>
      <c r="R32" s="278">
        <v>2</v>
      </c>
      <c r="S32" s="278">
        <v>2</v>
      </c>
      <c r="T32" s="278">
        <v>2</v>
      </c>
      <c r="U32" s="278">
        <v>2</v>
      </c>
      <c r="V32" s="278">
        <v>2</v>
      </c>
      <c r="W32" s="278">
        <v>2</v>
      </c>
      <c r="X32" s="278">
        <v>2</v>
      </c>
      <c r="Y32" s="278">
        <v>2</v>
      </c>
      <c r="Z32" s="278">
        <v>2</v>
      </c>
      <c r="AA32" s="278">
        <v>2</v>
      </c>
      <c r="AB32" s="278">
        <v>2</v>
      </c>
      <c r="AC32" s="278">
        <v>2</v>
      </c>
      <c r="AD32" s="278">
        <v>2</v>
      </c>
      <c r="AE32" s="278">
        <v>2</v>
      </c>
      <c r="AF32" s="278">
        <v>2</v>
      </c>
      <c r="AG32" s="278">
        <v>2</v>
      </c>
      <c r="AH32" s="278">
        <v>2</v>
      </c>
      <c r="AI32" s="278">
        <v>2</v>
      </c>
      <c r="AJ32" s="278">
        <v>2</v>
      </c>
      <c r="AK32" s="278">
        <v>2</v>
      </c>
      <c r="AL32" s="278">
        <v>2</v>
      </c>
      <c r="AM32" s="278">
        <v>2</v>
      </c>
      <c r="AN32" s="278">
        <v>2</v>
      </c>
      <c r="AO32" s="278">
        <v>2</v>
      </c>
      <c r="AP32" s="278">
        <v>2</v>
      </c>
      <c r="AQ32" s="278">
        <v>2</v>
      </c>
      <c r="AR32" s="278">
        <v>2</v>
      </c>
      <c r="AS32" s="278">
        <v>2</v>
      </c>
      <c r="AT32" s="278">
        <v>2</v>
      </c>
      <c r="AU32" s="278">
        <v>2</v>
      </c>
      <c r="AV32" s="278">
        <v>2</v>
      </c>
      <c r="AW32" s="278">
        <v>2</v>
      </c>
      <c r="AX32" s="278">
        <v>2</v>
      </c>
      <c r="AY32" s="278">
        <v>2</v>
      </c>
      <c r="AZ32" s="278">
        <v>2</v>
      </c>
      <c r="BA32" s="278">
        <v>2</v>
      </c>
      <c r="BB32" s="278">
        <v>2</v>
      </c>
      <c r="BC32" s="278">
        <v>2</v>
      </c>
      <c r="BD32" s="278">
        <v>2</v>
      </c>
      <c r="BE32" s="256"/>
      <c r="BF32" s="256"/>
      <c r="BG32" s="256"/>
      <c r="BH32" s="256"/>
      <c r="BI32" s="256"/>
      <c r="BJ32" s="256"/>
      <c r="BK32" s="202"/>
      <c r="BL32" s="16"/>
      <c r="BM32" s="16"/>
      <c r="BN32" s="16"/>
      <c r="BO32" s="16"/>
      <c r="BP32" s="16"/>
      <c r="BQ32" s="16"/>
      <c r="BR32" s="16"/>
      <c r="BS32" s="16"/>
      <c r="BT32" s="16"/>
      <c r="BU32" s="16"/>
      <c r="BV32" s="16"/>
      <c r="BW32" s="16"/>
      <c r="BX32" s="16"/>
      <c r="BY32" s="16"/>
      <c r="BZ32" s="16"/>
      <c r="CA32" s="16"/>
      <c r="CB32" s="16"/>
      <c r="CC32" s="16"/>
      <c r="CD32" s="203"/>
      <c r="CF32" s="309"/>
      <c r="CG32" s="309"/>
      <c r="CH32" s="309"/>
      <c r="CI32" s="309"/>
      <c r="CJ32" s="309">
        <f>CJ30+CJ31</f>
        <v>916.7639999999999</v>
      </c>
      <c r="CK32" s="309"/>
      <c r="CL32" s="309"/>
      <c r="CM32" s="309"/>
      <c r="CN32" s="309"/>
    </row>
    <row r="33" spans="1:92" ht="15" customHeight="1" thickBot="1" x14ac:dyDescent="0.3">
      <c r="A33" s="9"/>
      <c r="B33" s="539" t="s">
        <v>296</v>
      </c>
      <c r="C33" s="540"/>
      <c r="D33" s="540"/>
      <c r="E33" s="273"/>
      <c r="F33" s="273"/>
      <c r="G33" s="273"/>
      <c r="H33" s="273"/>
      <c r="I33" s="256"/>
      <c r="J33" s="256"/>
      <c r="K33" s="256"/>
      <c r="L33" s="256"/>
      <c r="M33" s="256"/>
      <c r="N33" s="256"/>
      <c r="O33" s="278">
        <v>2</v>
      </c>
      <c r="P33" s="278">
        <v>2</v>
      </c>
      <c r="Q33" s="278">
        <v>2</v>
      </c>
      <c r="R33" s="278">
        <v>2</v>
      </c>
      <c r="S33" s="278">
        <v>2</v>
      </c>
      <c r="T33" s="278">
        <v>2</v>
      </c>
      <c r="U33" s="278">
        <v>2</v>
      </c>
      <c r="V33" s="278">
        <v>2</v>
      </c>
      <c r="W33" s="278">
        <v>2</v>
      </c>
      <c r="X33" s="278">
        <v>2</v>
      </c>
      <c r="Y33" s="278">
        <v>2</v>
      </c>
      <c r="Z33" s="278">
        <v>2</v>
      </c>
      <c r="AA33" s="278">
        <v>2</v>
      </c>
      <c r="AB33" s="278">
        <v>2</v>
      </c>
      <c r="AC33" s="278">
        <v>2</v>
      </c>
      <c r="AD33" s="278">
        <v>2</v>
      </c>
      <c r="AE33" s="278">
        <v>2</v>
      </c>
      <c r="AF33" s="278">
        <v>2</v>
      </c>
      <c r="AG33" s="278">
        <v>2</v>
      </c>
      <c r="AH33" s="278">
        <v>2</v>
      </c>
      <c r="AI33" s="278">
        <v>2</v>
      </c>
      <c r="AJ33" s="278">
        <v>2</v>
      </c>
      <c r="AK33" s="278">
        <v>2</v>
      </c>
      <c r="AL33" s="278">
        <v>2</v>
      </c>
      <c r="AM33" s="278">
        <v>2</v>
      </c>
      <c r="AN33" s="278">
        <v>2</v>
      </c>
      <c r="AO33" s="278">
        <v>2</v>
      </c>
      <c r="AP33" s="278">
        <v>2</v>
      </c>
      <c r="AQ33" s="278">
        <v>2</v>
      </c>
      <c r="AR33" s="278">
        <v>2</v>
      </c>
      <c r="AS33" s="278">
        <v>2</v>
      </c>
      <c r="AT33" s="278">
        <v>2</v>
      </c>
      <c r="AU33" s="278">
        <v>2</v>
      </c>
      <c r="AV33" s="278">
        <v>2</v>
      </c>
      <c r="AW33" s="278">
        <v>2</v>
      </c>
      <c r="AX33" s="278">
        <v>2</v>
      </c>
      <c r="AY33" s="278">
        <v>2</v>
      </c>
      <c r="AZ33" s="278">
        <v>2</v>
      </c>
      <c r="BA33" s="278">
        <v>2</v>
      </c>
      <c r="BB33" s="278">
        <v>2</v>
      </c>
      <c r="BC33" s="278">
        <v>2</v>
      </c>
      <c r="BD33" s="278">
        <v>2</v>
      </c>
      <c r="BE33" s="256"/>
      <c r="BF33" s="256"/>
      <c r="BG33" s="256"/>
      <c r="BH33" s="256"/>
      <c r="BI33" s="256"/>
      <c r="BJ33" s="256"/>
      <c r="BK33" s="202"/>
      <c r="BL33" s="16"/>
      <c r="BM33" s="16"/>
      <c r="BN33" s="16"/>
      <c r="BO33" s="16"/>
      <c r="BP33" s="16"/>
      <c r="BQ33" s="16"/>
      <c r="BR33" s="16"/>
      <c r="BS33" s="16"/>
      <c r="BT33" s="16"/>
      <c r="BU33" s="16"/>
      <c r="BV33" s="16"/>
      <c r="BW33" s="16"/>
      <c r="BX33" s="16"/>
      <c r="BY33" s="16"/>
      <c r="BZ33" s="16"/>
      <c r="CA33" s="16"/>
      <c r="CB33" s="16"/>
      <c r="CC33" s="16"/>
      <c r="CD33" s="203"/>
      <c r="CF33" s="309"/>
      <c r="CG33" s="309"/>
      <c r="CH33" s="309"/>
      <c r="CI33" s="309"/>
      <c r="CJ33" s="309">
        <f>41645.72-916.76</f>
        <v>40728.959999999999</v>
      </c>
      <c r="CK33" s="309"/>
      <c r="CL33" s="309"/>
      <c r="CM33" s="309"/>
      <c r="CN33" s="309"/>
    </row>
    <row r="34" spans="1:92" ht="15" customHeight="1" thickBot="1" x14ac:dyDescent="0.3">
      <c r="A34" s="9"/>
      <c r="B34" s="539" t="s">
        <v>390</v>
      </c>
      <c r="C34" s="540"/>
      <c r="D34" s="540"/>
      <c r="E34" s="273"/>
      <c r="F34" s="273"/>
      <c r="G34" s="273"/>
      <c r="H34" s="273"/>
      <c r="I34" s="256"/>
      <c r="J34" s="256"/>
      <c r="K34" s="256"/>
      <c r="L34" s="256"/>
      <c r="M34" s="256"/>
      <c r="N34" s="256"/>
      <c r="O34" s="278">
        <v>4</v>
      </c>
      <c r="P34" s="278">
        <v>4</v>
      </c>
      <c r="Q34" s="278">
        <v>4</v>
      </c>
      <c r="R34" s="278">
        <v>4</v>
      </c>
      <c r="S34" s="278">
        <v>4</v>
      </c>
      <c r="T34" s="278">
        <v>4</v>
      </c>
      <c r="U34" s="278">
        <v>4</v>
      </c>
      <c r="V34" s="278">
        <v>4</v>
      </c>
      <c r="W34" s="278">
        <v>4</v>
      </c>
      <c r="X34" s="278">
        <v>4</v>
      </c>
      <c r="Y34" s="278">
        <v>4</v>
      </c>
      <c r="Z34" s="278">
        <v>4</v>
      </c>
      <c r="AA34" s="278">
        <v>4</v>
      </c>
      <c r="AB34" s="278">
        <v>4</v>
      </c>
      <c r="AC34" s="278">
        <v>4</v>
      </c>
      <c r="AD34" s="278">
        <v>4</v>
      </c>
      <c r="AE34" s="278">
        <v>4</v>
      </c>
      <c r="AF34" s="278">
        <v>4</v>
      </c>
      <c r="AG34" s="278">
        <v>4</v>
      </c>
      <c r="AH34" s="278">
        <v>4</v>
      </c>
      <c r="AI34" s="278">
        <v>4</v>
      </c>
      <c r="AJ34" s="278">
        <v>4</v>
      </c>
      <c r="AK34" s="278">
        <v>4</v>
      </c>
      <c r="AL34" s="278">
        <v>4</v>
      </c>
      <c r="AM34" s="278">
        <v>4</v>
      </c>
      <c r="AN34" s="278">
        <v>4</v>
      </c>
      <c r="AO34" s="278">
        <v>4</v>
      </c>
      <c r="AP34" s="278">
        <v>4</v>
      </c>
      <c r="AQ34" s="278">
        <v>4</v>
      </c>
      <c r="AR34" s="278">
        <v>4</v>
      </c>
      <c r="AS34" s="278">
        <v>4</v>
      </c>
      <c r="AT34" s="278">
        <v>4</v>
      </c>
      <c r="AU34" s="278">
        <v>4</v>
      </c>
      <c r="AV34" s="278">
        <v>4</v>
      </c>
      <c r="AW34" s="278">
        <v>4</v>
      </c>
      <c r="AX34" s="278">
        <v>4</v>
      </c>
      <c r="AY34" s="278">
        <v>4</v>
      </c>
      <c r="AZ34" s="278">
        <v>4</v>
      </c>
      <c r="BA34" s="278">
        <v>4</v>
      </c>
      <c r="BB34" s="278">
        <v>4</v>
      </c>
      <c r="BC34" s="278">
        <v>4</v>
      </c>
      <c r="BD34" s="278">
        <v>4</v>
      </c>
      <c r="BE34" s="278">
        <v>5</v>
      </c>
      <c r="BF34" s="278">
        <v>5</v>
      </c>
      <c r="BG34" s="278">
        <v>5</v>
      </c>
      <c r="BH34" s="278">
        <v>5</v>
      </c>
      <c r="BI34" s="278">
        <v>5</v>
      </c>
      <c r="BJ34" s="256"/>
      <c r="BK34" s="202"/>
      <c r="BL34" s="16"/>
      <c r="BM34" s="16"/>
      <c r="BN34" s="16"/>
      <c r="BO34" s="16"/>
      <c r="BP34" s="16"/>
      <c r="BQ34" s="16"/>
      <c r="BR34" s="16"/>
      <c r="BS34" s="16"/>
      <c r="BT34" s="16"/>
      <c r="BU34" s="16"/>
      <c r="BV34" s="16"/>
      <c r="BW34" s="16"/>
      <c r="BX34" s="16"/>
      <c r="BY34" s="16"/>
      <c r="BZ34" s="16"/>
      <c r="CA34" s="16"/>
      <c r="CB34" s="16"/>
      <c r="CC34" s="16"/>
      <c r="CD34" s="203"/>
      <c r="CF34" s="309"/>
      <c r="CG34" s="309"/>
      <c r="CH34" s="309"/>
      <c r="CI34" s="309"/>
      <c r="CJ34" s="309"/>
      <c r="CK34" s="309"/>
      <c r="CL34" s="309"/>
      <c r="CM34" s="309"/>
      <c r="CN34" s="309"/>
    </row>
    <row r="35" spans="1:92" ht="23.25" customHeight="1" thickBot="1" x14ac:dyDescent="0.3">
      <c r="A35" s="9"/>
      <c r="B35" s="539" t="s">
        <v>223</v>
      </c>
      <c r="C35" s="540"/>
      <c r="D35" s="540"/>
      <c r="E35" s="273"/>
      <c r="F35" s="273"/>
      <c r="G35" s="273"/>
      <c r="H35" s="273"/>
      <c r="I35" s="256"/>
      <c r="J35" s="256"/>
      <c r="K35" s="256"/>
      <c r="L35" s="278">
        <v>2</v>
      </c>
      <c r="M35" s="278">
        <v>2</v>
      </c>
      <c r="N35" s="278">
        <v>2</v>
      </c>
      <c r="O35" s="278">
        <v>2</v>
      </c>
      <c r="P35" s="278">
        <v>2</v>
      </c>
      <c r="Q35" s="278">
        <v>2</v>
      </c>
      <c r="R35" s="278">
        <v>2</v>
      </c>
      <c r="S35" s="278">
        <v>2</v>
      </c>
      <c r="T35" s="278">
        <v>2</v>
      </c>
      <c r="U35" s="278">
        <v>2</v>
      </c>
      <c r="V35" s="278">
        <v>2</v>
      </c>
      <c r="W35" s="278">
        <v>2</v>
      </c>
      <c r="X35" s="278">
        <v>2</v>
      </c>
      <c r="Y35" s="278">
        <v>2</v>
      </c>
      <c r="Z35" s="278">
        <v>2</v>
      </c>
      <c r="AA35" s="278">
        <v>2</v>
      </c>
      <c r="AB35" s="278">
        <v>2</v>
      </c>
      <c r="AC35" s="278">
        <v>2</v>
      </c>
      <c r="AD35" s="278">
        <v>2</v>
      </c>
      <c r="AE35" s="278">
        <v>2</v>
      </c>
      <c r="AF35" s="278">
        <v>2</v>
      </c>
      <c r="AG35" s="278">
        <v>2</v>
      </c>
      <c r="AH35" s="278">
        <v>2</v>
      </c>
      <c r="AI35" s="278">
        <v>2</v>
      </c>
      <c r="AJ35" s="278">
        <v>2</v>
      </c>
      <c r="AK35" s="278">
        <v>2</v>
      </c>
      <c r="AL35" s="278">
        <v>2</v>
      </c>
      <c r="AM35" s="278">
        <v>2</v>
      </c>
      <c r="AN35" s="278">
        <v>2</v>
      </c>
      <c r="AO35" s="278">
        <v>2</v>
      </c>
      <c r="AP35" s="278">
        <v>2</v>
      </c>
      <c r="AQ35" s="278">
        <v>2</v>
      </c>
      <c r="AR35" s="278">
        <v>2</v>
      </c>
      <c r="AS35" s="278">
        <v>2</v>
      </c>
      <c r="AT35" s="278">
        <v>2</v>
      </c>
      <c r="AU35" s="278">
        <v>2</v>
      </c>
      <c r="AV35" s="278">
        <v>2</v>
      </c>
      <c r="AW35" s="278">
        <v>2</v>
      </c>
      <c r="AX35" s="278">
        <v>2</v>
      </c>
      <c r="AY35" s="278">
        <v>2</v>
      </c>
      <c r="AZ35" s="278">
        <v>2</v>
      </c>
      <c r="BA35" s="278">
        <v>2</v>
      </c>
      <c r="BB35" s="278">
        <v>2</v>
      </c>
      <c r="BC35" s="278">
        <v>2</v>
      </c>
      <c r="BD35" s="278">
        <v>2</v>
      </c>
      <c r="BE35" s="278">
        <v>2</v>
      </c>
      <c r="BF35" s="278">
        <v>2</v>
      </c>
      <c r="BG35" s="278">
        <v>2</v>
      </c>
      <c r="BH35" s="278">
        <v>2</v>
      </c>
      <c r="BI35" s="278">
        <v>2</v>
      </c>
      <c r="BJ35" s="256"/>
      <c r="BK35" s="202"/>
      <c r="BL35" s="16"/>
      <c r="BM35" s="16"/>
      <c r="BN35" s="16"/>
      <c r="BO35" s="16"/>
      <c r="BP35" s="16"/>
      <c r="BQ35" s="16"/>
      <c r="BR35" s="16"/>
      <c r="BS35" s="16"/>
      <c r="BT35" s="16"/>
      <c r="BU35" s="16"/>
      <c r="BV35" s="16"/>
      <c r="BW35" s="16"/>
      <c r="BX35" s="16"/>
      <c r="BY35" s="16"/>
      <c r="BZ35" s="16"/>
      <c r="CA35" s="16"/>
      <c r="CB35" s="16"/>
      <c r="CC35" s="16"/>
      <c r="CD35" s="203"/>
      <c r="CF35" s="309"/>
      <c r="CG35" s="309"/>
      <c r="CH35" s="309"/>
      <c r="CI35" s="309"/>
      <c r="CJ35" s="309"/>
      <c r="CK35" s="309"/>
      <c r="CL35" s="309"/>
      <c r="CM35" s="309"/>
      <c r="CN35" s="309"/>
    </row>
    <row r="36" spans="1:92" ht="14.45" customHeight="1" thickBot="1" x14ac:dyDescent="0.3">
      <c r="A36" s="9"/>
      <c r="B36" s="539" t="s">
        <v>84</v>
      </c>
      <c r="C36" s="540"/>
      <c r="D36" s="540"/>
      <c r="E36" s="273"/>
      <c r="F36" s="273"/>
      <c r="G36" s="273"/>
      <c r="H36" s="273"/>
      <c r="I36" s="256"/>
      <c r="J36" s="256"/>
      <c r="K36" s="256"/>
      <c r="L36" s="256"/>
      <c r="M36" s="256"/>
      <c r="N36" s="256"/>
      <c r="O36" s="256"/>
      <c r="P36" s="256"/>
      <c r="Q36" s="256"/>
      <c r="R36" s="256"/>
      <c r="S36" s="256"/>
      <c r="T36" s="256"/>
      <c r="U36" s="256"/>
      <c r="V36" s="256"/>
      <c r="W36" s="256"/>
      <c r="X36" s="256"/>
      <c r="Y36" s="256"/>
      <c r="Z36" s="256"/>
      <c r="AA36" s="256"/>
      <c r="AB36" s="256"/>
      <c r="AC36" s="278">
        <v>2</v>
      </c>
      <c r="AD36" s="278">
        <v>2</v>
      </c>
      <c r="AE36" s="278">
        <v>2</v>
      </c>
      <c r="AF36" s="278">
        <v>2</v>
      </c>
      <c r="AG36" s="278">
        <v>2</v>
      </c>
      <c r="AH36" s="278">
        <v>2</v>
      </c>
      <c r="AI36" s="278">
        <v>2</v>
      </c>
      <c r="AJ36" s="278">
        <v>2</v>
      </c>
      <c r="AK36" s="278">
        <v>2</v>
      </c>
      <c r="AL36" s="278">
        <v>2</v>
      </c>
      <c r="AM36" s="278">
        <v>2</v>
      </c>
      <c r="AN36" s="278">
        <v>2</v>
      </c>
      <c r="AO36" s="278">
        <v>2</v>
      </c>
      <c r="AP36" s="278">
        <v>2</v>
      </c>
      <c r="AQ36" s="278">
        <v>2</v>
      </c>
      <c r="AR36" s="278">
        <v>2</v>
      </c>
      <c r="AS36" s="278">
        <v>2</v>
      </c>
      <c r="AT36" s="278">
        <v>2</v>
      </c>
      <c r="AU36" s="278">
        <v>2</v>
      </c>
      <c r="AV36" s="278">
        <v>2</v>
      </c>
      <c r="AW36" s="278">
        <v>2</v>
      </c>
      <c r="AX36" s="278">
        <v>2</v>
      </c>
      <c r="AY36" s="278">
        <v>2</v>
      </c>
      <c r="AZ36" s="278">
        <v>2</v>
      </c>
      <c r="BA36" s="278">
        <v>2</v>
      </c>
      <c r="BB36" s="278">
        <v>2</v>
      </c>
      <c r="BC36" s="278">
        <v>2</v>
      </c>
      <c r="BD36" s="278">
        <v>2</v>
      </c>
      <c r="BE36" s="278">
        <v>2</v>
      </c>
      <c r="BF36" s="278">
        <v>2</v>
      </c>
      <c r="BG36" s="278">
        <v>2</v>
      </c>
      <c r="BH36" s="278">
        <v>2</v>
      </c>
      <c r="BI36" s="278">
        <v>2</v>
      </c>
      <c r="BJ36" s="256"/>
      <c r="BK36" s="202"/>
      <c r="BL36" s="16"/>
      <c r="BM36" s="16"/>
      <c r="BN36" s="16"/>
      <c r="BO36" s="16"/>
      <c r="BP36" s="16"/>
      <c r="BQ36" s="16"/>
      <c r="BR36" s="16"/>
      <c r="BS36" s="16"/>
      <c r="BT36" s="16"/>
      <c r="BU36" s="16"/>
      <c r="BV36" s="16"/>
      <c r="BW36" s="16"/>
      <c r="BX36" s="16"/>
      <c r="BY36" s="16"/>
      <c r="BZ36" s="16"/>
      <c r="CA36" s="16"/>
      <c r="CB36" s="16"/>
      <c r="CC36" s="16"/>
      <c r="CD36" s="203"/>
      <c r="CF36" s="309"/>
      <c r="CG36" s="309"/>
      <c r="CH36" s="309"/>
      <c r="CI36" s="309"/>
      <c r="CJ36" s="309"/>
      <c r="CK36" s="309"/>
      <c r="CL36" s="309"/>
      <c r="CM36" s="309"/>
      <c r="CN36" s="309"/>
    </row>
    <row r="37" spans="1:92" s="9" customFormat="1" ht="15.75" thickBot="1" x14ac:dyDescent="0.3">
      <c r="B37" s="545" t="s">
        <v>66</v>
      </c>
      <c r="C37" s="546"/>
      <c r="D37" s="547"/>
      <c r="E37" s="264"/>
      <c r="F37" s="264"/>
      <c r="G37" s="264"/>
      <c r="H37" s="264"/>
      <c r="I37" s="265"/>
      <c r="J37" s="265"/>
      <c r="K37" s="265"/>
      <c r="L37" s="265"/>
      <c r="M37" s="265"/>
      <c r="N37" s="265"/>
      <c r="O37" s="265"/>
      <c r="P37" s="265"/>
      <c r="Q37" s="265"/>
      <c r="R37" s="265"/>
      <c r="S37" s="265"/>
      <c r="T37" s="265"/>
      <c r="U37" s="265"/>
      <c r="V37" s="265"/>
      <c r="W37" s="265"/>
      <c r="X37" s="265"/>
      <c r="Y37" s="265"/>
      <c r="Z37" s="265"/>
      <c r="AA37" s="265"/>
      <c r="AB37" s="265"/>
      <c r="AC37" s="265"/>
      <c r="AD37" s="277">
        <v>5</v>
      </c>
      <c r="AE37" s="277">
        <v>5</v>
      </c>
      <c r="AF37" s="277">
        <v>5</v>
      </c>
      <c r="AG37" s="277">
        <v>5</v>
      </c>
      <c r="AH37" s="277">
        <v>5</v>
      </c>
      <c r="AI37" s="277">
        <v>5</v>
      </c>
      <c r="AJ37" s="277">
        <v>5</v>
      </c>
      <c r="AK37" s="277">
        <v>5</v>
      </c>
      <c r="AL37" s="277">
        <v>5</v>
      </c>
      <c r="AM37" s="277">
        <v>5</v>
      </c>
      <c r="AN37" s="277">
        <v>5</v>
      </c>
      <c r="AO37" s="277">
        <v>5</v>
      </c>
      <c r="AP37" s="277">
        <v>5</v>
      </c>
      <c r="AQ37" s="277">
        <v>5</v>
      </c>
      <c r="AR37" s="277">
        <v>5</v>
      </c>
      <c r="AS37" s="277">
        <v>5</v>
      </c>
      <c r="AT37" s="277">
        <v>5</v>
      </c>
      <c r="AU37" s="277">
        <v>5</v>
      </c>
      <c r="AV37" s="277">
        <v>5</v>
      </c>
      <c r="AW37" s="277">
        <v>5</v>
      </c>
      <c r="AX37" s="277">
        <v>5</v>
      </c>
      <c r="AY37" s="277">
        <v>5</v>
      </c>
      <c r="AZ37" s="277">
        <v>5</v>
      </c>
      <c r="BA37" s="277">
        <v>5</v>
      </c>
      <c r="BB37" s="277">
        <v>5</v>
      </c>
      <c r="BC37" s="277">
        <v>5</v>
      </c>
      <c r="BD37" s="277">
        <v>5</v>
      </c>
      <c r="BE37" s="277">
        <v>5</v>
      </c>
      <c r="BF37" s="277">
        <v>5</v>
      </c>
      <c r="BG37" s="277">
        <v>5</v>
      </c>
      <c r="BH37" s="277">
        <v>5</v>
      </c>
      <c r="BI37" s="277">
        <v>5</v>
      </c>
      <c r="BJ37" s="265"/>
      <c r="BK37" s="202"/>
      <c r="BL37" s="16"/>
      <c r="BM37" s="16"/>
      <c r="BN37" s="16"/>
      <c r="BO37" s="16"/>
      <c r="BP37" s="16"/>
      <c r="BQ37" s="16"/>
      <c r="BR37" s="16"/>
      <c r="BS37" s="16"/>
      <c r="BT37" s="16"/>
      <c r="BU37" s="16"/>
      <c r="BV37" s="16"/>
      <c r="BW37" s="16"/>
      <c r="BX37" s="16"/>
      <c r="BY37" s="16"/>
      <c r="BZ37" s="16"/>
      <c r="CA37" s="16"/>
      <c r="CB37" s="16"/>
      <c r="CC37" s="16"/>
      <c r="CD37" s="203"/>
      <c r="CF37" s="309"/>
      <c r="CG37" s="309"/>
      <c r="CH37" s="309"/>
      <c r="CI37" s="309"/>
      <c r="CJ37" s="309"/>
      <c r="CK37" s="309"/>
      <c r="CL37" s="309"/>
      <c r="CM37" s="309"/>
      <c r="CN37" s="309"/>
    </row>
    <row r="38" spans="1:92" ht="15" customHeight="1" thickBot="1" x14ac:dyDescent="0.3">
      <c r="A38" s="9"/>
      <c r="B38" s="539" t="s">
        <v>391</v>
      </c>
      <c r="C38" s="540"/>
      <c r="D38" s="541"/>
      <c r="E38" s="264"/>
      <c r="F38" s="264"/>
      <c r="G38" s="264"/>
      <c r="H38" s="264"/>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65"/>
      <c r="AL38" s="265"/>
      <c r="AM38" s="265"/>
      <c r="AN38" s="265"/>
      <c r="AO38" s="265"/>
      <c r="AP38" s="265"/>
      <c r="AQ38" s="265"/>
      <c r="AR38" s="265"/>
      <c r="AS38" s="265"/>
      <c r="AT38" s="265"/>
      <c r="AU38" s="265"/>
      <c r="AV38" s="265"/>
      <c r="AW38" s="265"/>
      <c r="AX38" s="265"/>
      <c r="AY38" s="265"/>
      <c r="AZ38" s="265"/>
      <c r="BA38" s="265"/>
      <c r="BB38" s="265"/>
      <c r="BC38" s="265"/>
      <c r="BD38" s="265"/>
      <c r="BE38" s="265"/>
      <c r="BF38" s="265"/>
      <c r="BG38" s="265"/>
      <c r="BH38" s="277">
        <v>3</v>
      </c>
      <c r="BI38" s="277">
        <v>3</v>
      </c>
      <c r="BJ38" s="277">
        <v>3</v>
      </c>
      <c r="BK38" s="202"/>
      <c r="BL38" s="16"/>
      <c r="BM38" s="16"/>
      <c r="BN38" s="16"/>
      <c r="BO38" s="16"/>
      <c r="BP38" s="16"/>
      <c r="BQ38" s="16"/>
      <c r="BR38" s="16"/>
      <c r="BS38" s="16"/>
      <c r="BT38" s="16"/>
      <c r="BU38" s="16"/>
      <c r="BV38" s="16"/>
      <c r="BW38" s="16"/>
      <c r="BX38" s="16"/>
      <c r="BY38" s="16"/>
      <c r="BZ38" s="16"/>
      <c r="CA38" s="16"/>
      <c r="CB38" s="16"/>
      <c r="CC38" s="16"/>
      <c r="CD38" s="203"/>
      <c r="CF38" s="309"/>
      <c r="CG38" s="309"/>
      <c r="CH38" s="309"/>
      <c r="CI38" s="309"/>
      <c r="CJ38" s="309"/>
      <c r="CK38" s="309"/>
      <c r="CL38" s="309"/>
      <c r="CM38" s="309"/>
      <c r="CN38" s="309"/>
    </row>
    <row r="39" spans="1:92" ht="15" customHeight="1" x14ac:dyDescent="0.25">
      <c r="A39" s="9"/>
      <c r="B39" s="542" t="s">
        <v>297</v>
      </c>
      <c r="C39" s="543"/>
      <c r="D39" s="544"/>
      <c r="E39" s="264"/>
      <c r="F39" s="264"/>
      <c r="G39" s="264"/>
      <c r="H39" s="264"/>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65"/>
      <c r="AL39" s="265"/>
      <c r="AM39" s="265"/>
      <c r="AN39" s="265"/>
      <c r="AO39" s="265"/>
      <c r="AP39" s="265"/>
      <c r="AQ39" s="265"/>
      <c r="AR39" s="265"/>
      <c r="AS39" s="265"/>
      <c r="AT39" s="265"/>
      <c r="AU39" s="265"/>
      <c r="AV39" s="265"/>
      <c r="AW39" s="265"/>
      <c r="AX39" s="265"/>
      <c r="AY39" s="265"/>
      <c r="AZ39" s="265"/>
      <c r="BA39" s="265"/>
      <c r="BB39" s="265"/>
      <c r="BC39" s="265"/>
      <c r="BD39" s="265"/>
      <c r="BE39" s="265"/>
      <c r="BF39" s="265"/>
      <c r="BG39" s="265"/>
      <c r="BH39" s="265"/>
      <c r="BI39" s="265"/>
      <c r="BJ39" s="277">
        <v>10</v>
      </c>
      <c r="BK39" s="202"/>
      <c r="BL39" s="16"/>
      <c r="BM39" s="16"/>
      <c r="BN39" s="16"/>
      <c r="BO39" s="16"/>
      <c r="BP39" s="16"/>
      <c r="BQ39" s="16"/>
      <c r="BR39" s="16"/>
      <c r="BS39" s="16"/>
      <c r="BT39" s="16"/>
      <c r="BU39" s="16"/>
      <c r="BV39" s="16"/>
      <c r="BW39" s="16"/>
      <c r="BX39" s="16"/>
      <c r="BY39" s="16"/>
      <c r="BZ39" s="16"/>
      <c r="CA39" s="16"/>
      <c r="CB39" s="16"/>
      <c r="CC39" s="16"/>
      <c r="CD39" s="203"/>
      <c r="CF39" s="309"/>
      <c r="CG39" s="309"/>
      <c r="CH39" s="309"/>
      <c r="CI39" s="309"/>
      <c r="CJ39" s="309"/>
      <c r="CK39" s="309"/>
      <c r="CL39" s="309"/>
      <c r="CM39" s="309"/>
      <c r="CN39" s="309"/>
    </row>
    <row r="40" spans="1:92" ht="15.75" thickBot="1" x14ac:dyDescent="0.3">
      <c r="A40" s="9"/>
      <c r="B40" s="552" t="s">
        <v>38</v>
      </c>
      <c r="C40" s="552"/>
      <c r="D40" s="552"/>
      <c r="E40" s="552"/>
      <c r="F40" s="552"/>
      <c r="G40" s="552"/>
      <c r="H40" s="552"/>
      <c r="I40" s="552"/>
      <c r="J40" s="552"/>
      <c r="K40" s="552"/>
      <c r="L40" s="552"/>
      <c r="M40" s="552"/>
      <c r="N40" s="552"/>
      <c r="O40" s="552"/>
      <c r="P40" s="552"/>
      <c r="Q40" s="552"/>
      <c r="R40" s="552"/>
      <c r="S40" s="552"/>
      <c r="T40" s="552"/>
      <c r="U40" s="552"/>
      <c r="V40" s="552"/>
      <c r="W40" s="552"/>
      <c r="X40" s="552"/>
      <c r="Y40" s="552"/>
      <c r="Z40" s="552"/>
      <c r="AA40" s="552"/>
      <c r="AB40" s="552"/>
      <c r="AC40" s="552"/>
      <c r="AD40" s="552"/>
      <c r="AE40" s="552"/>
      <c r="AF40" s="552"/>
      <c r="AG40" s="552"/>
      <c r="AH40" s="552"/>
      <c r="AI40" s="552"/>
      <c r="AJ40" s="552"/>
      <c r="AK40" s="552"/>
      <c r="AL40" s="552"/>
      <c r="AM40" s="552"/>
      <c r="AN40" s="552"/>
      <c r="AO40" s="552"/>
      <c r="AP40" s="552"/>
      <c r="AQ40" s="552"/>
      <c r="AR40" s="552"/>
      <c r="AS40" s="552"/>
      <c r="AT40" s="552"/>
      <c r="AU40" s="552"/>
      <c r="AV40" s="552"/>
      <c r="AW40" s="552"/>
      <c r="AX40" s="552"/>
      <c r="AY40" s="552"/>
      <c r="AZ40" s="552"/>
      <c r="BA40" s="552"/>
      <c r="BB40" s="552"/>
      <c r="BC40" s="552"/>
      <c r="BD40" s="552"/>
      <c r="BE40" s="552"/>
      <c r="BF40" s="552"/>
      <c r="BG40" s="552"/>
      <c r="BH40" s="552"/>
      <c r="BI40" s="552"/>
      <c r="BJ40" s="553"/>
      <c r="BK40" s="202"/>
      <c r="BL40" s="16"/>
      <c r="BM40" s="16"/>
      <c r="BN40" s="16"/>
      <c r="BO40" s="16"/>
      <c r="BP40" s="16"/>
      <c r="BQ40" s="16"/>
      <c r="BR40" s="16"/>
      <c r="BS40" s="16"/>
      <c r="BT40" s="16"/>
      <c r="BU40" s="16"/>
      <c r="BV40" s="16"/>
      <c r="BW40" s="16"/>
      <c r="BX40" s="16"/>
      <c r="BY40" s="16"/>
      <c r="BZ40" s="16"/>
      <c r="CA40" s="16"/>
      <c r="CB40" s="16"/>
      <c r="CC40" s="16"/>
      <c r="CD40" s="203"/>
      <c r="CF40" s="309"/>
      <c r="CG40" s="309"/>
      <c r="CH40" s="309"/>
      <c r="CI40" s="309"/>
      <c r="CJ40" s="309"/>
      <c r="CK40" s="309"/>
      <c r="CL40" s="309"/>
      <c r="CM40" s="309"/>
      <c r="CN40" s="309"/>
    </row>
    <row r="41" spans="1:92" ht="15.75" thickBot="1" x14ac:dyDescent="0.3">
      <c r="A41" s="9"/>
      <c r="B41" s="529" t="s">
        <v>102</v>
      </c>
      <c r="C41" s="530"/>
      <c r="D41" s="531"/>
      <c r="E41" s="255"/>
      <c r="F41" s="255"/>
      <c r="G41" s="255"/>
      <c r="H41" s="255"/>
      <c r="I41" s="275">
        <v>6</v>
      </c>
      <c r="J41" s="275">
        <v>6</v>
      </c>
      <c r="K41" s="275">
        <v>6</v>
      </c>
      <c r="L41" s="275">
        <v>6</v>
      </c>
      <c r="M41" s="275">
        <v>6</v>
      </c>
      <c r="N41" s="275">
        <v>6</v>
      </c>
      <c r="O41" s="275">
        <v>6</v>
      </c>
      <c r="P41" s="275">
        <v>6</v>
      </c>
      <c r="Q41" s="275">
        <v>6</v>
      </c>
      <c r="R41" s="275">
        <v>6</v>
      </c>
      <c r="S41" s="275">
        <v>6</v>
      </c>
      <c r="T41" s="275">
        <v>6</v>
      </c>
      <c r="U41" s="275">
        <v>6</v>
      </c>
      <c r="V41" s="275">
        <v>6</v>
      </c>
      <c r="W41" s="275">
        <v>6</v>
      </c>
      <c r="X41" s="275">
        <v>6</v>
      </c>
      <c r="Y41" s="275">
        <v>6</v>
      </c>
      <c r="Z41" s="275">
        <v>6</v>
      </c>
      <c r="AA41" s="275">
        <v>6</v>
      </c>
      <c r="AB41" s="275">
        <v>6</v>
      </c>
      <c r="AC41" s="275">
        <v>6</v>
      </c>
      <c r="AD41" s="275">
        <v>6</v>
      </c>
      <c r="AE41" s="275">
        <v>6</v>
      </c>
      <c r="AF41" s="275">
        <v>6</v>
      </c>
      <c r="AG41" s="275">
        <v>6</v>
      </c>
      <c r="AH41" s="275">
        <v>6</v>
      </c>
      <c r="AI41" s="275">
        <v>6</v>
      </c>
      <c r="AJ41" s="275">
        <v>6</v>
      </c>
      <c r="AK41" s="275">
        <v>6</v>
      </c>
      <c r="AL41" s="275">
        <v>6</v>
      </c>
      <c r="AM41" s="275">
        <v>6</v>
      </c>
      <c r="AN41" s="275">
        <v>6</v>
      </c>
      <c r="AO41" s="275">
        <v>6</v>
      </c>
      <c r="AP41" s="275">
        <v>6</v>
      </c>
      <c r="AQ41" s="275">
        <v>6</v>
      </c>
      <c r="AR41" s="275">
        <v>6</v>
      </c>
      <c r="AS41" s="275">
        <v>6</v>
      </c>
      <c r="AT41" s="275">
        <v>6</v>
      </c>
      <c r="AU41" s="275">
        <v>6</v>
      </c>
      <c r="AV41" s="275">
        <v>6</v>
      </c>
      <c r="AW41" s="275">
        <v>6</v>
      </c>
      <c r="AX41" s="275">
        <v>6</v>
      </c>
      <c r="AY41" s="275">
        <v>6</v>
      </c>
      <c r="AZ41" s="275">
        <v>6</v>
      </c>
      <c r="BA41" s="275">
        <v>6</v>
      </c>
      <c r="BB41" s="275">
        <v>6</v>
      </c>
      <c r="BC41" s="275">
        <v>6</v>
      </c>
      <c r="BD41" s="275">
        <v>6</v>
      </c>
      <c r="BE41" s="275">
        <v>6</v>
      </c>
      <c r="BF41" s="275">
        <v>6</v>
      </c>
      <c r="BG41" s="275">
        <v>6</v>
      </c>
      <c r="BH41" s="275">
        <v>6</v>
      </c>
      <c r="BI41" s="275">
        <v>6</v>
      </c>
      <c r="BJ41" s="255"/>
      <c r="BK41" s="204"/>
      <c r="BL41" s="205"/>
      <c r="BM41" s="205"/>
      <c r="BN41" s="205"/>
      <c r="BO41" s="205"/>
      <c r="BP41" s="205"/>
      <c r="BQ41" s="205"/>
      <c r="BR41" s="205"/>
      <c r="BS41" s="205"/>
      <c r="BT41" s="205"/>
      <c r="BU41" s="205"/>
      <c r="BV41" s="205"/>
      <c r="BW41" s="205"/>
      <c r="BX41" s="205"/>
      <c r="BY41" s="205"/>
      <c r="BZ41" s="205"/>
      <c r="CA41" s="205"/>
      <c r="CB41" s="205"/>
      <c r="CC41" s="205"/>
      <c r="CD41" s="206"/>
    </row>
    <row r="42" spans="1:92" ht="15.75" thickBot="1" x14ac:dyDescent="0.3">
      <c r="A42" s="9"/>
      <c r="B42" s="532" t="s">
        <v>348</v>
      </c>
      <c r="C42" s="533"/>
      <c r="D42" s="533"/>
      <c r="E42" s="533"/>
      <c r="F42" s="533"/>
      <c r="G42" s="533"/>
      <c r="H42" s="533"/>
      <c r="I42" s="533"/>
      <c r="J42" s="533"/>
      <c r="K42" s="533"/>
      <c r="L42" s="533"/>
      <c r="M42" s="533"/>
      <c r="N42" s="533"/>
      <c r="O42" s="533"/>
      <c r="P42" s="533"/>
      <c r="Q42" s="533"/>
      <c r="R42" s="533"/>
      <c r="S42" s="533"/>
      <c r="T42" s="533"/>
      <c r="U42" s="533"/>
      <c r="V42" s="533"/>
      <c r="W42" s="533"/>
      <c r="X42" s="533"/>
      <c r="Y42" s="533"/>
      <c r="Z42" s="533"/>
      <c r="AA42" s="533"/>
      <c r="AB42" s="533"/>
      <c r="AC42" s="533"/>
      <c r="AD42" s="533"/>
      <c r="AE42" s="533"/>
      <c r="AF42" s="533"/>
      <c r="AG42" s="533"/>
      <c r="AH42" s="533"/>
      <c r="AI42" s="533"/>
      <c r="AJ42" s="533"/>
      <c r="AK42" s="533"/>
      <c r="AL42" s="533"/>
      <c r="AM42" s="533"/>
      <c r="AN42" s="533"/>
      <c r="AO42" s="533"/>
      <c r="AP42" s="533"/>
      <c r="AQ42" s="533"/>
      <c r="AR42" s="533"/>
      <c r="AS42" s="533"/>
      <c r="AT42" s="533"/>
      <c r="AU42" s="533"/>
      <c r="AV42" s="533"/>
      <c r="AW42" s="533"/>
      <c r="AX42" s="533"/>
      <c r="AY42" s="533"/>
      <c r="AZ42" s="533"/>
      <c r="BA42" s="533"/>
      <c r="BB42" s="533"/>
      <c r="BC42" s="533"/>
      <c r="BD42" s="533"/>
      <c r="BE42" s="533"/>
      <c r="BF42" s="533"/>
      <c r="BG42" s="533"/>
      <c r="BH42" s="533"/>
      <c r="BI42" s="533"/>
      <c r="BJ42" s="533"/>
      <c r="BK42" s="223"/>
      <c r="BL42" s="224"/>
      <c r="BM42" s="224"/>
      <c r="BN42" s="224"/>
      <c r="BO42" s="224"/>
      <c r="BP42" s="224"/>
      <c r="BQ42" s="224"/>
      <c r="BR42" s="224"/>
      <c r="BS42" s="224"/>
      <c r="BT42" s="224"/>
      <c r="BU42" s="224"/>
      <c r="BV42" s="224"/>
      <c r="BW42" s="224"/>
      <c r="BX42" s="224"/>
      <c r="BY42" s="224"/>
      <c r="BZ42" s="224"/>
      <c r="CA42" s="224"/>
      <c r="CB42" s="224"/>
      <c r="CC42" s="224"/>
      <c r="CD42" s="225"/>
    </row>
    <row r="43" spans="1:92" ht="16.5" x14ac:dyDescent="0.3">
      <c r="A43" s="9"/>
      <c r="B43" s="534" t="s">
        <v>324</v>
      </c>
      <c r="C43" s="535"/>
      <c r="D43" s="535"/>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c r="AL43" s="207"/>
      <c r="AM43" s="207"/>
      <c r="AN43" s="207"/>
      <c r="AO43" s="207"/>
      <c r="AP43" s="207"/>
      <c r="AQ43" s="207"/>
      <c r="AR43" s="207"/>
      <c r="AS43" s="207"/>
      <c r="AT43" s="207"/>
      <c r="AU43" s="207"/>
      <c r="AV43" s="207"/>
      <c r="AW43" s="207"/>
      <c r="AX43" s="207"/>
      <c r="AY43" s="207"/>
      <c r="AZ43" s="207"/>
      <c r="BA43" s="207"/>
      <c r="BB43" s="207"/>
      <c r="BC43" s="207"/>
      <c r="BD43" s="207"/>
      <c r="BE43" s="207"/>
      <c r="BF43" s="207"/>
      <c r="BG43" s="207"/>
      <c r="BH43" s="207"/>
      <c r="BI43" s="207"/>
      <c r="BJ43" s="207"/>
      <c r="BK43" s="208"/>
      <c r="BL43" s="207"/>
      <c r="BM43" s="207"/>
      <c r="BN43" s="208"/>
      <c r="BO43" s="208"/>
      <c r="BP43" s="207"/>
      <c r="BQ43" s="207"/>
      <c r="BR43" s="208"/>
      <c r="BS43" s="207"/>
      <c r="BT43" s="207"/>
      <c r="BU43" s="208"/>
      <c r="BV43" s="207"/>
      <c r="BW43" s="207"/>
      <c r="BX43" s="207"/>
      <c r="BY43" s="208"/>
      <c r="BZ43" s="207"/>
      <c r="CA43" s="207"/>
      <c r="CB43" s="207"/>
      <c r="CC43" s="208"/>
      <c r="CD43" s="209"/>
    </row>
    <row r="44" spans="1:92" ht="16.5" x14ac:dyDescent="0.3">
      <c r="A44" s="9"/>
      <c r="B44" s="536" t="s">
        <v>325</v>
      </c>
      <c r="C44" s="537"/>
      <c r="D44" s="537"/>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210"/>
      <c r="BL44" s="16"/>
      <c r="BM44" s="16"/>
      <c r="BN44" s="210"/>
      <c r="BO44" s="210"/>
      <c r="BP44" s="16"/>
      <c r="BQ44" s="16"/>
      <c r="BR44" s="210"/>
      <c r="BS44" s="16"/>
      <c r="BT44" s="16"/>
      <c r="BU44" s="210"/>
      <c r="BV44" s="16"/>
      <c r="BW44" s="16"/>
      <c r="BX44" s="16"/>
      <c r="BY44" s="210"/>
      <c r="BZ44" s="16"/>
      <c r="CA44" s="16"/>
      <c r="CB44" s="16"/>
      <c r="CC44" s="210"/>
      <c r="CD44" s="203"/>
    </row>
    <row r="45" spans="1:92" ht="16.5" x14ac:dyDescent="0.3">
      <c r="A45" s="9"/>
      <c r="B45" s="536" t="s">
        <v>326</v>
      </c>
      <c r="C45" s="537"/>
      <c r="D45" s="537"/>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210"/>
      <c r="BL45" s="16"/>
      <c r="BM45" s="16"/>
      <c r="BN45" s="210"/>
      <c r="BO45" s="210"/>
      <c r="BP45" s="16"/>
      <c r="BQ45" s="16"/>
      <c r="BR45" s="210"/>
      <c r="BS45" s="16"/>
      <c r="BT45" s="16"/>
      <c r="BU45" s="210"/>
      <c r="BV45" s="16"/>
      <c r="BW45" s="16"/>
      <c r="BX45" s="16"/>
      <c r="BY45" s="210"/>
      <c r="BZ45" s="16"/>
      <c r="CA45" s="16"/>
      <c r="CB45" s="16"/>
      <c r="CC45" s="210"/>
      <c r="CD45" s="203"/>
    </row>
    <row r="46" spans="1:92" ht="16.5" x14ac:dyDescent="0.3">
      <c r="A46" s="9"/>
      <c r="B46" s="536" t="s">
        <v>198</v>
      </c>
      <c r="C46" s="537"/>
      <c r="D46" s="537"/>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210"/>
      <c r="BL46" s="16"/>
      <c r="BM46" s="16"/>
      <c r="BN46" s="210"/>
      <c r="BO46" s="210"/>
      <c r="BP46" s="16"/>
      <c r="BQ46" s="16"/>
      <c r="BR46" s="210"/>
      <c r="BS46" s="16"/>
      <c r="BT46" s="16"/>
      <c r="BU46" s="210"/>
      <c r="BV46" s="16"/>
      <c r="BW46" s="16"/>
      <c r="BX46" s="16"/>
      <c r="BY46" s="210"/>
      <c r="BZ46" s="16"/>
      <c r="CA46" s="16"/>
      <c r="CB46" s="16"/>
      <c r="CC46" s="210"/>
      <c r="CD46" s="203"/>
    </row>
    <row r="47" spans="1:92" ht="17.25" thickBot="1" x14ac:dyDescent="0.35">
      <c r="A47" s="9"/>
      <c r="B47" s="548" t="s">
        <v>349</v>
      </c>
      <c r="C47" s="549"/>
      <c r="D47" s="549"/>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5"/>
      <c r="BE47" s="205"/>
      <c r="BF47" s="205"/>
      <c r="BG47" s="205"/>
      <c r="BH47" s="205"/>
      <c r="BI47" s="205"/>
      <c r="BJ47" s="205"/>
      <c r="BK47" s="211"/>
      <c r="BL47" s="205"/>
      <c r="BM47" s="205"/>
      <c r="BN47" s="211"/>
      <c r="BO47" s="211"/>
      <c r="BP47" s="205"/>
      <c r="BQ47" s="205"/>
      <c r="BR47" s="211"/>
      <c r="BS47" s="205"/>
      <c r="BT47" s="205"/>
      <c r="BU47" s="211"/>
      <c r="BV47" s="205"/>
      <c r="BW47" s="205"/>
      <c r="BX47" s="205"/>
      <c r="BY47" s="211"/>
      <c r="BZ47" s="205"/>
      <c r="CA47" s="205"/>
      <c r="CB47" s="205"/>
      <c r="CC47" s="211"/>
      <c r="CD47" s="206"/>
    </row>
    <row r="48" spans="1:92" ht="16.5" x14ac:dyDescent="0.3">
      <c r="A48" s="9"/>
      <c r="B48" s="550" t="s">
        <v>350</v>
      </c>
      <c r="C48" s="550"/>
      <c r="D48" s="550"/>
      <c r="E48" s="550"/>
      <c r="F48" s="550"/>
      <c r="G48" s="550"/>
      <c r="H48" s="550"/>
      <c r="I48" s="550"/>
      <c r="J48" s="550"/>
      <c r="K48" s="550"/>
      <c r="L48" s="550"/>
      <c r="M48" s="550"/>
      <c r="N48" s="550"/>
      <c r="O48" s="550"/>
      <c r="P48" s="550"/>
      <c r="Q48" s="550"/>
      <c r="R48" s="550"/>
      <c r="S48" s="550"/>
      <c r="T48" s="550"/>
      <c r="U48" s="550"/>
      <c r="V48" s="550"/>
      <c r="W48" s="550"/>
      <c r="X48" s="550"/>
      <c r="Y48" s="550"/>
      <c r="Z48" s="550"/>
      <c r="AA48" s="550"/>
      <c r="AB48" s="550"/>
      <c r="AC48" s="550"/>
      <c r="AD48" s="550"/>
      <c r="AE48" s="550"/>
      <c r="AF48" s="550"/>
      <c r="AG48" s="550"/>
      <c r="AH48" s="550"/>
      <c r="AI48" s="550"/>
      <c r="AJ48" s="550"/>
      <c r="AK48" s="550"/>
      <c r="AL48" s="550"/>
      <c r="AM48" s="550"/>
      <c r="AN48" s="550"/>
      <c r="AO48" s="550"/>
      <c r="AP48" s="550"/>
      <c r="AQ48" s="550"/>
      <c r="AR48" s="550"/>
      <c r="AS48" s="550"/>
      <c r="AT48" s="550"/>
      <c r="AU48" s="550"/>
      <c r="AV48" s="550"/>
      <c r="AW48" s="550"/>
      <c r="AX48" s="550"/>
      <c r="AY48" s="550"/>
      <c r="AZ48" s="550"/>
      <c r="BA48" s="550"/>
      <c r="BB48" s="550"/>
      <c r="BC48" s="550"/>
      <c r="BD48" s="550"/>
      <c r="BE48" s="550"/>
      <c r="BF48" s="550"/>
      <c r="BG48" s="550"/>
      <c r="BH48" s="550"/>
      <c r="BI48" s="550"/>
      <c r="BJ48" s="550"/>
      <c r="BK48" s="550"/>
      <c r="BL48" s="550"/>
      <c r="BM48" s="550"/>
      <c r="BN48" s="550"/>
      <c r="BO48" s="550"/>
      <c r="BP48" s="550"/>
      <c r="BQ48" s="550"/>
      <c r="BR48" s="550"/>
      <c r="BS48" s="550"/>
      <c r="BT48" s="550"/>
      <c r="BU48" s="550"/>
      <c r="BV48" s="550"/>
      <c r="BW48" s="550"/>
      <c r="BX48" s="550"/>
      <c r="BY48" s="550"/>
      <c r="BZ48" s="550"/>
      <c r="CA48" s="550"/>
      <c r="CB48" s="550"/>
      <c r="CC48" s="550"/>
      <c r="CD48" s="550"/>
    </row>
    <row r="49" spans="1:82"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BJ49" s="9"/>
      <c r="BK49" s="9"/>
      <c r="BL49" s="9"/>
      <c r="BM49" s="9"/>
      <c r="BN49" s="9"/>
      <c r="BO49" s="9"/>
      <c r="BP49" s="9"/>
      <c r="BQ49" s="9"/>
      <c r="BR49" s="9"/>
      <c r="BS49" s="9"/>
      <c r="BT49" s="9"/>
      <c r="BU49" s="9"/>
      <c r="BV49" s="9"/>
      <c r="BW49" s="9"/>
      <c r="BX49" s="9"/>
      <c r="BY49" s="9"/>
      <c r="BZ49" s="9"/>
      <c r="CA49" s="9"/>
      <c r="CB49" s="9"/>
      <c r="CC49" s="9"/>
      <c r="CD49" s="9"/>
    </row>
    <row r="50" spans="1:82" ht="19.5" x14ac:dyDescent="0.25">
      <c r="A50" s="9"/>
      <c r="B50" s="551" t="s">
        <v>351</v>
      </c>
      <c r="C50" s="551"/>
      <c r="D50" s="551"/>
      <c r="E50" s="551"/>
      <c r="F50" s="551"/>
      <c r="G50" s="551"/>
      <c r="H50" s="551"/>
      <c r="I50" s="551"/>
      <c r="J50" s="551"/>
      <c r="K50" s="551"/>
      <c r="L50" s="551"/>
      <c r="M50" s="551"/>
      <c r="N50" s="551"/>
      <c r="O50" s="551"/>
      <c r="P50" s="551"/>
      <c r="Q50" s="551"/>
      <c r="R50" s="551"/>
      <c r="S50" s="551"/>
      <c r="T50" s="551"/>
      <c r="U50" s="551"/>
      <c r="V50" s="551"/>
      <c r="W50" s="9"/>
      <c r="X50" s="9"/>
      <c r="Y50" s="9"/>
      <c r="Z50" s="9"/>
      <c r="AA50" s="9"/>
      <c r="AB50" s="9"/>
      <c r="AC50" s="9"/>
      <c r="AD50" s="9"/>
      <c r="AE50" s="9"/>
      <c r="AF50" s="9"/>
      <c r="AG50" s="9"/>
      <c r="AH50" s="9"/>
      <c r="AI50" s="9"/>
      <c r="AJ50" s="9"/>
      <c r="AK50" s="9"/>
      <c r="AL50" s="9"/>
      <c r="AM50" s="9"/>
      <c r="AN50" s="9"/>
      <c r="AO50" s="9"/>
      <c r="AP50" s="9"/>
      <c r="AQ50" s="9"/>
      <c r="AR50" s="9"/>
      <c r="AS50" s="9"/>
      <c r="AT50" s="9"/>
      <c r="AU50" s="9"/>
      <c r="BJ50" s="9"/>
      <c r="BK50" s="9"/>
      <c r="BL50" s="9"/>
      <c r="BM50" s="9"/>
      <c r="BN50" s="9"/>
      <c r="BO50" s="9"/>
      <c r="BP50" s="9"/>
      <c r="BQ50" s="9"/>
      <c r="BR50" s="9"/>
      <c r="BS50" s="9"/>
      <c r="BT50" s="9"/>
      <c r="BU50" s="9"/>
      <c r="BV50" s="9"/>
      <c r="BW50" s="9"/>
      <c r="BX50" s="9"/>
      <c r="BY50" s="9"/>
      <c r="BZ50" s="9"/>
      <c r="CA50" s="9"/>
      <c r="CB50" s="9"/>
      <c r="CC50" s="9"/>
      <c r="CD50" s="9"/>
    </row>
    <row r="51" spans="1:82" ht="15.75" x14ac:dyDescent="0.25">
      <c r="A51" s="9"/>
      <c r="B51" s="212">
        <v>1</v>
      </c>
      <c r="C51" s="528" t="s">
        <v>352</v>
      </c>
      <c r="D51" s="528"/>
      <c r="E51" s="528"/>
      <c r="F51" s="528"/>
      <c r="G51" s="528"/>
      <c r="H51" s="528"/>
      <c r="I51" s="528"/>
      <c r="J51" s="528"/>
      <c r="K51" s="528"/>
      <c r="L51" s="528"/>
      <c r="M51" s="528"/>
      <c r="N51" s="528"/>
      <c r="O51" s="528"/>
      <c r="P51" s="528"/>
      <c r="Q51" s="528"/>
      <c r="R51" s="528"/>
      <c r="S51" s="528"/>
      <c r="T51" s="528"/>
      <c r="U51" s="528"/>
      <c r="V51" s="528"/>
      <c r="W51" s="9"/>
      <c r="X51" s="9"/>
      <c r="Y51" s="9"/>
      <c r="Z51" s="9"/>
      <c r="AA51" s="9"/>
      <c r="AB51" s="9"/>
      <c r="AC51" s="9"/>
      <c r="AD51" s="9"/>
      <c r="AE51" s="9"/>
      <c r="AF51" s="9"/>
      <c r="AG51" s="9"/>
      <c r="AH51" s="9"/>
      <c r="AI51" s="9"/>
      <c r="AJ51" s="9"/>
      <c r="AK51" s="9"/>
      <c r="AL51" s="9"/>
      <c r="AM51" s="9"/>
      <c r="AN51" s="9"/>
      <c r="AO51" s="9"/>
      <c r="AP51" s="9"/>
      <c r="AQ51" s="9"/>
      <c r="AR51" s="9"/>
      <c r="AS51" s="9"/>
      <c r="AT51" s="9"/>
      <c r="AU51" s="9"/>
      <c r="BJ51" s="9"/>
      <c r="BK51" s="9"/>
      <c r="BL51" s="9"/>
      <c r="BM51" s="9"/>
      <c r="BN51" s="9"/>
      <c r="BO51" s="9"/>
      <c r="BP51" s="9"/>
      <c r="BQ51" s="9"/>
      <c r="BR51" s="9"/>
      <c r="BS51" s="9"/>
      <c r="BT51" s="9"/>
      <c r="BU51" s="9"/>
      <c r="BV51" s="9"/>
      <c r="BW51" s="9"/>
      <c r="BX51" s="9"/>
      <c r="BY51" s="9"/>
      <c r="BZ51" s="9"/>
      <c r="CA51" s="9"/>
      <c r="CB51" s="9"/>
      <c r="CC51" s="9"/>
      <c r="CD51" s="9"/>
    </row>
    <row r="52" spans="1:82" ht="15.75" x14ac:dyDescent="0.25">
      <c r="A52" s="9"/>
      <c r="B52" s="212">
        <v>2</v>
      </c>
      <c r="C52" s="528" t="s">
        <v>353</v>
      </c>
      <c r="D52" s="528"/>
      <c r="E52" s="528"/>
      <c r="F52" s="528"/>
      <c r="G52" s="528"/>
      <c r="H52" s="528"/>
      <c r="I52" s="528"/>
      <c r="J52" s="528"/>
      <c r="K52" s="528"/>
      <c r="L52" s="528"/>
      <c r="M52" s="528"/>
      <c r="N52" s="528"/>
      <c r="O52" s="528"/>
      <c r="P52" s="528"/>
      <c r="Q52" s="528"/>
      <c r="R52" s="528"/>
      <c r="S52" s="528"/>
      <c r="T52" s="528"/>
      <c r="U52" s="528"/>
      <c r="V52" s="528"/>
      <c r="W52" s="9"/>
      <c r="X52" s="9"/>
      <c r="Y52" s="9"/>
      <c r="Z52" s="9"/>
      <c r="AA52" s="9"/>
      <c r="AB52" s="9"/>
      <c r="AC52" s="9"/>
      <c r="AD52" s="9"/>
      <c r="AE52" s="9"/>
      <c r="AF52" s="9"/>
      <c r="AG52" s="9"/>
      <c r="AH52" s="9"/>
      <c r="AI52" s="9"/>
      <c r="AJ52" s="9"/>
      <c r="AK52" s="9"/>
      <c r="AL52" s="9"/>
      <c r="AM52" s="9"/>
      <c r="AN52" s="9"/>
      <c r="AO52" s="9"/>
      <c r="AP52" s="9"/>
      <c r="AQ52" s="9"/>
      <c r="AR52" s="9"/>
      <c r="AS52" s="9"/>
      <c r="AT52" s="9"/>
      <c r="AU52" s="9"/>
      <c r="BJ52" s="9"/>
      <c r="BK52" s="9"/>
      <c r="BL52" s="9"/>
      <c r="BM52" s="9"/>
      <c r="BN52" s="9"/>
      <c r="BO52" s="9"/>
      <c r="BP52" s="9"/>
      <c r="BQ52" s="9"/>
      <c r="BR52" s="9"/>
      <c r="BS52" s="9"/>
      <c r="BT52" s="9"/>
      <c r="BU52" s="9"/>
      <c r="BV52" s="9"/>
      <c r="BW52" s="9"/>
      <c r="BX52" s="9"/>
      <c r="BY52" s="9"/>
      <c r="BZ52" s="9"/>
      <c r="CA52" s="9"/>
      <c r="CB52" s="9"/>
      <c r="CC52" s="9"/>
      <c r="CD52" s="9"/>
    </row>
    <row r="53" spans="1:82" ht="15.75" x14ac:dyDescent="0.25">
      <c r="A53" s="9"/>
      <c r="B53" s="212">
        <v>3</v>
      </c>
      <c r="C53" s="528" t="s">
        <v>354</v>
      </c>
      <c r="D53" s="528"/>
      <c r="E53" s="528"/>
      <c r="F53" s="528"/>
      <c r="G53" s="528"/>
      <c r="H53" s="528"/>
      <c r="I53" s="528"/>
      <c r="J53" s="528"/>
      <c r="K53" s="528"/>
      <c r="L53" s="528"/>
      <c r="M53" s="528"/>
      <c r="N53" s="528"/>
      <c r="O53" s="528"/>
      <c r="P53" s="528"/>
      <c r="Q53" s="528"/>
      <c r="R53" s="528"/>
      <c r="S53" s="528"/>
      <c r="T53" s="528"/>
      <c r="U53" s="528"/>
      <c r="V53" s="528"/>
      <c r="W53" s="9"/>
      <c r="X53" s="9"/>
      <c r="Y53" s="9"/>
      <c r="Z53" s="9"/>
      <c r="AA53" s="9"/>
      <c r="AB53" s="9"/>
      <c r="AC53" s="9"/>
      <c r="AD53" s="9"/>
      <c r="AE53" s="9"/>
      <c r="AF53" s="9"/>
      <c r="AG53" s="9"/>
      <c r="AH53" s="9"/>
      <c r="AI53" s="9"/>
      <c r="AJ53" s="9"/>
      <c r="AK53" s="9"/>
      <c r="AL53" s="9"/>
      <c r="AM53" s="9"/>
      <c r="AN53" s="9"/>
      <c r="AO53" s="9"/>
      <c r="AP53" s="9"/>
      <c r="AQ53" s="9"/>
      <c r="AR53" s="9"/>
      <c r="AS53" s="9"/>
      <c r="AT53" s="9"/>
      <c r="AU53" s="9"/>
      <c r="BJ53" s="9"/>
      <c r="BK53" s="9"/>
      <c r="BL53" s="9"/>
      <c r="BM53" s="9"/>
      <c r="BN53" s="9"/>
      <c r="BO53" s="9"/>
      <c r="BP53" s="9"/>
      <c r="BQ53" s="9"/>
      <c r="BR53" s="9"/>
      <c r="BS53" s="9"/>
      <c r="BT53" s="9"/>
      <c r="BU53" s="9"/>
      <c r="BV53" s="9"/>
      <c r="BW53" s="9"/>
      <c r="BX53" s="9"/>
      <c r="BY53" s="9"/>
      <c r="BZ53" s="9"/>
      <c r="CA53" s="9"/>
      <c r="CB53" s="9"/>
      <c r="CC53" s="9"/>
      <c r="CD53" s="9"/>
    </row>
    <row r="54" spans="1:82" ht="15.75" x14ac:dyDescent="0.25">
      <c r="A54" s="9"/>
      <c r="B54" s="212">
        <v>4</v>
      </c>
      <c r="C54" s="528" t="s">
        <v>355</v>
      </c>
      <c r="D54" s="528"/>
      <c r="E54" s="528"/>
      <c r="F54" s="528"/>
      <c r="G54" s="528"/>
      <c r="H54" s="528"/>
      <c r="I54" s="528"/>
      <c r="J54" s="528"/>
      <c r="K54" s="528"/>
      <c r="L54" s="528"/>
      <c r="M54" s="528"/>
      <c r="N54" s="528"/>
      <c r="O54" s="528"/>
      <c r="P54" s="528"/>
      <c r="Q54" s="528"/>
      <c r="R54" s="528"/>
      <c r="S54" s="528"/>
      <c r="T54" s="528"/>
      <c r="U54" s="528"/>
      <c r="V54" s="528"/>
      <c r="W54" s="9"/>
      <c r="X54" s="9"/>
      <c r="Y54" s="9"/>
      <c r="Z54" s="9"/>
      <c r="AA54" s="9"/>
      <c r="AB54" s="9"/>
      <c r="AC54" s="9"/>
      <c r="AD54" s="9"/>
      <c r="AE54" s="9"/>
      <c r="AF54" s="9"/>
      <c r="AG54" s="9"/>
      <c r="AH54" s="9"/>
      <c r="AI54" s="9"/>
      <c r="AJ54" s="9"/>
      <c r="AK54" s="9"/>
      <c r="AL54" s="9"/>
      <c r="AM54" s="9"/>
      <c r="AN54" s="9"/>
      <c r="AO54" s="9"/>
      <c r="AP54" s="9"/>
      <c r="AQ54" s="9"/>
      <c r="AR54" s="9"/>
      <c r="AS54" s="9"/>
      <c r="AT54" s="9"/>
      <c r="AU54" s="9"/>
      <c r="BJ54" s="9"/>
      <c r="BK54" s="9"/>
      <c r="BL54" s="9"/>
      <c r="BM54" s="9"/>
      <c r="BN54" s="9"/>
      <c r="BO54" s="9"/>
      <c r="BP54" s="9"/>
      <c r="BQ54" s="9"/>
      <c r="BR54" s="9"/>
      <c r="BS54" s="9"/>
      <c r="BT54" s="9"/>
      <c r="BU54" s="9"/>
      <c r="BV54" s="9"/>
      <c r="BW54" s="9"/>
      <c r="BX54" s="9"/>
      <c r="BY54" s="9"/>
      <c r="BZ54" s="9"/>
      <c r="CA54" s="9"/>
      <c r="CB54" s="9"/>
      <c r="CC54" s="9"/>
      <c r="CD54" s="9"/>
    </row>
    <row r="55" spans="1:82" ht="15.75" x14ac:dyDescent="0.25">
      <c r="A55" s="9"/>
      <c r="B55" s="212">
        <v>5</v>
      </c>
      <c r="C55" s="528" t="s">
        <v>356</v>
      </c>
      <c r="D55" s="528"/>
      <c r="E55" s="528"/>
      <c r="F55" s="528"/>
      <c r="G55" s="528"/>
      <c r="H55" s="528"/>
      <c r="I55" s="528"/>
      <c r="J55" s="528"/>
      <c r="K55" s="528"/>
      <c r="L55" s="528"/>
      <c r="M55" s="528"/>
      <c r="N55" s="528"/>
      <c r="O55" s="528"/>
      <c r="P55" s="528"/>
      <c r="Q55" s="528"/>
      <c r="R55" s="528"/>
      <c r="S55" s="528"/>
      <c r="T55" s="528"/>
      <c r="U55" s="528"/>
      <c r="V55" s="528"/>
      <c r="W55" s="9"/>
      <c r="X55" s="9"/>
      <c r="Y55" s="9"/>
      <c r="Z55" s="9"/>
      <c r="AA55" s="9"/>
      <c r="AB55" s="9"/>
      <c r="AC55" s="9"/>
      <c r="AD55" s="9"/>
      <c r="AE55" s="9"/>
      <c r="AF55" s="9"/>
      <c r="AG55" s="9"/>
      <c r="AH55" s="9"/>
      <c r="AI55" s="9"/>
      <c r="AJ55" s="9"/>
      <c r="AK55" s="9"/>
      <c r="AL55" s="9"/>
      <c r="AM55" s="9"/>
      <c r="AN55" s="9"/>
      <c r="AO55" s="9"/>
      <c r="AP55" s="9"/>
      <c r="AQ55" s="9"/>
      <c r="AR55" s="9"/>
      <c r="AS55" s="9"/>
      <c r="AT55" s="9"/>
      <c r="AU55" s="9"/>
      <c r="BJ55" s="9"/>
      <c r="BK55" s="9"/>
      <c r="BL55" s="9"/>
      <c r="BM55" s="9"/>
      <c r="BN55" s="9"/>
      <c r="BO55" s="9"/>
      <c r="BP55" s="9"/>
      <c r="BQ55" s="9"/>
      <c r="BR55" s="9"/>
      <c r="BS55" s="9"/>
      <c r="BT55" s="9"/>
      <c r="BU55" s="9"/>
      <c r="BV55" s="9"/>
      <c r="BW55" s="9"/>
      <c r="BX55" s="9"/>
      <c r="BY55" s="9"/>
      <c r="BZ55" s="9"/>
      <c r="CA55" s="9"/>
      <c r="CB55" s="9"/>
      <c r="CC55" s="9"/>
      <c r="CD55" s="9"/>
    </row>
    <row r="56" spans="1:82" ht="15.75" x14ac:dyDescent="0.25">
      <c r="A56" s="9"/>
      <c r="B56" s="212">
        <v>6</v>
      </c>
      <c r="C56" s="528" t="s">
        <v>357</v>
      </c>
      <c r="D56" s="528"/>
      <c r="E56" s="528"/>
      <c r="F56" s="528"/>
      <c r="G56" s="528"/>
      <c r="H56" s="528"/>
      <c r="I56" s="528"/>
      <c r="J56" s="528"/>
      <c r="K56" s="528"/>
      <c r="L56" s="528"/>
      <c r="M56" s="528"/>
      <c r="N56" s="528"/>
      <c r="O56" s="528"/>
      <c r="P56" s="528"/>
      <c r="Q56" s="528"/>
      <c r="R56" s="528"/>
      <c r="S56" s="528"/>
      <c r="T56" s="528"/>
      <c r="U56" s="528"/>
      <c r="V56" s="528"/>
      <c r="W56" s="9"/>
      <c r="X56" s="9"/>
      <c r="Y56" s="9"/>
      <c r="Z56" s="9"/>
      <c r="AA56" s="9"/>
      <c r="AB56" s="9"/>
      <c r="AC56" s="9"/>
      <c r="AD56" s="9"/>
      <c r="AE56" s="9"/>
      <c r="AF56" s="9"/>
      <c r="AG56" s="9"/>
      <c r="AH56" s="9"/>
      <c r="AI56" s="9"/>
      <c r="AJ56" s="9"/>
      <c r="AK56" s="9"/>
      <c r="AL56" s="9"/>
      <c r="AM56" s="9"/>
      <c r="AN56" s="9"/>
      <c r="AO56" s="9"/>
      <c r="AP56" s="9"/>
      <c r="AQ56" s="9"/>
      <c r="AR56" s="9"/>
      <c r="AS56" s="9"/>
      <c r="AT56" s="9"/>
      <c r="AU56" s="9"/>
      <c r="BJ56" s="9"/>
      <c r="BK56" s="9"/>
      <c r="BL56" s="9"/>
      <c r="BM56" s="9"/>
      <c r="BN56" s="9"/>
      <c r="BO56" s="9"/>
      <c r="BP56" s="9"/>
      <c r="BQ56" s="9"/>
      <c r="BR56" s="9"/>
      <c r="BS56" s="9"/>
      <c r="BT56" s="9"/>
      <c r="BU56" s="9"/>
      <c r="BV56" s="9"/>
      <c r="BW56" s="9"/>
      <c r="BX56" s="9"/>
      <c r="BY56" s="9"/>
      <c r="BZ56" s="9"/>
      <c r="CA56" s="9"/>
      <c r="CB56" s="9"/>
      <c r="CC56" s="9"/>
      <c r="CD56" s="9"/>
    </row>
    <row r="57" spans="1:82" ht="15.75" x14ac:dyDescent="0.25">
      <c r="A57" s="9"/>
      <c r="B57" s="212">
        <v>7</v>
      </c>
      <c r="C57" s="528" t="s">
        <v>358</v>
      </c>
      <c r="D57" s="528"/>
      <c r="E57" s="528"/>
      <c r="F57" s="528"/>
      <c r="G57" s="528"/>
      <c r="H57" s="528"/>
      <c r="I57" s="528"/>
      <c r="J57" s="528"/>
      <c r="K57" s="528"/>
      <c r="L57" s="528"/>
      <c r="M57" s="528"/>
      <c r="N57" s="528"/>
      <c r="O57" s="528"/>
      <c r="P57" s="528"/>
      <c r="Q57" s="528"/>
      <c r="R57" s="528"/>
      <c r="S57" s="528"/>
      <c r="T57" s="528"/>
      <c r="U57" s="528"/>
      <c r="V57" s="528"/>
      <c r="W57" s="9"/>
      <c r="X57" s="9"/>
      <c r="Y57" s="9"/>
      <c r="Z57" s="9"/>
      <c r="AA57" s="9"/>
      <c r="AB57" s="9"/>
      <c r="AC57" s="9"/>
      <c r="AD57" s="9"/>
      <c r="AE57" s="9"/>
      <c r="AF57" s="9"/>
      <c r="AG57" s="9"/>
      <c r="AH57" s="9"/>
      <c r="AI57" s="9"/>
      <c r="AJ57" s="9"/>
      <c r="AK57" s="9"/>
      <c r="AL57" s="9"/>
      <c r="AM57" s="9"/>
      <c r="AN57" s="9"/>
      <c r="AO57" s="9"/>
      <c r="AP57" s="9"/>
      <c r="AQ57" s="9"/>
      <c r="AR57" s="9"/>
      <c r="AS57" s="9"/>
      <c r="AT57" s="9"/>
      <c r="AU57" s="9"/>
      <c r="BJ57" s="9"/>
      <c r="BK57" s="9"/>
      <c r="BL57" s="9"/>
      <c r="BM57" s="9"/>
      <c r="BN57" s="9"/>
      <c r="BO57" s="9"/>
      <c r="BP57" s="9"/>
      <c r="BQ57" s="9"/>
      <c r="BR57" s="9"/>
      <c r="BS57" s="9"/>
      <c r="BT57" s="9"/>
      <c r="BU57" s="9"/>
      <c r="BV57" s="9"/>
      <c r="BW57" s="9"/>
      <c r="BX57" s="9"/>
      <c r="BY57" s="9"/>
      <c r="BZ57" s="9"/>
      <c r="CA57" s="9"/>
      <c r="CB57" s="9"/>
      <c r="CC57" s="9"/>
      <c r="CD57" s="9"/>
    </row>
    <row r="58" spans="1:82" ht="15.75" x14ac:dyDescent="0.25">
      <c r="A58" s="9"/>
      <c r="B58" s="212">
        <v>8</v>
      </c>
      <c r="C58" s="528" t="s">
        <v>359</v>
      </c>
      <c r="D58" s="528"/>
      <c r="E58" s="528"/>
      <c r="F58" s="528"/>
      <c r="G58" s="528"/>
      <c r="H58" s="528"/>
      <c r="I58" s="528"/>
      <c r="J58" s="528"/>
      <c r="K58" s="528"/>
      <c r="L58" s="528"/>
      <c r="M58" s="528"/>
      <c r="N58" s="528"/>
      <c r="O58" s="528"/>
      <c r="P58" s="528"/>
      <c r="Q58" s="528"/>
      <c r="R58" s="528"/>
      <c r="S58" s="528"/>
      <c r="T58" s="528"/>
      <c r="U58" s="528"/>
      <c r="V58" s="528"/>
      <c r="W58" s="9"/>
      <c r="X58" s="9"/>
      <c r="Y58" s="9"/>
      <c r="Z58" s="9"/>
      <c r="AA58" s="9"/>
      <c r="AB58" s="9"/>
      <c r="AC58" s="9"/>
      <c r="AD58" s="9"/>
      <c r="AE58" s="9"/>
      <c r="AF58" s="9"/>
      <c r="AG58" s="9"/>
      <c r="AH58" s="9"/>
      <c r="AI58" s="9"/>
      <c r="AJ58" s="9"/>
      <c r="AK58" s="9"/>
      <c r="AL58" s="9"/>
      <c r="AM58" s="9"/>
      <c r="AN58" s="9"/>
      <c r="AO58" s="9"/>
      <c r="AP58" s="9"/>
      <c r="AQ58" s="9"/>
      <c r="AR58" s="9"/>
      <c r="AS58" s="9"/>
      <c r="AT58" s="9"/>
      <c r="AU58" s="9"/>
      <c r="BJ58" s="9"/>
      <c r="BK58" s="9"/>
      <c r="BL58" s="9"/>
      <c r="BM58" s="9"/>
      <c r="BN58" s="9"/>
      <c r="BO58" s="9"/>
      <c r="BP58" s="9"/>
      <c r="BQ58" s="9"/>
      <c r="BR58" s="9"/>
      <c r="BS58" s="9"/>
      <c r="BT58" s="9"/>
      <c r="BU58" s="9"/>
      <c r="BV58" s="9"/>
      <c r="BW58" s="9"/>
      <c r="BX58" s="9"/>
      <c r="BY58" s="9"/>
      <c r="BZ58" s="9"/>
      <c r="CA58" s="9"/>
      <c r="CB58" s="9"/>
      <c r="CC58" s="9"/>
      <c r="CD58" s="9"/>
    </row>
    <row r="59" spans="1:82" ht="15.75" x14ac:dyDescent="0.25">
      <c r="A59" s="9"/>
      <c r="B59" s="212">
        <v>9</v>
      </c>
      <c r="C59" s="528" t="s">
        <v>360</v>
      </c>
      <c r="D59" s="528"/>
      <c r="E59" s="528"/>
      <c r="F59" s="528"/>
      <c r="G59" s="528"/>
      <c r="H59" s="528"/>
      <c r="I59" s="528"/>
      <c r="J59" s="528"/>
      <c r="K59" s="528"/>
      <c r="L59" s="528"/>
      <c r="M59" s="528"/>
      <c r="N59" s="528"/>
      <c r="O59" s="528"/>
      <c r="P59" s="528"/>
      <c r="Q59" s="528"/>
      <c r="R59" s="528"/>
      <c r="S59" s="528"/>
      <c r="T59" s="528"/>
      <c r="U59" s="528"/>
      <c r="V59" s="528"/>
      <c r="W59" s="9"/>
      <c r="X59" s="9"/>
      <c r="Y59" s="9"/>
      <c r="Z59" s="9"/>
      <c r="AA59" s="9"/>
      <c r="AB59" s="9"/>
      <c r="AC59" s="9"/>
      <c r="AD59" s="9"/>
      <c r="AE59" s="9"/>
      <c r="AF59" s="9"/>
      <c r="AG59" s="9"/>
      <c r="AH59" s="9"/>
      <c r="AI59" s="9"/>
      <c r="AJ59" s="9"/>
      <c r="AK59" s="9"/>
      <c r="AL59" s="9"/>
      <c r="AM59" s="9"/>
      <c r="AN59" s="9"/>
      <c r="AO59" s="9"/>
      <c r="AP59" s="9"/>
      <c r="AQ59" s="9"/>
      <c r="AR59" s="9"/>
      <c r="AS59" s="9"/>
      <c r="AT59" s="9"/>
      <c r="AU59" s="9"/>
      <c r="BJ59" s="9"/>
      <c r="BK59" s="9"/>
      <c r="BL59" s="9"/>
      <c r="BM59" s="9"/>
      <c r="BN59" s="9"/>
      <c r="BO59" s="9"/>
      <c r="BP59" s="9"/>
      <c r="BQ59" s="9"/>
      <c r="BR59" s="9"/>
      <c r="BS59" s="9"/>
      <c r="BT59" s="9"/>
      <c r="BU59" s="9"/>
      <c r="BV59" s="9"/>
      <c r="BW59" s="9"/>
      <c r="BX59" s="9"/>
      <c r="BY59" s="9"/>
      <c r="BZ59" s="9"/>
      <c r="CA59" s="9"/>
      <c r="CB59" s="9"/>
      <c r="CC59" s="9"/>
      <c r="CD59" s="9"/>
    </row>
    <row r="60" spans="1:82" ht="15.75" x14ac:dyDescent="0.25">
      <c r="A60" s="9"/>
      <c r="B60" s="212">
        <v>10</v>
      </c>
      <c r="C60" s="528" t="s">
        <v>361</v>
      </c>
      <c r="D60" s="528"/>
      <c r="E60" s="528"/>
      <c r="F60" s="528"/>
      <c r="G60" s="528"/>
      <c r="H60" s="528"/>
      <c r="I60" s="528"/>
      <c r="J60" s="528"/>
      <c r="K60" s="528"/>
      <c r="L60" s="528"/>
      <c r="M60" s="528"/>
      <c r="N60" s="528"/>
      <c r="O60" s="528"/>
      <c r="P60" s="528"/>
      <c r="Q60" s="528"/>
      <c r="R60" s="528"/>
      <c r="S60" s="528"/>
      <c r="T60" s="528"/>
      <c r="U60" s="528"/>
      <c r="V60" s="528"/>
      <c r="W60" s="9"/>
      <c r="X60" s="9"/>
      <c r="Y60" s="9"/>
      <c r="Z60" s="9"/>
      <c r="AA60" s="9"/>
      <c r="AB60" s="9"/>
      <c r="AC60" s="9"/>
      <c r="AD60" s="9"/>
      <c r="AE60" s="9"/>
      <c r="AF60" s="9"/>
      <c r="AG60" s="9"/>
      <c r="AH60" s="9"/>
      <c r="AI60" s="9"/>
      <c r="AJ60" s="9"/>
      <c r="AK60" s="9"/>
      <c r="AL60" s="9"/>
      <c r="AM60" s="9"/>
      <c r="AN60" s="9"/>
      <c r="AO60" s="9"/>
      <c r="AP60" s="9"/>
      <c r="AQ60" s="9"/>
      <c r="AR60" s="9"/>
      <c r="AS60" s="9"/>
      <c r="AT60" s="9"/>
      <c r="AU60" s="9"/>
      <c r="BJ60" s="9"/>
      <c r="BK60" s="9"/>
      <c r="BL60" s="9"/>
      <c r="BM60" s="9"/>
      <c r="BN60" s="9"/>
      <c r="BO60" s="9"/>
      <c r="BP60" s="9"/>
      <c r="BQ60" s="9"/>
      <c r="BR60" s="9"/>
      <c r="BS60" s="9"/>
      <c r="BT60" s="9"/>
      <c r="BU60" s="9"/>
      <c r="BV60" s="9"/>
      <c r="BW60" s="9"/>
      <c r="BX60" s="9"/>
      <c r="BY60" s="9"/>
      <c r="BZ60" s="9"/>
      <c r="CA60" s="9"/>
      <c r="CB60" s="9"/>
      <c r="CC60" s="9"/>
      <c r="CD60" s="9"/>
    </row>
    <row r="61" spans="1:82" ht="15.75" x14ac:dyDescent="0.25">
      <c r="A61" s="9"/>
      <c r="B61" s="212">
        <v>11</v>
      </c>
      <c r="C61" s="528" t="s">
        <v>362</v>
      </c>
      <c r="D61" s="528"/>
      <c r="E61" s="528"/>
      <c r="F61" s="528"/>
      <c r="G61" s="528"/>
      <c r="H61" s="528"/>
      <c r="I61" s="528"/>
      <c r="J61" s="528"/>
      <c r="K61" s="528"/>
      <c r="L61" s="528"/>
      <c r="M61" s="528"/>
      <c r="N61" s="528"/>
      <c r="O61" s="528"/>
      <c r="P61" s="528"/>
      <c r="Q61" s="528"/>
      <c r="R61" s="528"/>
      <c r="S61" s="528"/>
      <c r="T61" s="528"/>
      <c r="U61" s="528"/>
      <c r="V61" s="528"/>
      <c r="W61" s="9"/>
      <c r="X61" s="9"/>
      <c r="Y61" s="9"/>
      <c r="Z61" s="9"/>
      <c r="AA61" s="9"/>
      <c r="AB61" s="9"/>
      <c r="AC61" s="9"/>
      <c r="AD61" s="9"/>
      <c r="AE61" s="9"/>
      <c r="AF61" s="9"/>
      <c r="AG61" s="9"/>
      <c r="AH61" s="9"/>
      <c r="AI61" s="9"/>
      <c r="AJ61" s="9"/>
      <c r="AK61" s="9"/>
      <c r="AL61" s="9"/>
      <c r="AM61" s="9"/>
      <c r="AN61" s="9"/>
      <c r="AO61" s="9"/>
      <c r="AP61" s="9"/>
      <c r="AQ61" s="9"/>
      <c r="AR61" s="9"/>
      <c r="AS61" s="9"/>
      <c r="AT61" s="9"/>
      <c r="AU61" s="9"/>
      <c r="BJ61" s="9"/>
      <c r="BK61" s="9"/>
      <c r="BL61" s="9"/>
      <c r="BM61" s="9"/>
      <c r="BN61" s="9"/>
      <c r="BO61" s="9"/>
      <c r="BP61" s="9"/>
      <c r="BQ61" s="9"/>
      <c r="BR61" s="9"/>
      <c r="BS61" s="9"/>
      <c r="BT61" s="9"/>
      <c r="BU61" s="9"/>
      <c r="BV61" s="9"/>
      <c r="BW61" s="9"/>
      <c r="BX61" s="9"/>
      <c r="BY61" s="9"/>
      <c r="BZ61" s="9"/>
      <c r="CA61" s="9"/>
      <c r="CB61" s="9"/>
      <c r="CC61" s="9"/>
      <c r="CD61" s="9"/>
    </row>
    <row r="62" spans="1:82" x14ac:dyDescent="0.25">
      <c r="A62" s="9"/>
      <c r="B62" s="538" t="s">
        <v>363</v>
      </c>
      <c r="C62" s="538"/>
      <c r="D62" s="538"/>
      <c r="E62" s="538"/>
      <c r="F62" s="538"/>
      <c r="G62" s="538"/>
      <c r="H62" s="538"/>
      <c r="I62" s="538"/>
      <c r="J62" s="538"/>
      <c r="K62" s="538"/>
      <c r="L62" s="538"/>
      <c r="M62" s="538"/>
      <c r="N62" s="538"/>
      <c r="O62" s="538"/>
      <c r="P62" s="538"/>
      <c r="Q62" s="538"/>
      <c r="R62" s="538"/>
      <c r="S62" s="538"/>
      <c r="T62" s="538"/>
      <c r="U62" s="538"/>
      <c r="V62" s="538"/>
      <c r="W62" s="9"/>
      <c r="X62" s="9"/>
      <c r="Y62" s="9"/>
      <c r="Z62" s="9"/>
      <c r="AA62" s="9"/>
      <c r="AB62" s="9"/>
      <c r="AC62" s="9"/>
      <c r="AD62" s="9"/>
      <c r="AE62" s="9"/>
      <c r="AF62" s="9"/>
      <c r="AG62" s="9"/>
      <c r="AH62" s="9"/>
      <c r="AI62" s="9"/>
      <c r="AJ62" s="9"/>
      <c r="AK62" s="9"/>
      <c r="AL62" s="9"/>
      <c r="AM62" s="9"/>
      <c r="AN62" s="9"/>
      <c r="AO62" s="9"/>
      <c r="AP62" s="9"/>
      <c r="AQ62" s="9"/>
      <c r="AR62" s="9"/>
      <c r="AS62" s="9"/>
      <c r="AT62" s="9"/>
      <c r="AU62" s="9"/>
      <c r="BJ62" s="9"/>
      <c r="BK62" s="9"/>
      <c r="BL62" s="9"/>
      <c r="BM62" s="9"/>
      <c r="BN62" s="9"/>
      <c r="BO62" s="9"/>
      <c r="BP62" s="9"/>
      <c r="BQ62" s="9"/>
      <c r="BR62" s="9"/>
      <c r="BS62" s="9"/>
      <c r="BT62" s="9"/>
      <c r="BU62" s="9"/>
      <c r="BV62" s="9"/>
      <c r="BW62" s="9"/>
      <c r="BX62" s="9"/>
      <c r="BY62" s="9"/>
      <c r="BZ62" s="9"/>
      <c r="CA62" s="9"/>
      <c r="CB62" s="9"/>
      <c r="CC62" s="9"/>
      <c r="CD62" s="9"/>
    </row>
    <row r="63" spans="1:82" x14ac:dyDescent="0.25">
      <c r="A63" s="9"/>
      <c r="B63" s="538"/>
      <c r="C63" s="538"/>
      <c r="D63" s="538"/>
      <c r="E63" s="538"/>
      <c r="F63" s="538"/>
      <c r="G63" s="538"/>
      <c r="H63" s="538"/>
      <c r="I63" s="538"/>
      <c r="J63" s="538"/>
      <c r="K63" s="538"/>
      <c r="L63" s="538"/>
      <c r="M63" s="538"/>
      <c r="N63" s="538"/>
      <c r="O63" s="538"/>
      <c r="P63" s="538"/>
      <c r="Q63" s="538"/>
      <c r="R63" s="538"/>
      <c r="S63" s="538"/>
      <c r="T63" s="538"/>
      <c r="U63" s="538"/>
      <c r="V63" s="538"/>
      <c r="W63" s="9"/>
      <c r="X63" s="9"/>
      <c r="Y63" s="9"/>
      <c r="Z63" s="9"/>
      <c r="AA63" s="9"/>
      <c r="AB63" s="9"/>
      <c r="AC63" s="9"/>
      <c r="AD63" s="9"/>
      <c r="AE63" s="9"/>
      <c r="AF63" s="9"/>
      <c r="AG63" s="9"/>
      <c r="AH63" s="9"/>
      <c r="AI63" s="9"/>
      <c r="AJ63" s="9"/>
      <c r="AK63" s="9"/>
      <c r="AL63" s="9"/>
      <c r="AM63" s="9"/>
      <c r="AN63" s="9"/>
      <c r="AO63" s="9"/>
      <c r="AP63" s="9"/>
      <c r="AQ63" s="9"/>
      <c r="AR63" s="9"/>
      <c r="AS63" s="9"/>
      <c r="AT63" s="9"/>
      <c r="AU63" s="9"/>
      <c r="BJ63" s="9"/>
      <c r="BK63" s="9"/>
      <c r="BL63" s="9"/>
      <c r="BM63" s="9"/>
      <c r="BN63" s="9"/>
      <c r="BO63" s="9"/>
      <c r="BP63" s="9"/>
      <c r="BQ63" s="9"/>
      <c r="BR63" s="9"/>
      <c r="BS63" s="9"/>
      <c r="BT63" s="9"/>
      <c r="BU63" s="9"/>
      <c r="BV63" s="9"/>
      <c r="BW63" s="9"/>
      <c r="BX63" s="9"/>
      <c r="BY63" s="9"/>
      <c r="BZ63" s="9"/>
      <c r="CA63" s="9"/>
      <c r="CB63" s="9"/>
      <c r="CC63" s="9"/>
      <c r="CD63" s="9"/>
    </row>
    <row r="64" spans="1:82"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BJ64" s="9"/>
      <c r="BK64" s="9"/>
      <c r="BL64" s="9"/>
      <c r="BM64" s="9"/>
      <c r="BN64" s="9"/>
      <c r="BO64" s="9"/>
      <c r="BP64" s="9"/>
      <c r="BQ64" s="9"/>
      <c r="BR64" s="9"/>
      <c r="BS64" s="9"/>
      <c r="BT64" s="9"/>
      <c r="BU64" s="9"/>
      <c r="BV64" s="9"/>
      <c r="BW64" s="9"/>
      <c r="BX64" s="9"/>
      <c r="BY64" s="9"/>
      <c r="BZ64" s="9"/>
      <c r="CA64" s="9"/>
      <c r="CB64" s="9"/>
      <c r="CC64" s="9"/>
      <c r="CD64" s="9"/>
    </row>
  </sheetData>
  <mergeCells count="87">
    <mergeCell ref="BI5:BJ5"/>
    <mergeCell ref="B2:CD2"/>
    <mergeCell ref="B20:D20"/>
    <mergeCell ref="Q6:T6"/>
    <mergeCell ref="U6:X6"/>
    <mergeCell ref="Y6:AB6"/>
    <mergeCell ref="AC6:AF6"/>
    <mergeCell ref="AG6:AJ6"/>
    <mergeCell ref="B10:D10"/>
    <mergeCell ref="AK6:AN6"/>
    <mergeCell ref="AO6:AR6"/>
    <mergeCell ref="B9:D9"/>
    <mergeCell ref="BK6:BN6"/>
    <mergeCell ref="B11:D11"/>
    <mergeCell ref="CA6:CD6"/>
    <mergeCell ref="AW6:AZ6"/>
    <mergeCell ref="CI24:CI26"/>
    <mergeCell ref="B3:CD3"/>
    <mergeCell ref="B4:D7"/>
    <mergeCell ref="BK4:CD4"/>
    <mergeCell ref="BK5:BN5"/>
    <mergeCell ref="BO5:BR5"/>
    <mergeCell ref="BS5:BV5"/>
    <mergeCell ref="BW5:BZ5"/>
    <mergeCell ref="CA5:CD5"/>
    <mergeCell ref="E6:H6"/>
    <mergeCell ref="I6:L6"/>
    <mergeCell ref="M6:P6"/>
    <mergeCell ref="E4:BJ4"/>
    <mergeCell ref="BS6:BV6"/>
    <mergeCell ref="E5:AZ5"/>
    <mergeCell ref="BA5:BH5"/>
    <mergeCell ref="BW6:BZ6"/>
    <mergeCell ref="B19:D19"/>
    <mergeCell ref="B21:D21"/>
    <mergeCell ref="B22:D22"/>
    <mergeCell ref="B23:BJ23"/>
    <mergeCell ref="B16:D16"/>
    <mergeCell ref="B12:BJ12"/>
    <mergeCell ref="B13:D13"/>
    <mergeCell ref="B8:BJ8"/>
    <mergeCell ref="BO6:BR6"/>
    <mergeCell ref="B15:D15"/>
    <mergeCell ref="B14:D14"/>
    <mergeCell ref="BA6:BD6"/>
    <mergeCell ref="BE6:BH6"/>
    <mergeCell ref="AS6:AV6"/>
    <mergeCell ref="B34:D34"/>
    <mergeCell ref="B35:D35"/>
    <mergeCell ref="B28:D28"/>
    <mergeCell ref="B17:BJ17"/>
    <mergeCell ref="B18:D18"/>
    <mergeCell ref="B25:D25"/>
    <mergeCell ref="B26:D26"/>
    <mergeCell ref="B27:D27"/>
    <mergeCell ref="B24:D24"/>
    <mergeCell ref="B29:D29"/>
    <mergeCell ref="B30:BJ30"/>
    <mergeCell ref="B31:D31"/>
    <mergeCell ref="B32:D32"/>
    <mergeCell ref="B33:D33"/>
    <mergeCell ref="B36:D36"/>
    <mergeCell ref="B38:D38"/>
    <mergeCell ref="B39:D39"/>
    <mergeCell ref="B37:D37"/>
    <mergeCell ref="B46:D46"/>
    <mergeCell ref="B40:BJ40"/>
    <mergeCell ref="C60:V60"/>
    <mergeCell ref="C61:V61"/>
    <mergeCell ref="B62:V63"/>
    <mergeCell ref="C54:V54"/>
    <mergeCell ref="C55:V55"/>
    <mergeCell ref="C56:V56"/>
    <mergeCell ref="C57:V57"/>
    <mergeCell ref="C58:V58"/>
    <mergeCell ref="C59:V59"/>
    <mergeCell ref="C53:V53"/>
    <mergeCell ref="B41:D41"/>
    <mergeCell ref="B42:BJ42"/>
    <mergeCell ref="B43:D43"/>
    <mergeCell ref="B44:D44"/>
    <mergeCell ref="B45:D45"/>
    <mergeCell ref="C52:V52"/>
    <mergeCell ref="B47:D47"/>
    <mergeCell ref="B48:CD48"/>
    <mergeCell ref="B50:V50"/>
    <mergeCell ref="C51:V51"/>
  </mergeCells>
  <printOptions horizontalCentered="1"/>
  <pageMargins left="0.70866141732283472" right="0.70866141732283472" top="0.74803149606299213" bottom="0.74803149606299213" header="0.31496062992125984" footer="0.31496062992125984"/>
  <pageSetup paperSize="8"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J27"/>
  <sheetViews>
    <sheetView tabSelected="1" view="pageBreakPreview" topLeftCell="A6" zoomScaleNormal="130" zoomScaleSheetLayoutView="100" workbookViewId="0">
      <selection activeCell="O144" sqref="O144"/>
    </sheetView>
  </sheetViews>
  <sheetFormatPr baseColWidth="10" defaultRowHeight="15" x14ac:dyDescent="0.25"/>
  <cols>
    <col min="1" max="1" width="24.7109375" customWidth="1"/>
    <col min="3" max="3" width="19.85546875" hidden="1" customWidth="1"/>
    <col min="4" max="4" width="17" customWidth="1"/>
    <col min="5" max="5" width="23.5703125" customWidth="1"/>
    <col min="7" max="7" width="19.7109375" style="9" customWidth="1"/>
    <col min="8" max="8" width="19.28515625" customWidth="1"/>
  </cols>
  <sheetData>
    <row r="1" spans="1:3" hidden="1" x14ac:dyDescent="0.25">
      <c r="A1" s="17" t="s">
        <v>23</v>
      </c>
      <c r="B1" s="17" t="s">
        <v>22</v>
      </c>
    </row>
    <row r="2" spans="1:3" hidden="1" x14ac:dyDescent="0.25">
      <c r="A2" s="16" t="s">
        <v>24</v>
      </c>
      <c r="B2" s="16">
        <v>70</v>
      </c>
    </row>
    <row r="3" spans="1:3" hidden="1" x14ac:dyDescent="0.25">
      <c r="A3" s="16" t="s">
        <v>25</v>
      </c>
      <c r="B3" s="16">
        <v>50</v>
      </c>
    </row>
    <row r="4" spans="1:3" hidden="1" x14ac:dyDescent="0.25">
      <c r="A4" s="16" t="s">
        <v>16</v>
      </c>
      <c r="B4" s="16">
        <v>40</v>
      </c>
    </row>
    <row r="5" spans="1:3" hidden="1" x14ac:dyDescent="0.25"/>
    <row r="7" spans="1:3" x14ac:dyDescent="0.25">
      <c r="A7" s="587" t="s">
        <v>312</v>
      </c>
      <c r="B7" s="587"/>
      <c r="C7" s="9"/>
    </row>
    <row r="8" spans="1:3" ht="16.5" x14ac:dyDescent="0.3">
      <c r="A8" s="19" t="s">
        <v>110</v>
      </c>
      <c r="B8" s="16">
        <v>40</v>
      </c>
      <c r="C8" s="9"/>
    </row>
    <row r="9" spans="1:3" ht="16.5" x14ac:dyDescent="0.3">
      <c r="A9" s="19" t="s">
        <v>111</v>
      </c>
      <c r="B9" s="16">
        <v>50</v>
      </c>
      <c r="C9" s="9"/>
    </row>
    <row r="10" spans="1:3" ht="16.5" x14ac:dyDescent="0.3">
      <c r="A10" s="19" t="s">
        <v>96</v>
      </c>
      <c r="B10" s="16">
        <v>50</v>
      </c>
      <c r="C10" s="9"/>
    </row>
    <row r="11" spans="1:3" ht="16.5" x14ac:dyDescent="0.3">
      <c r="A11" s="19" t="s">
        <v>106</v>
      </c>
      <c r="B11" s="16">
        <v>60</v>
      </c>
      <c r="C11" s="9"/>
    </row>
    <row r="12" spans="1:3" ht="16.5" x14ac:dyDescent="0.3">
      <c r="A12" s="19" t="s">
        <v>105</v>
      </c>
      <c r="B12" s="16">
        <v>60</v>
      </c>
      <c r="C12" s="9"/>
    </row>
    <row r="13" spans="1:3" ht="16.5" x14ac:dyDescent="0.3">
      <c r="A13" s="19" t="s">
        <v>112</v>
      </c>
      <c r="B13" s="16">
        <v>70</v>
      </c>
      <c r="C13" s="9"/>
    </row>
    <row r="14" spans="1:3" ht="16.5" x14ac:dyDescent="0.3">
      <c r="A14" s="19" t="s">
        <v>113</v>
      </c>
      <c r="B14" s="39">
        <f>3.78541*C14</f>
        <v>5.678115</v>
      </c>
      <c r="C14" s="16">
        <v>1.5</v>
      </c>
    </row>
    <row r="15" spans="1:3" ht="16.5" x14ac:dyDescent="0.3">
      <c r="A15" s="19" t="s">
        <v>83</v>
      </c>
      <c r="B15" s="16">
        <v>40</v>
      </c>
      <c r="C15" s="9"/>
    </row>
    <row r="16" spans="1:3" ht="16.5" x14ac:dyDescent="0.3">
      <c r="A16" s="19" t="s">
        <v>114</v>
      </c>
      <c r="B16" s="16">
        <v>50</v>
      </c>
      <c r="C16" s="9"/>
    </row>
    <row r="17" spans="1:10" ht="16.5" x14ac:dyDescent="0.3">
      <c r="A17" s="19" t="s">
        <v>243</v>
      </c>
      <c r="B17" s="173">
        <v>50</v>
      </c>
    </row>
    <row r="18" spans="1:10" ht="16.5" x14ac:dyDescent="0.3">
      <c r="A18" s="19" t="s">
        <v>153</v>
      </c>
      <c r="B18" s="16">
        <v>4</v>
      </c>
    </row>
    <row r="19" spans="1:10" ht="16.5" x14ac:dyDescent="0.3">
      <c r="A19" s="19" t="s">
        <v>210</v>
      </c>
      <c r="B19" s="16">
        <v>800</v>
      </c>
    </row>
    <row r="20" spans="1:10" ht="16.5" x14ac:dyDescent="0.3">
      <c r="A20" s="19" t="s">
        <v>282</v>
      </c>
      <c r="B20" s="16">
        <v>75</v>
      </c>
    </row>
    <row r="21" spans="1:10" x14ac:dyDescent="0.25">
      <c r="A21" s="590" t="s">
        <v>313</v>
      </c>
      <c r="B21" s="590"/>
    </row>
    <row r="22" spans="1:10" ht="43.15" hidden="1" customHeight="1" x14ac:dyDescent="0.25">
      <c r="B22" s="149" t="s">
        <v>272</v>
      </c>
      <c r="C22" s="149" t="s">
        <v>274</v>
      </c>
      <c r="D22" s="150" t="s">
        <v>277</v>
      </c>
      <c r="E22" s="150" t="s">
        <v>276</v>
      </c>
      <c r="F22" s="149" t="s">
        <v>278</v>
      </c>
      <c r="G22" s="151" t="s">
        <v>280</v>
      </c>
      <c r="H22" s="149" t="s">
        <v>279</v>
      </c>
      <c r="I22" s="149"/>
      <c r="J22" s="149"/>
    </row>
    <row r="23" spans="1:10" hidden="1" x14ac:dyDescent="0.25">
      <c r="A23" t="s">
        <v>271</v>
      </c>
      <c r="B23" s="149">
        <v>7000</v>
      </c>
      <c r="C23" s="152">
        <f>B23/78</f>
        <v>89.743589743589737</v>
      </c>
      <c r="D23" s="152">
        <f>C23/9</f>
        <v>9.9715099715099704</v>
      </c>
      <c r="E23" s="149">
        <v>7</v>
      </c>
      <c r="F23" s="149">
        <v>3</v>
      </c>
      <c r="G23" s="149">
        <v>2</v>
      </c>
      <c r="H23" s="149">
        <v>1</v>
      </c>
      <c r="I23" s="588"/>
      <c r="J23" s="589"/>
    </row>
    <row r="24" spans="1:10" hidden="1" x14ac:dyDescent="0.25">
      <c r="A24" t="s">
        <v>273</v>
      </c>
    </row>
    <row r="25" spans="1:10" hidden="1" x14ac:dyDescent="0.25">
      <c r="A25" s="9" t="s">
        <v>273</v>
      </c>
    </row>
    <row r="26" spans="1:10" hidden="1" x14ac:dyDescent="0.25">
      <c r="A26" s="9" t="s">
        <v>273</v>
      </c>
    </row>
    <row r="27" spans="1:10" hidden="1" x14ac:dyDescent="0.25">
      <c r="A27" s="9" t="s">
        <v>275</v>
      </c>
    </row>
  </sheetData>
  <mergeCells count="3">
    <mergeCell ref="A7:B7"/>
    <mergeCell ref="I23:J23"/>
    <mergeCell ref="A21:B2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pageSetUpPr fitToPage="1"/>
  </sheetPr>
  <dimension ref="A1:BU41"/>
  <sheetViews>
    <sheetView tabSelected="1" view="pageBreakPreview" zoomScale="40" zoomScaleNormal="55" zoomScaleSheetLayoutView="40" workbookViewId="0">
      <pane ySplit="1" topLeftCell="A2" activePane="bottomLeft" state="frozen"/>
      <selection activeCell="O144" sqref="O144"/>
      <selection pane="bottomLeft" activeCell="O144" sqref="O144"/>
    </sheetView>
  </sheetViews>
  <sheetFormatPr baseColWidth="10" defaultRowHeight="15" x14ac:dyDescent="0.25"/>
  <cols>
    <col min="1" max="1" width="2" style="9" customWidth="1"/>
    <col min="2" max="2" width="2.42578125" style="9" customWidth="1"/>
    <col min="3" max="4" width="5.7109375" style="9" customWidth="1"/>
    <col min="5" max="5" width="21.85546875" style="9" customWidth="1"/>
    <col min="6" max="63" width="5.7109375" style="9" customWidth="1"/>
    <col min="64" max="64" width="5.28515625" style="22" customWidth="1"/>
    <col min="65" max="65" width="11.5703125" customWidth="1"/>
    <col min="66" max="66" width="14.28515625" style="138" customWidth="1"/>
    <col min="67" max="67" width="13.7109375" customWidth="1"/>
    <col min="68" max="68" width="13" customWidth="1"/>
    <col min="70" max="70" width="12.7109375" customWidth="1"/>
  </cols>
  <sheetData>
    <row r="1" spans="1:72" s="9" customFormat="1" x14ac:dyDescent="0.25">
      <c r="BL1" s="22"/>
      <c r="BN1" s="138"/>
    </row>
    <row r="2" spans="1:72" s="9" customFormat="1" ht="47.25" customHeight="1" x14ac:dyDescent="0.25">
      <c r="B2" s="591" t="s">
        <v>305</v>
      </c>
      <c r="C2" s="591"/>
      <c r="D2" s="591"/>
      <c r="E2" s="591"/>
      <c r="F2" s="591"/>
      <c r="G2" s="591"/>
      <c r="H2" s="591"/>
      <c r="I2" s="591"/>
      <c r="J2" s="591"/>
      <c r="K2" s="591"/>
      <c r="L2" s="591"/>
      <c r="M2" s="591"/>
      <c r="N2" s="591"/>
      <c r="O2" s="591"/>
      <c r="P2" s="591"/>
      <c r="Q2" s="591"/>
      <c r="R2" s="591"/>
      <c r="S2" s="591"/>
      <c r="T2" s="591"/>
      <c r="U2" s="591"/>
      <c r="V2" s="591"/>
      <c r="W2" s="591"/>
      <c r="X2" s="591"/>
      <c r="Y2" s="591"/>
      <c r="Z2" s="591"/>
      <c r="AA2" s="591"/>
      <c r="AB2" s="591"/>
      <c r="AC2" s="591"/>
      <c r="AD2" s="591"/>
      <c r="AE2" s="591"/>
      <c r="AF2" s="591"/>
      <c r="AG2" s="591"/>
      <c r="AH2" s="591"/>
      <c r="AI2" s="591"/>
      <c r="AJ2" s="591"/>
      <c r="AK2" s="591"/>
      <c r="AL2" s="591"/>
      <c r="AM2" s="591"/>
      <c r="AN2" s="591"/>
      <c r="AO2" s="591"/>
      <c r="AP2" s="591"/>
      <c r="AQ2" s="591"/>
      <c r="AR2" s="591"/>
      <c r="AS2" s="591"/>
      <c r="AT2" s="591"/>
      <c r="AU2" s="591"/>
      <c r="AV2" s="591"/>
      <c r="AW2" s="591"/>
      <c r="AX2" s="591"/>
      <c r="AY2" s="591"/>
      <c r="AZ2" s="591"/>
      <c r="BA2" s="591"/>
      <c r="BB2" s="591"/>
      <c r="BC2" s="591"/>
      <c r="BD2" s="591"/>
      <c r="BE2" s="591"/>
      <c r="BF2" s="591"/>
      <c r="BG2" s="591"/>
      <c r="BH2" s="591"/>
      <c r="BI2" s="591"/>
      <c r="BJ2" s="591"/>
      <c r="BK2" s="591"/>
      <c r="BL2" s="591"/>
      <c r="BM2" s="591"/>
      <c r="BN2" s="591"/>
      <c r="BO2" s="591"/>
      <c r="BP2" s="591"/>
      <c r="BQ2" s="591"/>
      <c r="BR2" s="591"/>
      <c r="BS2" s="591"/>
      <c r="BT2" s="591"/>
    </row>
    <row r="3" spans="1:72" ht="18" thickBot="1" x14ac:dyDescent="0.35">
      <c r="BM3" s="592" t="s">
        <v>306</v>
      </c>
      <c r="BN3" s="592"/>
      <c r="BO3" s="592"/>
      <c r="BP3" s="592"/>
      <c r="BQ3" s="592"/>
      <c r="BR3" s="592"/>
      <c r="BS3" s="592"/>
      <c r="BT3" s="592"/>
    </row>
    <row r="4" spans="1:72" ht="19.5" customHeight="1" thickBot="1" x14ac:dyDescent="0.3">
      <c r="B4" s="599" t="s">
        <v>6</v>
      </c>
      <c r="C4" s="601" t="s">
        <v>0</v>
      </c>
      <c r="D4" s="602"/>
      <c r="E4" s="603"/>
      <c r="F4" s="607" t="s">
        <v>9</v>
      </c>
      <c r="G4" s="608"/>
      <c r="H4" s="608"/>
      <c r="I4" s="608"/>
      <c r="J4" s="608"/>
      <c r="K4" s="608"/>
      <c r="L4" s="608"/>
      <c r="M4" s="608"/>
      <c r="N4" s="608"/>
      <c r="O4" s="608"/>
      <c r="P4" s="608"/>
      <c r="Q4" s="608"/>
      <c r="R4" s="608"/>
      <c r="S4" s="608"/>
      <c r="T4" s="608"/>
      <c r="U4" s="608"/>
      <c r="V4" s="608"/>
      <c r="W4" s="608"/>
      <c r="X4" s="608"/>
      <c r="Y4" s="608"/>
      <c r="Z4" s="608"/>
      <c r="AA4" s="608"/>
      <c r="AB4" s="608"/>
      <c r="AC4" s="608"/>
      <c r="AD4" s="608"/>
      <c r="AE4" s="608"/>
      <c r="AF4" s="608"/>
      <c r="AG4" s="608"/>
      <c r="AH4" s="608"/>
      <c r="AI4" s="608"/>
      <c r="AJ4" s="608"/>
      <c r="AK4" s="608"/>
      <c r="AL4" s="608"/>
      <c r="AM4" s="608"/>
      <c r="AN4" s="608"/>
      <c r="AO4" s="608"/>
      <c r="AP4" s="608"/>
      <c r="AQ4" s="608"/>
      <c r="AR4" s="608"/>
      <c r="AS4" s="608"/>
      <c r="AT4" s="608"/>
      <c r="AU4" s="608"/>
      <c r="AV4" s="608"/>
      <c r="AW4" s="608"/>
      <c r="AX4" s="608"/>
      <c r="AY4" s="608"/>
      <c r="AZ4" s="608"/>
      <c r="BA4" s="608"/>
      <c r="BB4" s="608"/>
      <c r="BC4" s="608"/>
      <c r="BD4" s="608"/>
      <c r="BE4" s="608"/>
      <c r="BF4" s="608"/>
      <c r="BG4" s="608"/>
      <c r="BH4" s="608"/>
      <c r="BI4" s="608"/>
      <c r="BJ4" s="608"/>
      <c r="BK4" s="608"/>
      <c r="BL4" s="112"/>
      <c r="BO4" s="9" t="s">
        <v>213</v>
      </c>
      <c r="BP4" s="9" t="s">
        <v>214</v>
      </c>
      <c r="BQ4" s="9"/>
      <c r="BR4" s="9"/>
      <c r="BS4" s="9" t="s">
        <v>215</v>
      </c>
      <c r="BT4" s="9"/>
    </row>
    <row r="5" spans="1:72" ht="31.5" customHeight="1" thickBot="1" x14ac:dyDescent="0.3">
      <c r="B5" s="600"/>
      <c r="C5" s="604"/>
      <c r="D5" s="605"/>
      <c r="E5" s="606"/>
      <c r="F5" s="168">
        <v>1</v>
      </c>
      <c r="G5" s="168">
        <v>2</v>
      </c>
      <c r="H5" s="168">
        <v>3</v>
      </c>
      <c r="I5" s="168">
        <v>4</v>
      </c>
      <c r="J5" s="168">
        <v>5</v>
      </c>
      <c r="K5" s="168">
        <v>6</v>
      </c>
      <c r="L5" s="168">
        <v>7</v>
      </c>
      <c r="M5" s="168">
        <v>8</v>
      </c>
      <c r="N5" s="168">
        <v>9</v>
      </c>
      <c r="O5" s="168">
        <v>10</v>
      </c>
      <c r="P5" s="168">
        <v>11</v>
      </c>
      <c r="Q5" s="168">
        <v>12</v>
      </c>
      <c r="R5" s="168">
        <v>13</v>
      </c>
      <c r="S5" s="168">
        <v>14</v>
      </c>
      <c r="T5" s="168">
        <v>15</v>
      </c>
      <c r="U5" s="168">
        <v>16</v>
      </c>
      <c r="V5" s="168">
        <v>17</v>
      </c>
      <c r="W5" s="168">
        <v>18</v>
      </c>
      <c r="X5" s="168">
        <v>19</v>
      </c>
      <c r="Y5" s="168">
        <v>20</v>
      </c>
      <c r="Z5" s="168">
        <v>21</v>
      </c>
      <c r="AA5" s="168">
        <v>22</v>
      </c>
      <c r="AB5" s="168">
        <v>23</v>
      </c>
      <c r="AC5" s="168">
        <v>24</v>
      </c>
      <c r="AD5" s="168">
        <v>25</v>
      </c>
      <c r="AE5" s="168">
        <v>26</v>
      </c>
      <c r="AF5" s="168">
        <v>27</v>
      </c>
      <c r="AG5" s="168">
        <v>28</v>
      </c>
      <c r="AH5" s="168">
        <v>29</v>
      </c>
      <c r="AI5" s="168">
        <v>30</v>
      </c>
      <c r="AJ5" s="168">
        <v>31</v>
      </c>
      <c r="AK5" s="168">
        <v>32</v>
      </c>
      <c r="AL5" s="168">
        <v>33</v>
      </c>
      <c r="AM5" s="168">
        <v>34</v>
      </c>
      <c r="AN5" s="168">
        <v>35</v>
      </c>
      <c r="AO5" s="168">
        <v>36</v>
      </c>
      <c r="AP5" s="168">
        <v>37</v>
      </c>
      <c r="AQ5" s="168">
        <v>38</v>
      </c>
      <c r="AR5" s="168">
        <v>39</v>
      </c>
      <c r="AS5" s="168">
        <v>40</v>
      </c>
      <c r="AT5" s="168">
        <v>41</v>
      </c>
      <c r="AU5" s="168">
        <v>42</v>
      </c>
      <c r="AV5" s="168">
        <v>43</v>
      </c>
      <c r="AW5" s="242">
        <v>44</v>
      </c>
      <c r="AX5" s="242">
        <v>45</v>
      </c>
      <c r="AY5" s="242">
        <v>46</v>
      </c>
      <c r="AZ5" s="242">
        <v>47</v>
      </c>
      <c r="BA5" s="242">
        <v>48</v>
      </c>
      <c r="BB5" s="242">
        <v>49</v>
      </c>
      <c r="BC5" s="242">
        <v>50</v>
      </c>
      <c r="BD5" s="242">
        <v>51</v>
      </c>
      <c r="BE5" s="242">
        <v>52</v>
      </c>
      <c r="BF5" s="242">
        <v>53</v>
      </c>
      <c r="BG5" s="242">
        <v>54</v>
      </c>
      <c r="BH5" s="242">
        <v>55</v>
      </c>
      <c r="BI5" s="242">
        <v>56</v>
      </c>
      <c r="BJ5" s="242">
        <v>57</v>
      </c>
      <c r="BK5" s="242">
        <v>58</v>
      </c>
      <c r="BL5" s="113"/>
      <c r="BM5" s="595" t="s">
        <v>264</v>
      </c>
      <c r="BN5" s="596"/>
      <c r="BO5" s="597" t="s">
        <v>45</v>
      </c>
      <c r="BP5" s="597" t="s">
        <v>216</v>
      </c>
      <c r="BQ5" s="597" t="s">
        <v>217</v>
      </c>
      <c r="BR5" s="593" t="s">
        <v>46</v>
      </c>
      <c r="BS5" s="593" t="s">
        <v>216</v>
      </c>
      <c r="BT5" s="593" t="s">
        <v>217</v>
      </c>
    </row>
    <row r="6" spans="1:72" ht="30.75" thickBot="1" x14ac:dyDescent="0.3">
      <c r="B6" s="148"/>
      <c r="C6" s="565" t="s">
        <v>63</v>
      </c>
      <c r="D6" s="552"/>
      <c r="E6" s="552"/>
      <c r="F6" s="552"/>
      <c r="G6" s="552"/>
      <c r="H6" s="552"/>
      <c r="I6" s="552"/>
      <c r="J6" s="552"/>
      <c r="K6" s="552"/>
      <c r="L6" s="552"/>
      <c r="M6" s="552"/>
      <c r="N6" s="552"/>
      <c r="O6" s="552"/>
      <c r="P6" s="552"/>
      <c r="Q6" s="552"/>
      <c r="R6" s="552"/>
      <c r="S6" s="552"/>
      <c r="T6" s="552"/>
      <c r="U6" s="552"/>
      <c r="V6" s="552"/>
      <c r="W6" s="552"/>
      <c r="X6" s="552"/>
      <c r="Y6" s="552"/>
      <c r="Z6" s="552"/>
      <c r="AA6" s="552"/>
      <c r="AB6" s="552"/>
      <c r="AC6" s="552"/>
      <c r="AD6" s="552"/>
      <c r="AE6" s="552"/>
      <c r="AF6" s="552"/>
      <c r="AG6" s="552"/>
      <c r="AH6" s="552"/>
      <c r="AI6" s="552"/>
      <c r="AJ6" s="552"/>
      <c r="AK6" s="552"/>
      <c r="AL6" s="552"/>
      <c r="AM6" s="552"/>
      <c r="AN6" s="552"/>
      <c r="AO6" s="552"/>
      <c r="AP6" s="552"/>
      <c r="AQ6" s="552"/>
      <c r="AR6" s="552"/>
      <c r="AS6" s="552"/>
      <c r="AT6" s="552"/>
      <c r="AU6" s="552"/>
      <c r="AV6" s="552"/>
      <c r="AW6" s="552"/>
      <c r="AX6" s="552"/>
      <c r="AY6" s="552"/>
      <c r="AZ6" s="552"/>
      <c r="BA6" s="552"/>
      <c r="BB6" s="552"/>
      <c r="BC6" s="552"/>
      <c r="BD6" s="552"/>
      <c r="BE6" s="552"/>
      <c r="BF6" s="552"/>
      <c r="BG6" s="552"/>
      <c r="BH6" s="552"/>
      <c r="BI6" s="552"/>
      <c r="BJ6" s="552"/>
      <c r="BK6" s="553"/>
      <c r="BL6" s="114"/>
      <c r="BM6" s="146" t="s">
        <v>263</v>
      </c>
      <c r="BN6" s="147">
        <v>3</v>
      </c>
      <c r="BO6" s="598"/>
      <c r="BP6" s="598"/>
      <c r="BQ6" s="598"/>
      <c r="BR6" s="594"/>
      <c r="BS6" s="594"/>
      <c r="BT6" s="594"/>
    </row>
    <row r="7" spans="1:72" s="4" customFormat="1" ht="21.95" customHeight="1" thickBot="1" x14ac:dyDescent="0.3">
      <c r="A7" s="9"/>
      <c r="B7" s="166">
        <v>1</v>
      </c>
      <c r="C7" s="539" t="s">
        <v>103</v>
      </c>
      <c r="D7" s="540"/>
      <c r="E7" s="541"/>
      <c r="F7" s="284">
        <v>3</v>
      </c>
      <c r="G7" s="284">
        <v>3</v>
      </c>
      <c r="H7" s="284">
        <v>3</v>
      </c>
      <c r="I7" s="284">
        <v>3</v>
      </c>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c r="AS7" s="285"/>
      <c r="AT7" s="285"/>
      <c r="AU7" s="285"/>
      <c r="AV7" s="285"/>
      <c r="AW7" s="285"/>
      <c r="AX7" s="285"/>
      <c r="AY7" s="285"/>
      <c r="AZ7" s="285"/>
      <c r="BA7" s="285"/>
      <c r="BB7" s="285"/>
      <c r="BC7" s="285"/>
      <c r="BD7" s="285"/>
      <c r="BE7" s="285"/>
      <c r="BF7" s="286"/>
      <c r="BG7" s="286"/>
      <c r="BH7" s="286"/>
      <c r="BI7" s="286"/>
      <c r="BJ7" s="285"/>
      <c r="BK7" s="285"/>
      <c r="BL7" s="115"/>
      <c r="BM7" s="147"/>
      <c r="BN7" s="139"/>
      <c r="BO7" s="140"/>
      <c r="BP7" s="141"/>
      <c r="BQ7" s="141"/>
      <c r="BR7" s="38"/>
      <c r="BS7" s="38"/>
      <c r="BT7" s="38"/>
    </row>
    <row r="8" spans="1:72" ht="47.25" customHeight="1" thickBot="1" x14ac:dyDescent="0.4">
      <c r="B8" s="166">
        <f>B7+1</f>
        <v>2</v>
      </c>
      <c r="C8" s="539" t="s">
        <v>62</v>
      </c>
      <c r="D8" s="540"/>
      <c r="E8" s="541"/>
      <c r="F8" s="257"/>
      <c r="G8" s="257"/>
      <c r="H8" s="257"/>
      <c r="I8" s="257"/>
      <c r="J8" s="287">
        <v>10</v>
      </c>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c r="BA8" s="285"/>
      <c r="BB8" s="285"/>
      <c r="BC8" s="285"/>
      <c r="BD8" s="285"/>
      <c r="BE8" s="285"/>
      <c r="BF8" s="286"/>
      <c r="BG8" s="286"/>
      <c r="BH8" s="286"/>
      <c r="BI8" s="286"/>
      <c r="BJ8" s="288"/>
      <c r="BK8" s="289"/>
      <c r="BL8" s="115"/>
      <c r="BM8" s="279">
        <v>3</v>
      </c>
      <c r="BN8" s="280">
        <f>BM8*BN6*J8</f>
        <v>90</v>
      </c>
      <c r="BO8" s="281">
        <f>6*J8</f>
        <v>60</v>
      </c>
      <c r="BP8" s="282">
        <v>18.18</v>
      </c>
      <c r="BQ8" s="282">
        <f t="shared" ref="BQ8:BQ39" si="0">BO8*BP8</f>
        <v>1090.8</v>
      </c>
      <c r="BR8" s="283">
        <f>7*J8</f>
        <v>70</v>
      </c>
      <c r="BS8" s="283">
        <v>7.58</v>
      </c>
      <c r="BT8" s="283">
        <f t="shared" ref="BT8:BT39" si="1">BR8*BS8</f>
        <v>530.6</v>
      </c>
    </row>
    <row r="9" spans="1:72" s="9" customFormat="1" ht="25.15" customHeight="1" thickBot="1" x14ac:dyDescent="0.4">
      <c r="B9" s="166">
        <f>B8+1</f>
        <v>3</v>
      </c>
      <c r="C9" s="539" t="s">
        <v>389</v>
      </c>
      <c r="D9" s="540"/>
      <c r="E9" s="541"/>
      <c r="F9" s="257"/>
      <c r="G9" s="257"/>
      <c r="H9" s="257"/>
      <c r="I9" s="257"/>
      <c r="J9" s="287">
        <v>4</v>
      </c>
      <c r="K9" s="287">
        <v>4</v>
      </c>
      <c r="L9" s="287">
        <v>4</v>
      </c>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c r="AW9" s="285"/>
      <c r="AX9" s="285"/>
      <c r="AY9" s="285"/>
      <c r="AZ9" s="285"/>
      <c r="BA9" s="285"/>
      <c r="BB9" s="285"/>
      <c r="BC9" s="285"/>
      <c r="BD9" s="285"/>
      <c r="BE9" s="285"/>
      <c r="BF9" s="286"/>
      <c r="BG9" s="286"/>
      <c r="BH9" s="286"/>
      <c r="BI9" s="286"/>
      <c r="BJ9" s="288"/>
      <c r="BK9" s="289"/>
      <c r="BL9" s="115"/>
      <c r="BM9" s="279"/>
      <c r="BN9" s="280"/>
      <c r="BO9" s="281"/>
      <c r="BP9" s="282"/>
      <c r="BQ9" s="282"/>
      <c r="BR9" s="283"/>
      <c r="BS9" s="283"/>
      <c r="BT9" s="283"/>
    </row>
    <row r="10" spans="1:72" ht="21.95" customHeight="1" thickBot="1" x14ac:dyDescent="0.4">
      <c r="B10" s="148"/>
      <c r="C10" s="555" t="s">
        <v>228</v>
      </c>
      <c r="D10" s="556"/>
      <c r="E10" s="556"/>
      <c r="F10" s="556"/>
      <c r="G10" s="556"/>
      <c r="H10" s="556"/>
      <c r="I10" s="556"/>
      <c r="J10" s="556"/>
      <c r="K10" s="556"/>
      <c r="L10" s="556"/>
      <c r="M10" s="556"/>
      <c r="N10" s="556"/>
      <c r="O10" s="556"/>
      <c r="P10" s="556"/>
      <c r="Q10" s="556"/>
      <c r="R10" s="556"/>
      <c r="S10" s="556"/>
      <c r="T10" s="556"/>
      <c r="U10" s="556"/>
      <c r="V10" s="556"/>
      <c r="W10" s="556"/>
      <c r="X10" s="556"/>
      <c r="Y10" s="556"/>
      <c r="Z10" s="556"/>
      <c r="AA10" s="556"/>
      <c r="AB10" s="556"/>
      <c r="AC10" s="556"/>
      <c r="AD10" s="556"/>
      <c r="AE10" s="556"/>
      <c r="AF10" s="556"/>
      <c r="AG10" s="556"/>
      <c r="AH10" s="556"/>
      <c r="AI10" s="556"/>
      <c r="AJ10" s="556"/>
      <c r="AK10" s="556"/>
      <c r="AL10" s="556"/>
      <c r="AM10" s="556"/>
      <c r="AN10" s="556"/>
      <c r="AO10" s="556"/>
      <c r="AP10" s="556"/>
      <c r="AQ10" s="556"/>
      <c r="AR10" s="556"/>
      <c r="AS10" s="556"/>
      <c r="AT10" s="556"/>
      <c r="AU10" s="556"/>
      <c r="AV10" s="556"/>
      <c r="AW10" s="556"/>
      <c r="AX10" s="556"/>
      <c r="AY10" s="556"/>
      <c r="AZ10" s="556"/>
      <c r="BA10" s="556"/>
      <c r="BB10" s="556"/>
      <c r="BC10" s="556"/>
      <c r="BD10" s="556"/>
      <c r="BE10" s="556"/>
      <c r="BF10" s="556"/>
      <c r="BG10" s="556"/>
      <c r="BH10" s="556"/>
      <c r="BI10" s="556"/>
      <c r="BJ10" s="556"/>
      <c r="BK10" s="557"/>
      <c r="BL10" s="115"/>
      <c r="BM10" s="279"/>
      <c r="BN10" s="280"/>
      <c r="BO10" s="281"/>
      <c r="BP10" s="282"/>
      <c r="BQ10" s="282"/>
      <c r="BR10" s="283"/>
      <c r="BS10" s="283"/>
      <c r="BT10" s="283"/>
    </row>
    <row r="11" spans="1:72" ht="87" customHeight="1" thickBot="1" x14ac:dyDescent="0.4">
      <c r="B11" s="166">
        <f>B9+1</f>
        <v>4</v>
      </c>
      <c r="C11" s="539" t="s">
        <v>229</v>
      </c>
      <c r="D11" s="540"/>
      <c r="E11" s="541"/>
      <c r="F11" s="260"/>
      <c r="G11" s="260"/>
      <c r="H11" s="260"/>
      <c r="I11" s="260"/>
      <c r="J11" s="290">
        <v>5</v>
      </c>
      <c r="K11" s="290">
        <v>5</v>
      </c>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c r="AW11" s="291"/>
      <c r="AX11" s="291"/>
      <c r="AY11" s="291"/>
      <c r="AZ11" s="291"/>
      <c r="BA11" s="291"/>
      <c r="BB11" s="291"/>
      <c r="BC11" s="291"/>
      <c r="BD11" s="291"/>
      <c r="BE11" s="291"/>
      <c r="BF11" s="286"/>
      <c r="BG11" s="286"/>
      <c r="BH11" s="286"/>
      <c r="BI11" s="286"/>
      <c r="BJ11" s="292"/>
      <c r="BK11" s="293"/>
      <c r="BL11" s="115"/>
      <c r="BM11" s="279">
        <v>12</v>
      </c>
      <c r="BN11" s="280">
        <f>2*BN6*7*BM11</f>
        <v>504</v>
      </c>
      <c r="BO11" s="281">
        <f>7*2*6</f>
        <v>84</v>
      </c>
      <c r="BP11" s="282">
        <v>18.18</v>
      </c>
      <c r="BQ11" s="282">
        <f t="shared" si="0"/>
        <v>1527.12</v>
      </c>
      <c r="BR11" s="283">
        <f>7*2*7</f>
        <v>98</v>
      </c>
      <c r="BS11" s="283">
        <v>7.58</v>
      </c>
      <c r="BT11" s="283">
        <f t="shared" si="1"/>
        <v>742.84</v>
      </c>
    </row>
    <row r="12" spans="1:72" ht="60.75" customHeight="1" thickBot="1" x14ac:dyDescent="0.4">
      <c r="B12" s="166">
        <f t="shared" ref="B12:B14" si="2">B11+1</f>
        <v>5</v>
      </c>
      <c r="C12" s="539" t="s">
        <v>84</v>
      </c>
      <c r="D12" s="540"/>
      <c r="E12" s="541"/>
      <c r="F12" s="264"/>
      <c r="G12" s="264"/>
      <c r="H12" s="264"/>
      <c r="I12" s="264"/>
      <c r="J12" s="294">
        <v>2</v>
      </c>
      <c r="K12" s="294">
        <v>2</v>
      </c>
      <c r="L12" s="294">
        <v>2</v>
      </c>
      <c r="M12" s="295"/>
      <c r="N12" s="295"/>
      <c r="O12" s="295"/>
      <c r="P12" s="295"/>
      <c r="Q12" s="295"/>
      <c r="R12" s="295"/>
      <c r="S12" s="295"/>
      <c r="T12" s="295"/>
      <c r="U12" s="295"/>
      <c r="V12" s="295"/>
      <c r="W12" s="295"/>
      <c r="X12" s="295"/>
      <c r="Y12" s="295"/>
      <c r="Z12" s="295"/>
      <c r="AA12" s="295"/>
      <c r="AB12" s="295"/>
      <c r="AC12" s="295"/>
      <c r="AD12" s="295"/>
      <c r="AE12" s="295"/>
      <c r="AF12" s="295"/>
      <c r="AG12" s="295"/>
      <c r="AH12" s="295"/>
      <c r="AI12" s="295"/>
      <c r="AJ12" s="295"/>
      <c r="AK12" s="295"/>
      <c r="AL12" s="295"/>
      <c r="AM12" s="295"/>
      <c r="AN12" s="295"/>
      <c r="AO12" s="295"/>
      <c r="AP12" s="295"/>
      <c r="AQ12" s="295"/>
      <c r="AR12" s="295"/>
      <c r="AS12" s="295"/>
      <c r="AT12" s="295"/>
      <c r="AU12" s="295"/>
      <c r="AV12" s="295"/>
      <c r="AW12" s="295"/>
      <c r="AX12" s="295"/>
      <c r="AY12" s="295"/>
      <c r="AZ12" s="295"/>
      <c r="BA12" s="295"/>
      <c r="BB12" s="295"/>
      <c r="BC12" s="295"/>
      <c r="BD12" s="295"/>
      <c r="BE12" s="295"/>
      <c r="BF12" s="286"/>
      <c r="BG12" s="286"/>
      <c r="BH12" s="286"/>
      <c r="BI12" s="286"/>
      <c r="BJ12" s="296"/>
      <c r="BK12" s="297"/>
      <c r="BL12" s="115"/>
      <c r="BM12" s="279">
        <v>15</v>
      </c>
      <c r="BN12" s="280">
        <f>1*BN6*L12</f>
        <v>6</v>
      </c>
      <c r="BO12" s="281">
        <f>1*L12*3</f>
        <v>6</v>
      </c>
      <c r="BP12" s="282">
        <v>18.18</v>
      </c>
      <c r="BQ12" s="282">
        <f t="shared" si="0"/>
        <v>109.08</v>
      </c>
      <c r="BR12" s="283">
        <f>1*L12*3</f>
        <v>6</v>
      </c>
      <c r="BS12" s="283">
        <v>7.58</v>
      </c>
      <c r="BT12" s="283">
        <f t="shared" si="1"/>
        <v>45.480000000000004</v>
      </c>
    </row>
    <row r="13" spans="1:72" ht="42" customHeight="1" thickBot="1" x14ac:dyDescent="0.4">
      <c r="B13" s="166">
        <f t="shared" si="2"/>
        <v>6</v>
      </c>
      <c r="C13" s="539" t="s">
        <v>82</v>
      </c>
      <c r="D13" s="540"/>
      <c r="E13" s="541"/>
      <c r="F13" s="264"/>
      <c r="G13" s="264"/>
      <c r="H13" s="264"/>
      <c r="I13" s="264"/>
      <c r="J13" s="295"/>
      <c r="K13" s="312">
        <v>8</v>
      </c>
      <c r="L13" s="313">
        <v>8</v>
      </c>
      <c r="M13" s="295"/>
      <c r="N13" s="295"/>
      <c r="O13" s="295" t="s">
        <v>292</v>
      </c>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c r="AP13" s="295"/>
      <c r="AQ13" s="295"/>
      <c r="AR13" s="295"/>
      <c r="AS13" s="295"/>
      <c r="AT13" s="295"/>
      <c r="AU13" s="295"/>
      <c r="AV13" s="295"/>
      <c r="AW13" s="295"/>
      <c r="AX13" s="295"/>
      <c r="AY13" s="295"/>
      <c r="AZ13" s="295"/>
      <c r="BA13" s="295"/>
      <c r="BB13" s="295"/>
      <c r="BC13" s="295"/>
      <c r="BD13" s="295"/>
      <c r="BE13" s="295"/>
      <c r="BF13" s="286"/>
      <c r="BG13" s="286"/>
      <c r="BH13" s="286"/>
      <c r="BI13" s="286"/>
      <c r="BJ13" s="296"/>
      <c r="BK13" s="297"/>
      <c r="BL13" s="115"/>
      <c r="BM13" s="279">
        <v>12</v>
      </c>
      <c r="BN13" s="280">
        <f>BM13*L13*BN6</f>
        <v>288</v>
      </c>
      <c r="BO13" s="281">
        <f>2*6*L13</f>
        <v>96</v>
      </c>
      <c r="BP13" s="282">
        <v>18.18</v>
      </c>
      <c r="BQ13" s="282">
        <f t="shared" si="0"/>
        <v>1745.28</v>
      </c>
      <c r="BR13" s="283">
        <f>2*7*L13</f>
        <v>112</v>
      </c>
      <c r="BS13" s="283">
        <v>7.58</v>
      </c>
      <c r="BT13" s="283">
        <f t="shared" si="1"/>
        <v>848.96</v>
      </c>
    </row>
    <row r="14" spans="1:72" ht="45.75" customHeight="1" thickBot="1" x14ac:dyDescent="0.4">
      <c r="B14" s="166">
        <f t="shared" si="2"/>
        <v>7</v>
      </c>
      <c r="C14" s="539" t="s">
        <v>58</v>
      </c>
      <c r="D14" s="540"/>
      <c r="E14" s="541"/>
      <c r="F14" s="264"/>
      <c r="G14" s="264"/>
      <c r="H14" s="264"/>
      <c r="I14" s="264"/>
      <c r="J14" s="295"/>
      <c r="K14" s="295"/>
      <c r="L14" s="290">
        <v>6</v>
      </c>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c r="AM14" s="295"/>
      <c r="AN14" s="295"/>
      <c r="AO14" s="295"/>
      <c r="AP14" s="295"/>
      <c r="AQ14" s="295"/>
      <c r="AR14" s="295"/>
      <c r="AS14" s="295"/>
      <c r="AT14" s="295"/>
      <c r="AU14" s="295"/>
      <c r="AV14" s="295"/>
      <c r="AW14" s="295"/>
      <c r="AX14" s="295"/>
      <c r="AY14" s="295"/>
      <c r="AZ14" s="295"/>
      <c r="BA14" s="295"/>
      <c r="BB14" s="295"/>
      <c r="BC14" s="295"/>
      <c r="BD14" s="295"/>
      <c r="BE14" s="295"/>
      <c r="BF14" s="286"/>
      <c r="BG14" s="286"/>
      <c r="BH14" s="286"/>
      <c r="BI14" s="286"/>
      <c r="BJ14" s="296"/>
      <c r="BK14" s="297"/>
      <c r="BL14" s="115"/>
      <c r="BM14" s="279">
        <v>5</v>
      </c>
      <c r="BN14" s="280">
        <f>BM14*L14*BN6</f>
        <v>90</v>
      </c>
      <c r="BO14" s="281">
        <f>6*L14</f>
        <v>36</v>
      </c>
      <c r="BP14" s="282">
        <v>18.18</v>
      </c>
      <c r="BQ14" s="282">
        <f t="shared" si="0"/>
        <v>654.48</v>
      </c>
      <c r="BR14" s="283">
        <f>7*L14</f>
        <v>42</v>
      </c>
      <c r="BS14" s="283">
        <v>7.58</v>
      </c>
      <c r="BT14" s="283">
        <f t="shared" si="1"/>
        <v>318.36</v>
      </c>
    </row>
    <row r="15" spans="1:72" ht="31.15" customHeight="1" thickBot="1" x14ac:dyDescent="0.4">
      <c r="B15" s="148"/>
      <c r="C15" s="555" t="s">
        <v>249</v>
      </c>
      <c r="D15" s="556"/>
      <c r="E15" s="556"/>
      <c r="F15" s="556"/>
      <c r="G15" s="556"/>
      <c r="H15" s="556"/>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6"/>
      <c r="AG15" s="556"/>
      <c r="AH15" s="556"/>
      <c r="AI15" s="556"/>
      <c r="AJ15" s="556"/>
      <c r="AK15" s="556"/>
      <c r="AL15" s="556"/>
      <c r="AM15" s="556"/>
      <c r="AN15" s="556"/>
      <c r="AO15" s="556"/>
      <c r="AP15" s="556"/>
      <c r="AQ15" s="556"/>
      <c r="AR15" s="556"/>
      <c r="AS15" s="556"/>
      <c r="AT15" s="556"/>
      <c r="AU15" s="556"/>
      <c r="AV15" s="556"/>
      <c r="AW15" s="556"/>
      <c r="AX15" s="556"/>
      <c r="AY15" s="556"/>
      <c r="AZ15" s="556"/>
      <c r="BA15" s="556"/>
      <c r="BB15" s="556"/>
      <c r="BC15" s="556"/>
      <c r="BD15" s="556"/>
      <c r="BE15" s="556"/>
      <c r="BF15" s="556"/>
      <c r="BG15" s="556"/>
      <c r="BH15" s="556"/>
      <c r="BI15" s="556"/>
      <c r="BJ15" s="556"/>
      <c r="BK15" s="557"/>
      <c r="BL15" s="115"/>
      <c r="BM15" s="279"/>
      <c r="BN15" s="280"/>
      <c r="BO15" s="281"/>
      <c r="BP15" s="282"/>
      <c r="BQ15" s="282"/>
      <c r="BR15" s="283"/>
      <c r="BS15" s="283"/>
      <c r="BT15" s="283"/>
    </row>
    <row r="16" spans="1:72" ht="21.95" customHeight="1" thickBot="1" x14ac:dyDescent="0.4">
      <c r="B16" s="166">
        <f>B14+1</f>
        <v>8</v>
      </c>
      <c r="C16" s="558" t="s">
        <v>233</v>
      </c>
      <c r="D16" s="559"/>
      <c r="E16" s="560"/>
      <c r="F16" s="268"/>
      <c r="G16" s="268"/>
      <c r="H16" s="268"/>
      <c r="I16" s="268"/>
      <c r="J16" s="268"/>
      <c r="K16" s="285"/>
      <c r="L16" s="287">
        <v>1</v>
      </c>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c r="AW16" s="285"/>
      <c r="AX16" s="285"/>
      <c r="AY16" s="285"/>
      <c r="AZ16" s="285"/>
      <c r="BA16" s="285"/>
      <c r="BB16" s="285"/>
      <c r="BC16" s="285"/>
      <c r="BD16" s="285"/>
      <c r="BE16" s="285"/>
      <c r="BF16" s="286"/>
      <c r="BG16" s="286"/>
      <c r="BH16" s="286"/>
      <c r="BI16" s="286"/>
      <c r="BJ16" s="288"/>
      <c r="BK16" s="289"/>
      <c r="BL16" s="115"/>
      <c r="BM16" s="279">
        <v>6</v>
      </c>
      <c r="BN16" s="280">
        <f>BN6*BM16*L16</f>
        <v>18</v>
      </c>
      <c r="BO16" s="281">
        <f>6*L16</f>
        <v>6</v>
      </c>
      <c r="BP16" s="282">
        <v>18.18</v>
      </c>
      <c r="BQ16" s="282">
        <f t="shared" si="0"/>
        <v>109.08</v>
      </c>
      <c r="BR16" s="283">
        <f>7*L16</f>
        <v>7</v>
      </c>
      <c r="BS16" s="283">
        <v>7.58</v>
      </c>
      <c r="BT16" s="283">
        <f t="shared" si="1"/>
        <v>53.06</v>
      </c>
    </row>
    <row r="17" spans="2:72" ht="35.25" customHeight="1" thickBot="1" x14ac:dyDescent="0.4">
      <c r="B17" s="166">
        <f>B16+1</f>
        <v>9</v>
      </c>
      <c r="C17" s="539" t="s">
        <v>235</v>
      </c>
      <c r="D17" s="540"/>
      <c r="E17" s="554"/>
      <c r="F17" s="260"/>
      <c r="G17" s="260"/>
      <c r="H17" s="260" t="s">
        <v>292</v>
      </c>
      <c r="I17" s="260"/>
      <c r="J17" s="285"/>
      <c r="K17" s="285"/>
      <c r="L17" s="285"/>
      <c r="M17" s="287">
        <v>3</v>
      </c>
      <c r="N17" s="287">
        <v>3</v>
      </c>
      <c r="O17" s="287">
        <v>3</v>
      </c>
      <c r="P17" s="287">
        <v>3</v>
      </c>
      <c r="Q17" s="287">
        <v>3</v>
      </c>
      <c r="R17" s="287">
        <v>3</v>
      </c>
      <c r="S17" s="287">
        <v>3</v>
      </c>
      <c r="T17" s="287">
        <v>3</v>
      </c>
      <c r="U17" s="287">
        <v>3</v>
      </c>
      <c r="V17" s="287">
        <v>3</v>
      </c>
      <c r="W17" s="287">
        <v>3</v>
      </c>
      <c r="X17" s="287">
        <v>3</v>
      </c>
      <c r="Y17" s="287">
        <v>3</v>
      </c>
      <c r="Z17" s="287">
        <v>3</v>
      </c>
      <c r="AA17" s="287">
        <v>3</v>
      </c>
      <c r="AB17" s="287">
        <v>3</v>
      </c>
      <c r="AC17" s="287">
        <v>3</v>
      </c>
      <c r="AD17" s="287">
        <v>3</v>
      </c>
      <c r="AE17" s="287">
        <v>3</v>
      </c>
      <c r="AF17" s="287">
        <v>3</v>
      </c>
      <c r="AG17" s="287">
        <v>3</v>
      </c>
      <c r="AH17" s="287">
        <v>3</v>
      </c>
      <c r="AI17" s="287">
        <v>3</v>
      </c>
      <c r="AJ17" s="287">
        <v>3</v>
      </c>
      <c r="AK17" s="287">
        <v>3</v>
      </c>
      <c r="AL17" s="287">
        <v>3</v>
      </c>
      <c r="AM17" s="287">
        <v>3</v>
      </c>
      <c r="AN17" s="287">
        <v>3</v>
      </c>
      <c r="AO17" s="287">
        <v>3</v>
      </c>
      <c r="AP17" s="287">
        <v>3</v>
      </c>
      <c r="AQ17" s="287">
        <v>3</v>
      </c>
      <c r="AR17" s="287">
        <v>3</v>
      </c>
      <c r="AS17" s="287">
        <v>3</v>
      </c>
      <c r="AT17" s="287">
        <v>3</v>
      </c>
      <c r="AU17" s="287">
        <v>3</v>
      </c>
      <c r="AV17" s="287">
        <v>3</v>
      </c>
      <c r="AW17" s="287">
        <v>3</v>
      </c>
      <c r="AX17" s="287">
        <v>3</v>
      </c>
      <c r="AY17" s="287">
        <v>3</v>
      </c>
      <c r="AZ17" s="287">
        <v>3</v>
      </c>
      <c r="BA17" s="287">
        <v>3</v>
      </c>
      <c r="BB17" s="285"/>
      <c r="BC17" s="285"/>
      <c r="BD17" s="285"/>
      <c r="BE17" s="285"/>
      <c r="BF17" s="286"/>
      <c r="BG17" s="286"/>
      <c r="BH17" s="286"/>
      <c r="BI17" s="286"/>
      <c r="BJ17" s="288"/>
      <c r="BK17" s="289"/>
      <c r="BL17" s="115"/>
      <c r="BM17" s="279">
        <f>41*7</f>
        <v>287</v>
      </c>
      <c r="BN17" s="280">
        <f>AP17*BM17*BN6</f>
        <v>2583</v>
      </c>
      <c r="BO17" s="281">
        <f>41*6*AP17</f>
        <v>738</v>
      </c>
      <c r="BP17" s="282">
        <v>18.18</v>
      </c>
      <c r="BQ17" s="282">
        <f t="shared" si="0"/>
        <v>13416.84</v>
      </c>
      <c r="BR17" s="283">
        <f>41*7*AP17</f>
        <v>861</v>
      </c>
      <c r="BS17" s="283">
        <v>7.58</v>
      </c>
      <c r="BT17" s="283">
        <f t="shared" si="1"/>
        <v>6526.38</v>
      </c>
    </row>
    <row r="18" spans="2:72" ht="27" customHeight="1" thickBot="1" x14ac:dyDescent="0.4">
      <c r="B18" s="166">
        <f t="shared" ref="B18:B20" si="3">B17+1</f>
        <v>10</v>
      </c>
      <c r="C18" s="558" t="s">
        <v>84</v>
      </c>
      <c r="D18" s="559"/>
      <c r="E18" s="560"/>
      <c r="F18" s="269"/>
      <c r="G18" s="269"/>
      <c r="H18" s="269"/>
      <c r="I18" s="269"/>
      <c r="J18" s="285"/>
      <c r="K18" s="285"/>
      <c r="L18" s="285"/>
      <c r="M18" s="287">
        <v>2</v>
      </c>
      <c r="N18" s="287">
        <v>2</v>
      </c>
      <c r="O18" s="287">
        <v>2</v>
      </c>
      <c r="P18" s="287">
        <v>2</v>
      </c>
      <c r="Q18" s="287">
        <v>2</v>
      </c>
      <c r="R18" s="287">
        <v>2</v>
      </c>
      <c r="S18" s="287">
        <v>2</v>
      </c>
      <c r="T18" s="287">
        <v>2</v>
      </c>
      <c r="U18" s="287">
        <v>2</v>
      </c>
      <c r="V18" s="287">
        <v>2</v>
      </c>
      <c r="W18" s="287">
        <v>2</v>
      </c>
      <c r="X18" s="287">
        <v>2</v>
      </c>
      <c r="Y18" s="287">
        <v>2</v>
      </c>
      <c r="Z18" s="287">
        <v>2</v>
      </c>
      <c r="AA18" s="287">
        <v>2</v>
      </c>
      <c r="AB18" s="287">
        <v>2</v>
      </c>
      <c r="AC18" s="287">
        <v>2</v>
      </c>
      <c r="AD18" s="287">
        <v>2</v>
      </c>
      <c r="AE18" s="287">
        <v>2</v>
      </c>
      <c r="AF18" s="287">
        <v>2</v>
      </c>
      <c r="AG18" s="287">
        <v>2</v>
      </c>
      <c r="AH18" s="287">
        <v>2</v>
      </c>
      <c r="AI18" s="287">
        <v>2</v>
      </c>
      <c r="AJ18" s="287">
        <v>2</v>
      </c>
      <c r="AK18" s="287">
        <v>2</v>
      </c>
      <c r="AL18" s="287">
        <v>2</v>
      </c>
      <c r="AM18" s="287">
        <v>2</v>
      </c>
      <c r="AN18" s="287">
        <v>2</v>
      </c>
      <c r="AO18" s="287">
        <v>2</v>
      </c>
      <c r="AP18" s="287">
        <v>2</v>
      </c>
      <c r="AQ18" s="287">
        <v>2</v>
      </c>
      <c r="AR18" s="287">
        <v>2</v>
      </c>
      <c r="AS18" s="287">
        <v>2</v>
      </c>
      <c r="AT18" s="287">
        <v>2</v>
      </c>
      <c r="AU18" s="287">
        <v>2</v>
      </c>
      <c r="AV18" s="287">
        <v>2</v>
      </c>
      <c r="AW18" s="287">
        <v>2</v>
      </c>
      <c r="AX18" s="287">
        <v>2</v>
      </c>
      <c r="AY18" s="287">
        <v>2</v>
      </c>
      <c r="AZ18" s="287">
        <v>2</v>
      </c>
      <c r="BA18" s="287">
        <v>2</v>
      </c>
      <c r="BB18" s="285"/>
      <c r="BC18" s="285"/>
      <c r="BD18" s="285"/>
      <c r="BE18" s="285"/>
      <c r="BF18" s="286"/>
      <c r="BG18" s="286"/>
      <c r="BH18" s="286"/>
      <c r="BI18" s="286"/>
      <c r="BJ18" s="288"/>
      <c r="BK18" s="289"/>
      <c r="BL18" s="115">
        <f>13*6</f>
        <v>78</v>
      </c>
      <c r="BM18" s="279">
        <f>BM17</f>
        <v>287</v>
      </c>
      <c r="BN18" s="280">
        <f>AP18*BM18*BN6</f>
        <v>1722</v>
      </c>
      <c r="BO18" s="281">
        <f>41*AP18*6</f>
        <v>492</v>
      </c>
      <c r="BP18" s="282">
        <v>18.18</v>
      </c>
      <c r="BQ18" s="282">
        <f t="shared" si="0"/>
        <v>8944.56</v>
      </c>
      <c r="BR18" s="283">
        <f>41*7*AP18</f>
        <v>574</v>
      </c>
      <c r="BS18" s="283">
        <v>7.58</v>
      </c>
      <c r="BT18" s="283">
        <f t="shared" si="1"/>
        <v>4350.92</v>
      </c>
    </row>
    <row r="19" spans="2:72" ht="28.15" customHeight="1" thickBot="1" x14ac:dyDescent="0.4">
      <c r="B19" s="166">
        <f t="shared" si="3"/>
        <v>11</v>
      </c>
      <c r="C19" s="558" t="s">
        <v>293</v>
      </c>
      <c r="D19" s="559"/>
      <c r="E19" s="564"/>
      <c r="F19" s="269"/>
      <c r="G19" s="269"/>
      <c r="H19" s="269"/>
      <c r="I19" s="269"/>
      <c r="J19" s="285" t="s">
        <v>292</v>
      </c>
      <c r="K19" s="285" t="s">
        <v>292</v>
      </c>
      <c r="L19" s="285" t="s">
        <v>292</v>
      </c>
      <c r="M19" s="287">
        <v>3</v>
      </c>
      <c r="N19" s="287">
        <v>3</v>
      </c>
      <c r="O19" s="287">
        <v>3</v>
      </c>
      <c r="P19" s="287">
        <v>3</v>
      </c>
      <c r="Q19" s="287">
        <v>3</v>
      </c>
      <c r="R19" s="287">
        <v>3</v>
      </c>
      <c r="S19" s="287">
        <v>3</v>
      </c>
      <c r="T19" s="287">
        <v>3</v>
      </c>
      <c r="U19" s="287">
        <v>3</v>
      </c>
      <c r="V19" s="287">
        <v>3</v>
      </c>
      <c r="W19" s="287">
        <v>3</v>
      </c>
      <c r="X19" s="287">
        <v>3</v>
      </c>
      <c r="Y19" s="287">
        <v>3</v>
      </c>
      <c r="Z19" s="287">
        <v>3</v>
      </c>
      <c r="AA19" s="287">
        <v>3</v>
      </c>
      <c r="AB19" s="287">
        <v>3</v>
      </c>
      <c r="AC19" s="287">
        <v>3</v>
      </c>
      <c r="AD19" s="287">
        <v>3</v>
      </c>
      <c r="AE19" s="287">
        <v>3</v>
      </c>
      <c r="AF19" s="287">
        <v>3</v>
      </c>
      <c r="AG19" s="287">
        <v>3</v>
      </c>
      <c r="AH19" s="287">
        <v>3</v>
      </c>
      <c r="AI19" s="287">
        <v>3</v>
      </c>
      <c r="AJ19" s="287">
        <v>3</v>
      </c>
      <c r="AK19" s="287">
        <v>3</v>
      </c>
      <c r="AL19" s="287">
        <v>3</v>
      </c>
      <c r="AM19" s="287">
        <v>3</v>
      </c>
      <c r="AN19" s="287">
        <v>3</v>
      </c>
      <c r="AO19" s="287">
        <v>3</v>
      </c>
      <c r="AP19" s="287">
        <v>3</v>
      </c>
      <c r="AQ19" s="287">
        <v>3</v>
      </c>
      <c r="AR19" s="287">
        <v>3</v>
      </c>
      <c r="AS19" s="287">
        <v>3</v>
      </c>
      <c r="AT19" s="287">
        <v>3</v>
      </c>
      <c r="AU19" s="287">
        <v>3</v>
      </c>
      <c r="AV19" s="287">
        <v>3</v>
      </c>
      <c r="AW19" s="287">
        <v>3</v>
      </c>
      <c r="AX19" s="287">
        <v>3</v>
      </c>
      <c r="AY19" s="287">
        <v>3</v>
      </c>
      <c r="AZ19" s="287">
        <v>3</v>
      </c>
      <c r="BA19" s="287">
        <v>3</v>
      </c>
      <c r="BB19" s="285"/>
      <c r="BC19" s="285"/>
      <c r="BD19" s="285"/>
      <c r="BE19" s="285"/>
      <c r="BF19" s="286"/>
      <c r="BG19" s="286"/>
      <c r="BH19" s="286"/>
      <c r="BI19" s="286"/>
      <c r="BJ19" s="288"/>
      <c r="BK19" s="289"/>
      <c r="BL19" s="115"/>
      <c r="BM19" s="279">
        <f>BM17</f>
        <v>287</v>
      </c>
      <c r="BN19" s="280">
        <f>AP19*BM19*BN6</f>
        <v>2583</v>
      </c>
      <c r="BO19" s="281">
        <f>41*6*AP19</f>
        <v>738</v>
      </c>
      <c r="BP19" s="282">
        <v>18.18</v>
      </c>
      <c r="BQ19" s="282">
        <f t="shared" si="0"/>
        <v>13416.84</v>
      </c>
      <c r="BR19" s="283">
        <f>41*7*AP19</f>
        <v>861</v>
      </c>
      <c r="BS19" s="283">
        <v>7.58</v>
      </c>
      <c r="BT19" s="283">
        <f t="shared" si="1"/>
        <v>6526.38</v>
      </c>
    </row>
    <row r="20" spans="2:72" ht="21.95" customHeight="1" thickBot="1" x14ac:dyDescent="0.4">
      <c r="B20" s="166">
        <f t="shared" si="3"/>
        <v>12</v>
      </c>
      <c r="C20" s="558" t="s">
        <v>265</v>
      </c>
      <c r="D20" s="559"/>
      <c r="E20" s="564"/>
      <c r="F20" s="270"/>
      <c r="G20" s="270"/>
      <c r="H20" s="270"/>
      <c r="I20" s="270"/>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c r="AW20" s="285"/>
      <c r="AX20" s="285"/>
      <c r="AY20" s="285"/>
      <c r="AZ20" s="285"/>
      <c r="BA20" s="285"/>
      <c r="BB20" s="285"/>
      <c r="BC20" s="285"/>
      <c r="BD20" s="285"/>
      <c r="BE20" s="285"/>
      <c r="BF20" s="286"/>
      <c r="BG20" s="286"/>
      <c r="BH20" s="286"/>
      <c r="BI20" s="286"/>
      <c r="BJ20" s="288"/>
      <c r="BK20" s="289"/>
      <c r="BL20" s="115"/>
      <c r="BM20" s="279"/>
      <c r="BN20" s="280"/>
      <c r="BO20" s="281"/>
      <c r="BP20" s="282"/>
      <c r="BQ20" s="282"/>
      <c r="BR20" s="283"/>
      <c r="BS20" s="283"/>
      <c r="BT20" s="283"/>
    </row>
    <row r="21" spans="2:72" s="9" customFormat="1" ht="21.95" customHeight="1" thickBot="1" x14ac:dyDescent="0.4">
      <c r="B21" s="166"/>
      <c r="C21" s="555" t="s">
        <v>250</v>
      </c>
      <c r="D21" s="556"/>
      <c r="E21" s="556"/>
      <c r="F21" s="556"/>
      <c r="G21" s="556"/>
      <c r="H21" s="556"/>
      <c r="I21" s="556"/>
      <c r="J21" s="556"/>
      <c r="K21" s="556"/>
      <c r="L21" s="556"/>
      <c r="M21" s="556"/>
      <c r="N21" s="556"/>
      <c r="O21" s="556"/>
      <c r="P21" s="556"/>
      <c r="Q21" s="556"/>
      <c r="R21" s="556"/>
      <c r="S21" s="556"/>
      <c r="T21" s="556"/>
      <c r="U21" s="556"/>
      <c r="V21" s="556"/>
      <c r="W21" s="556"/>
      <c r="X21" s="556"/>
      <c r="Y21" s="556"/>
      <c r="Z21" s="556"/>
      <c r="AA21" s="556"/>
      <c r="AB21" s="556"/>
      <c r="AC21" s="556"/>
      <c r="AD21" s="556"/>
      <c r="AE21" s="556"/>
      <c r="AF21" s="556"/>
      <c r="AG21" s="556"/>
      <c r="AH21" s="556"/>
      <c r="AI21" s="556"/>
      <c r="AJ21" s="556"/>
      <c r="AK21" s="556"/>
      <c r="AL21" s="556"/>
      <c r="AM21" s="556"/>
      <c r="AN21" s="556"/>
      <c r="AO21" s="556"/>
      <c r="AP21" s="556"/>
      <c r="AQ21" s="556"/>
      <c r="AR21" s="556"/>
      <c r="AS21" s="556"/>
      <c r="AT21" s="556"/>
      <c r="AU21" s="556"/>
      <c r="AV21" s="556"/>
      <c r="AW21" s="556"/>
      <c r="AX21" s="556"/>
      <c r="AY21" s="556"/>
      <c r="AZ21" s="556"/>
      <c r="BA21" s="556"/>
      <c r="BB21" s="556"/>
      <c r="BC21" s="556"/>
      <c r="BD21" s="556"/>
      <c r="BE21" s="556"/>
      <c r="BF21" s="556"/>
      <c r="BG21" s="556"/>
      <c r="BH21" s="556"/>
      <c r="BI21" s="556"/>
      <c r="BJ21" s="556"/>
      <c r="BK21" s="557"/>
      <c r="BL21" s="115"/>
      <c r="BM21" s="279"/>
      <c r="BN21" s="280"/>
      <c r="BO21" s="281"/>
      <c r="BP21" s="282"/>
      <c r="BQ21" s="282"/>
      <c r="BR21" s="283"/>
      <c r="BS21" s="283"/>
      <c r="BT21" s="283"/>
    </row>
    <row r="22" spans="2:72" ht="78.75" customHeight="1" thickBot="1" x14ac:dyDescent="0.4">
      <c r="B22" s="166">
        <f>B20+1</f>
        <v>13</v>
      </c>
      <c r="C22" s="539" t="s">
        <v>237</v>
      </c>
      <c r="D22" s="540"/>
      <c r="E22" s="554"/>
      <c r="F22" s="260"/>
      <c r="G22" s="260"/>
      <c r="H22" s="260"/>
      <c r="I22" s="260"/>
      <c r="J22" s="285"/>
      <c r="K22" s="285"/>
      <c r="L22" s="285"/>
      <c r="M22" s="287">
        <v>2</v>
      </c>
      <c r="N22" s="287">
        <v>2</v>
      </c>
      <c r="O22" s="287">
        <v>2</v>
      </c>
      <c r="P22" s="287">
        <v>2</v>
      </c>
      <c r="Q22" s="287">
        <v>2</v>
      </c>
      <c r="R22" s="287">
        <v>2</v>
      </c>
      <c r="S22" s="287">
        <v>2</v>
      </c>
      <c r="T22" s="287">
        <v>2</v>
      </c>
      <c r="U22" s="287">
        <v>2</v>
      </c>
      <c r="V22" s="287">
        <v>2</v>
      </c>
      <c r="W22" s="287">
        <v>2</v>
      </c>
      <c r="X22" s="287">
        <v>2</v>
      </c>
      <c r="Y22" s="287">
        <v>2</v>
      </c>
      <c r="Z22" s="287">
        <v>2</v>
      </c>
      <c r="AA22" s="287">
        <v>2</v>
      </c>
      <c r="AB22" s="287">
        <v>2</v>
      </c>
      <c r="AC22" s="287">
        <v>2</v>
      </c>
      <c r="AD22" s="287">
        <v>2</v>
      </c>
      <c r="AE22" s="287">
        <v>2</v>
      </c>
      <c r="AF22" s="287">
        <v>2</v>
      </c>
      <c r="AG22" s="287">
        <v>2</v>
      </c>
      <c r="AH22" s="287">
        <v>2</v>
      </c>
      <c r="AI22" s="287">
        <v>2</v>
      </c>
      <c r="AJ22" s="287">
        <v>2</v>
      </c>
      <c r="AK22" s="287">
        <v>2</v>
      </c>
      <c r="AL22" s="287">
        <v>2</v>
      </c>
      <c r="AM22" s="287">
        <v>2</v>
      </c>
      <c r="AN22" s="287">
        <v>2</v>
      </c>
      <c r="AO22" s="287">
        <v>2</v>
      </c>
      <c r="AP22" s="287">
        <v>2</v>
      </c>
      <c r="AQ22" s="287">
        <v>2</v>
      </c>
      <c r="AR22" s="287">
        <v>2</v>
      </c>
      <c r="AS22" s="287">
        <v>2</v>
      </c>
      <c r="AT22" s="287">
        <v>2</v>
      </c>
      <c r="AU22" s="287">
        <v>2</v>
      </c>
      <c r="AV22" s="287">
        <v>2</v>
      </c>
      <c r="AW22" s="287">
        <v>2</v>
      </c>
      <c r="AX22" s="287">
        <v>2</v>
      </c>
      <c r="AY22" s="287">
        <v>2</v>
      </c>
      <c r="AZ22" s="287">
        <v>2</v>
      </c>
      <c r="BA22" s="287">
        <v>2</v>
      </c>
      <c r="BB22" s="287">
        <v>2</v>
      </c>
      <c r="BC22" s="287">
        <v>2</v>
      </c>
      <c r="BD22" s="287">
        <v>2</v>
      </c>
      <c r="BE22" s="285"/>
      <c r="BF22" s="286"/>
      <c r="BG22" s="286"/>
      <c r="BH22" s="286"/>
      <c r="BI22" s="286"/>
      <c r="BJ22" s="286"/>
      <c r="BK22" s="286"/>
      <c r="BL22" s="115"/>
      <c r="BM22" s="279">
        <f>44*7</f>
        <v>308</v>
      </c>
      <c r="BN22" s="280">
        <f>BM22*BN6*AS22</f>
        <v>1848</v>
      </c>
      <c r="BO22" s="281">
        <f t="shared" ref="BO22:BO27" si="4">44*6*AS22</f>
        <v>528</v>
      </c>
      <c r="BP22" s="282">
        <v>18.18</v>
      </c>
      <c r="BQ22" s="282">
        <f t="shared" si="0"/>
        <v>9599.0399999999991</v>
      </c>
      <c r="BR22" s="283">
        <f>44*7*AS22</f>
        <v>616</v>
      </c>
      <c r="BS22" s="283">
        <v>7.58</v>
      </c>
      <c r="BT22" s="283">
        <f t="shared" si="1"/>
        <v>4669.28</v>
      </c>
    </row>
    <row r="23" spans="2:72" ht="44.45" customHeight="1" thickBot="1" x14ac:dyDescent="0.4">
      <c r="B23" s="166">
        <f>B22+1</f>
        <v>14</v>
      </c>
      <c r="C23" s="539" t="s">
        <v>251</v>
      </c>
      <c r="D23" s="540"/>
      <c r="E23" s="541"/>
      <c r="F23" s="271"/>
      <c r="G23" s="271"/>
      <c r="H23" s="271"/>
      <c r="I23" s="271"/>
      <c r="J23" s="285"/>
      <c r="K23" s="285"/>
      <c r="L23" s="285"/>
      <c r="M23" s="287">
        <v>6</v>
      </c>
      <c r="N23" s="287">
        <v>6</v>
      </c>
      <c r="O23" s="287">
        <v>6</v>
      </c>
      <c r="P23" s="287">
        <v>6</v>
      </c>
      <c r="Q23" s="287">
        <v>6</v>
      </c>
      <c r="R23" s="287">
        <v>6</v>
      </c>
      <c r="S23" s="287">
        <v>6</v>
      </c>
      <c r="T23" s="287">
        <v>6</v>
      </c>
      <c r="U23" s="287">
        <f>$T$31</f>
        <v>2</v>
      </c>
      <c r="V23" s="287">
        <f t="shared" ref="V23:AP23" si="5">$T$31</f>
        <v>2</v>
      </c>
      <c r="W23" s="287">
        <f t="shared" si="5"/>
        <v>2</v>
      </c>
      <c r="X23" s="287">
        <f t="shared" si="5"/>
        <v>2</v>
      </c>
      <c r="Y23" s="287">
        <f t="shared" si="5"/>
        <v>2</v>
      </c>
      <c r="Z23" s="287">
        <f t="shared" si="5"/>
        <v>2</v>
      </c>
      <c r="AA23" s="287">
        <f t="shared" si="5"/>
        <v>2</v>
      </c>
      <c r="AB23" s="287">
        <f t="shared" si="5"/>
        <v>2</v>
      </c>
      <c r="AC23" s="287">
        <f t="shared" si="5"/>
        <v>2</v>
      </c>
      <c r="AD23" s="287">
        <f t="shared" si="5"/>
        <v>2</v>
      </c>
      <c r="AE23" s="287">
        <f t="shared" si="5"/>
        <v>2</v>
      </c>
      <c r="AF23" s="287">
        <f t="shared" si="5"/>
        <v>2</v>
      </c>
      <c r="AG23" s="287">
        <f t="shared" si="5"/>
        <v>2</v>
      </c>
      <c r="AH23" s="287">
        <f t="shared" si="5"/>
        <v>2</v>
      </c>
      <c r="AI23" s="287">
        <f t="shared" si="5"/>
        <v>2</v>
      </c>
      <c r="AJ23" s="287">
        <f t="shared" si="5"/>
        <v>2</v>
      </c>
      <c r="AK23" s="287">
        <f t="shared" si="5"/>
        <v>2</v>
      </c>
      <c r="AL23" s="287">
        <f t="shared" si="5"/>
        <v>2</v>
      </c>
      <c r="AM23" s="287">
        <f t="shared" si="5"/>
        <v>2</v>
      </c>
      <c r="AN23" s="287">
        <f t="shared" si="5"/>
        <v>2</v>
      </c>
      <c r="AO23" s="287">
        <f t="shared" si="5"/>
        <v>2</v>
      </c>
      <c r="AP23" s="287">
        <f t="shared" si="5"/>
        <v>2</v>
      </c>
      <c r="AQ23" s="287">
        <v>6</v>
      </c>
      <c r="AR23" s="287">
        <v>6</v>
      </c>
      <c r="AS23" s="287">
        <v>6</v>
      </c>
      <c r="AT23" s="287">
        <v>6</v>
      </c>
      <c r="AU23" s="287">
        <v>6</v>
      </c>
      <c r="AV23" s="287">
        <v>6</v>
      </c>
      <c r="AW23" s="287">
        <v>6</v>
      </c>
      <c r="AX23" s="287">
        <v>6</v>
      </c>
      <c r="AY23" s="287">
        <v>6</v>
      </c>
      <c r="AZ23" s="287">
        <v>6</v>
      </c>
      <c r="BA23" s="287">
        <v>6</v>
      </c>
      <c r="BB23" s="287">
        <v>6</v>
      </c>
      <c r="BC23" s="287">
        <v>6</v>
      </c>
      <c r="BD23" s="287">
        <v>6</v>
      </c>
      <c r="BE23" s="285"/>
      <c r="BF23" s="286"/>
      <c r="BG23" s="286"/>
      <c r="BH23" s="286"/>
      <c r="BI23" s="286"/>
      <c r="BJ23" s="286"/>
      <c r="BK23" s="286"/>
      <c r="BL23" s="115">
        <f>16*6</f>
        <v>96</v>
      </c>
      <c r="BM23" s="279">
        <v>308</v>
      </c>
      <c r="BN23" s="280">
        <f>AS23*BN6*BM23</f>
        <v>5544</v>
      </c>
      <c r="BO23" s="281">
        <f t="shared" si="4"/>
        <v>1584</v>
      </c>
      <c r="BP23" s="282">
        <v>18.18</v>
      </c>
      <c r="BQ23" s="282">
        <f>BO23*BP23</f>
        <v>28797.119999999999</v>
      </c>
      <c r="BR23" s="283">
        <f>44*7*AS23</f>
        <v>1848</v>
      </c>
      <c r="BS23" s="283">
        <v>7.58</v>
      </c>
      <c r="BT23" s="283">
        <f t="shared" si="1"/>
        <v>14007.84</v>
      </c>
    </row>
    <row r="24" spans="2:72" ht="90.75" customHeight="1" thickBot="1" x14ac:dyDescent="0.4">
      <c r="B24" s="166">
        <f t="shared" ref="B24:B27" si="6">B23+1</f>
        <v>15</v>
      </c>
      <c r="C24" s="539" t="s">
        <v>240</v>
      </c>
      <c r="D24" s="540"/>
      <c r="E24" s="541"/>
      <c r="F24" s="257"/>
      <c r="G24" s="257"/>
      <c r="H24" s="257"/>
      <c r="I24" s="257"/>
      <c r="J24" s="285"/>
      <c r="K24" s="285"/>
      <c r="L24" s="285"/>
      <c r="M24" s="287">
        <v>2</v>
      </c>
      <c r="N24" s="287">
        <v>2</v>
      </c>
      <c r="O24" s="287">
        <v>2</v>
      </c>
      <c r="P24" s="287">
        <v>2</v>
      </c>
      <c r="Q24" s="287">
        <v>2</v>
      </c>
      <c r="R24" s="287">
        <v>2</v>
      </c>
      <c r="S24" s="287">
        <v>2</v>
      </c>
      <c r="T24" s="287">
        <v>2</v>
      </c>
      <c r="U24" s="287">
        <v>2</v>
      </c>
      <c r="V24" s="287">
        <v>2</v>
      </c>
      <c r="W24" s="287">
        <v>2</v>
      </c>
      <c r="X24" s="287">
        <v>2</v>
      </c>
      <c r="Y24" s="287">
        <v>2</v>
      </c>
      <c r="Z24" s="287">
        <v>2</v>
      </c>
      <c r="AA24" s="287">
        <v>2</v>
      </c>
      <c r="AB24" s="287">
        <v>2</v>
      </c>
      <c r="AC24" s="287">
        <v>2</v>
      </c>
      <c r="AD24" s="287">
        <v>2</v>
      </c>
      <c r="AE24" s="287">
        <v>2</v>
      </c>
      <c r="AF24" s="287">
        <v>2</v>
      </c>
      <c r="AG24" s="287">
        <v>2</v>
      </c>
      <c r="AH24" s="287">
        <v>2</v>
      </c>
      <c r="AI24" s="287">
        <v>2</v>
      </c>
      <c r="AJ24" s="287">
        <v>2</v>
      </c>
      <c r="AK24" s="287">
        <v>2</v>
      </c>
      <c r="AL24" s="287">
        <v>2</v>
      </c>
      <c r="AM24" s="287">
        <v>2</v>
      </c>
      <c r="AN24" s="287">
        <v>2</v>
      </c>
      <c r="AO24" s="287">
        <v>2</v>
      </c>
      <c r="AP24" s="287">
        <v>2</v>
      </c>
      <c r="AQ24" s="287">
        <v>2</v>
      </c>
      <c r="AR24" s="287">
        <v>2</v>
      </c>
      <c r="AS24" s="287">
        <v>2</v>
      </c>
      <c r="AT24" s="287">
        <v>2</v>
      </c>
      <c r="AU24" s="287">
        <v>2</v>
      </c>
      <c r="AV24" s="287">
        <v>2</v>
      </c>
      <c r="AW24" s="287">
        <v>2</v>
      </c>
      <c r="AX24" s="287">
        <v>2</v>
      </c>
      <c r="AY24" s="287">
        <v>2</v>
      </c>
      <c r="AZ24" s="287">
        <v>2</v>
      </c>
      <c r="BA24" s="287">
        <v>2</v>
      </c>
      <c r="BB24" s="287">
        <v>2</v>
      </c>
      <c r="BC24" s="287">
        <v>2</v>
      </c>
      <c r="BD24" s="287">
        <v>2</v>
      </c>
      <c r="BE24" s="285"/>
      <c r="BF24" s="286"/>
      <c r="BG24" s="286"/>
      <c r="BH24" s="286"/>
      <c r="BI24" s="286"/>
      <c r="BJ24" s="286"/>
      <c r="BK24" s="286" t="s">
        <v>292</v>
      </c>
      <c r="BL24" s="115"/>
      <c r="BM24" s="279">
        <v>308</v>
      </c>
      <c r="BN24" s="280">
        <f>BM24*AS24*BN6</f>
        <v>1848</v>
      </c>
      <c r="BO24" s="281">
        <f t="shared" si="4"/>
        <v>528</v>
      </c>
      <c r="BP24" s="282">
        <v>18.18</v>
      </c>
      <c r="BQ24" s="282">
        <f t="shared" si="0"/>
        <v>9599.0399999999991</v>
      </c>
      <c r="BR24" s="283">
        <f>44*7*AS24</f>
        <v>616</v>
      </c>
      <c r="BS24" s="283">
        <v>7.58</v>
      </c>
      <c r="BT24" s="283">
        <f t="shared" si="1"/>
        <v>4669.28</v>
      </c>
    </row>
    <row r="25" spans="2:72" ht="41.45" customHeight="1" thickBot="1" x14ac:dyDescent="0.4">
      <c r="B25" s="166">
        <f t="shared" si="6"/>
        <v>16</v>
      </c>
      <c r="C25" s="539" t="s">
        <v>252</v>
      </c>
      <c r="D25" s="540"/>
      <c r="E25" s="541"/>
      <c r="F25" s="257"/>
      <c r="G25" s="257"/>
      <c r="H25" s="257"/>
      <c r="I25" s="257"/>
      <c r="J25" s="285"/>
      <c r="K25" s="285"/>
      <c r="L25" s="285"/>
      <c r="M25" s="287">
        <v>2</v>
      </c>
      <c r="N25" s="287">
        <v>2</v>
      </c>
      <c r="O25" s="287">
        <v>2</v>
      </c>
      <c r="P25" s="287">
        <v>2</v>
      </c>
      <c r="Q25" s="287">
        <v>2</v>
      </c>
      <c r="R25" s="287">
        <v>2</v>
      </c>
      <c r="S25" s="287">
        <v>2</v>
      </c>
      <c r="T25" s="287">
        <v>2</v>
      </c>
      <c r="U25" s="287">
        <v>2</v>
      </c>
      <c r="V25" s="287">
        <v>2</v>
      </c>
      <c r="W25" s="287">
        <v>2</v>
      </c>
      <c r="X25" s="287">
        <v>2</v>
      </c>
      <c r="Y25" s="287">
        <v>2</v>
      </c>
      <c r="Z25" s="287">
        <v>2</v>
      </c>
      <c r="AA25" s="287">
        <v>2</v>
      </c>
      <c r="AB25" s="287">
        <v>2</v>
      </c>
      <c r="AC25" s="287">
        <v>2</v>
      </c>
      <c r="AD25" s="287">
        <v>2</v>
      </c>
      <c r="AE25" s="287">
        <v>2</v>
      </c>
      <c r="AF25" s="287">
        <v>2</v>
      </c>
      <c r="AG25" s="287">
        <v>2</v>
      </c>
      <c r="AH25" s="287">
        <v>2</v>
      </c>
      <c r="AI25" s="287">
        <v>2</v>
      </c>
      <c r="AJ25" s="287">
        <v>2</v>
      </c>
      <c r="AK25" s="287">
        <v>2</v>
      </c>
      <c r="AL25" s="287">
        <v>2</v>
      </c>
      <c r="AM25" s="287">
        <v>2</v>
      </c>
      <c r="AN25" s="287">
        <v>2</v>
      </c>
      <c r="AO25" s="287">
        <v>2</v>
      </c>
      <c r="AP25" s="287">
        <v>2</v>
      </c>
      <c r="AQ25" s="287">
        <v>2</v>
      </c>
      <c r="AR25" s="287">
        <v>2</v>
      </c>
      <c r="AS25" s="287">
        <v>2</v>
      </c>
      <c r="AT25" s="287">
        <v>2</v>
      </c>
      <c r="AU25" s="287">
        <v>2</v>
      </c>
      <c r="AV25" s="287">
        <v>2</v>
      </c>
      <c r="AW25" s="287">
        <v>2</v>
      </c>
      <c r="AX25" s="287">
        <v>2</v>
      </c>
      <c r="AY25" s="287">
        <v>2</v>
      </c>
      <c r="AZ25" s="287">
        <v>2</v>
      </c>
      <c r="BA25" s="287">
        <v>2</v>
      </c>
      <c r="BB25" s="287">
        <v>2</v>
      </c>
      <c r="BC25" s="287">
        <v>2</v>
      </c>
      <c r="BD25" s="287">
        <v>2</v>
      </c>
      <c r="BE25" s="285"/>
      <c r="BF25" s="286"/>
      <c r="BG25" s="286"/>
      <c r="BH25" s="286"/>
      <c r="BI25" s="286"/>
      <c r="BJ25" s="286"/>
      <c r="BK25" s="286"/>
      <c r="BL25" s="115"/>
      <c r="BM25" s="279">
        <v>308</v>
      </c>
      <c r="BN25" s="280">
        <f>BM25*AS25*BN6</f>
        <v>1848</v>
      </c>
      <c r="BO25" s="281">
        <f t="shared" si="4"/>
        <v>528</v>
      </c>
      <c r="BP25" s="282">
        <v>18.18</v>
      </c>
      <c r="BQ25" s="282">
        <f t="shared" si="0"/>
        <v>9599.0399999999991</v>
      </c>
      <c r="BR25" s="283">
        <f>44*7*AR25</f>
        <v>616</v>
      </c>
      <c r="BS25" s="283">
        <v>7.58</v>
      </c>
      <c r="BT25" s="283">
        <f t="shared" si="1"/>
        <v>4669.28</v>
      </c>
    </row>
    <row r="26" spans="2:72" ht="38.450000000000003" customHeight="1" thickBot="1" x14ac:dyDescent="0.4">
      <c r="B26" s="166">
        <f t="shared" si="6"/>
        <v>17</v>
      </c>
      <c r="C26" s="539" t="s">
        <v>253</v>
      </c>
      <c r="D26" s="540"/>
      <c r="E26" s="554"/>
      <c r="F26" s="257"/>
      <c r="G26" s="257"/>
      <c r="H26" s="257"/>
      <c r="I26" s="257"/>
      <c r="J26" s="285"/>
      <c r="K26" s="285"/>
      <c r="L26" s="285"/>
      <c r="M26" s="287">
        <v>3</v>
      </c>
      <c r="N26" s="287">
        <v>3</v>
      </c>
      <c r="O26" s="287">
        <v>3</v>
      </c>
      <c r="P26" s="287">
        <v>3</v>
      </c>
      <c r="Q26" s="287">
        <v>3</v>
      </c>
      <c r="R26" s="287">
        <v>3</v>
      </c>
      <c r="S26" s="287">
        <v>3</v>
      </c>
      <c r="T26" s="287">
        <v>3</v>
      </c>
      <c r="U26" s="287">
        <v>3</v>
      </c>
      <c r="V26" s="287">
        <v>3</v>
      </c>
      <c r="W26" s="287">
        <v>3</v>
      </c>
      <c r="X26" s="287">
        <v>3</v>
      </c>
      <c r="Y26" s="287">
        <v>3</v>
      </c>
      <c r="Z26" s="287">
        <v>3</v>
      </c>
      <c r="AA26" s="287">
        <v>3</v>
      </c>
      <c r="AB26" s="287">
        <v>3</v>
      </c>
      <c r="AC26" s="287">
        <v>3</v>
      </c>
      <c r="AD26" s="287">
        <v>3</v>
      </c>
      <c r="AE26" s="287">
        <v>3</v>
      </c>
      <c r="AF26" s="287">
        <v>3</v>
      </c>
      <c r="AG26" s="287">
        <v>3</v>
      </c>
      <c r="AH26" s="287">
        <v>3</v>
      </c>
      <c r="AI26" s="287">
        <v>3</v>
      </c>
      <c r="AJ26" s="287">
        <v>3</v>
      </c>
      <c r="AK26" s="287">
        <v>3</v>
      </c>
      <c r="AL26" s="287">
        <v>3</v>
      </c>
      <c r="AM26" s="287">
        <v>3</v>
      </c>
      <c r="AN26" s="287">
        <v>3</v>
      </c>
      <c r="AO26" s="287">
        <v>3</v>
      </c>
      <c r="AP26" s="287">
        <v>3</v>
      </c>
      <c r="AQ26" s="287">
        <v>3</v>
      </c>
      <c r="AR26" s="287">
        <v>3</v>
      </c>
      <c r="AS26" s="287">
        <v>3</v>
      </c>
      <c r="AT26" s="287">
        <v>3</v>
      </c>
      <c r="AU26" s="287">
        <v>3</v>
      </c>
      <c r="AV26" s="287">
        <v>3</v>
      </c>
      <c r="AW26" s="287">
        <v>3</v>
      </c>
      <c r="AX26" s="287">
        <v>3</v>
      </c>
      <c r="AY26" s="287">
        <v>3</v>
      </c>
      <c r="AZ26" s="287">
        <v>3</v>
      </c>
      <c r="BA26" s="287">
        <v>3</v>
      </c>
      <c r="BB26" s="287">
        <v>3</v>
      </c>
      <c r="BC26" s="287">
        <v>3</v>
      </c>
      <c r="BD26" s="287">
        <v>3</v>
      </c>
      <c r="BE26" s="285"/>
      <c r="BF26" s="286" t="s">
        <v>292</v>
      </c>
      <c r="BG26" s="286"/>
      <c r="BH26" s="286"/>
      <c r="BI26" s="286"/>
      <c r="BJ26" s="286"/>
      <c r="BK26" s="286"/>
      <c r="BL26" s="115"/>
      <c r="BM26" s="279">
        <v>308</v>
      </c>
      <c r="BN26" s="280">
        <f>BM26*AS26*BN6</f>
        <v>2772</v>
      </c>
      <c r="BO26" s="281">
        <f t="shared" si="4"/>
        <v>792</v>
      </c>
      <c r="BP26" s="282">
        <v>18.18</v>
      </c>
      <c r="BQ26" s="282">
        <f t="shared" si="0"/>
        <v>14398.56</v>
      </c>
      <c r="BR26" s="283">
        <f>44*7*AS26</f>
        <v>924</v>
      </c>
      <c r="BS26" s="283">
        <v>7.58</v>
      </c>
      <c r="BT26" s="283">
        <f t="shared" si="1"/>
        <v>7003.92</v>
      </c>
    </row>
    <row r="27" spans="2:72" ht="21.95" customHeight="1" thickBot="1" x14ac:dyDescent="0.4">
      <c r="B27" s="166">
        <f t="shared" si="6"/>
        <v>18</v>
      </c>
      <c r="C27" s="539" t="s">
        <v>254</v>
      </c>
      <c r="D27" s="540"/>
      <c r="E27" s="554"/>
      <c r="F27" s="257"/>
      <c r="G27" s="257"/>
      <c r="H27" s="257"/>
      <c r="I27" s="257"/>
      <c r="J27" s="285"/>
      <c r="K27" s="285"/>
      <c r="L27" s="285"/>
      <c r="M27" s="287">
        <v>3</v>
      </c>
      <c r="N27" s="287">
        <v>3</v>
      </c>
      <c r="O27" s="287">
        <v>3</v>
      </c>
      <c r="P27" s="287">
        <v>3</v>
      </c>
      <c r="Q27" s="287">
        <v>3</v>
      </c>
      <c r="R27" s="287">
        <v>3</v>
      </c>
      <c r="S27" s="287">
        <v>3</v>
      </c>
      <c r="T27" s="287">
        <v>3</v>
      </c>
      <c r="U27" s="287">
        <v>3</v>
      </c>
      <c r="V27" s="287">
        <v>3</v>
      </c>
      <c r="W27" s="287">
        <v>3</v>
      </c>
      <c r="X27" s="287">
        <v>3</v>
      </c>
      <c r="Y27" s="287">
        <v>3</v>
      </c>
      <c r="Z27" s="287">
        <v>3</v>
      </c>
      <c r="AA27" s="287">
        <v>3</v>
      </c>
      <c r="AB27" s="287">
        <v>3</v>
      </c>
      <c r="AC27" s="287">
        <v>3</v>
      </c>
      <c r="AD27" s="287">
        <v>3</v>
      </c>
      <c r="AE27" s="287">
        <v>3</v>
      </c>
      <c r="AF27" s="287">
        <v>3</v>
      </c>
      <c r="AG27" s="287">
        <v>3</v>
      </c>
      <c r="AH27" s="287">
        <v>3</v>
      </c>
      <c r="AI27" s="287">
        <v>3</v>
      </c>
      <c r="AJ27" s="287">
        <v>3</v>
      </c>
      <c r="AK27" s="287">
        <v>3</v>
      </c>
      <c r="AL27" s="287">
        <v>3</v>
      </c>
      <c r="AM27" s="287">
        <v>3</v>
      </c>
      <c r="AN27" s="287">
        <v>3</v>
      </c>
      <c r="AO27" s="287">
        <v>3</v>
      </c>
      <c r="AP27" s="287">
        <v>3</v>
      </c>
      <c r="AQ27" s="287">
        <v>3</v>
      </c>
      <c r="AR27" s="287">
        <v>3</v>
      </c>
      <c r="AS27" s="287">
        <v>3</v>
      </c>
      <c r="AT27" s="287">
        <v>3</v>
      </c>
      <c r="AU27" s="287">
        <v>3</v>
      </c>
      <c r="AV27" s="287">
        <v>3</v>
      </c>
      <c r="AW27" s="287">
        <v>3</v>
      </c>
      <c r="AX27" s="287">
        <v>3</v>
      </c>
      <c r="AY27" s="287">
        <v>3</v>
      </c>
      <c r="AZ27" s="287">
        <v>3</v>
      </c>
      <c r="BA27" s="287">
        <v>3</v>
      </c>
      <c r="BB27" s="287">
        <v>3</v>
      </c>
      <c r="BC27" s="287">
        <v>3</v>
      </c>
      <c r="BD27" s="287">
        <v>3</v>
      </c>
      <c r="BE27" s="285"/>
      <c r="BF27" s="286"/>
      <c r="BG27" s="286"/>
      <c r="BH27" s="286"/>
      <c r="BI27" s="286"/>
      <c r="BJ27" s="286"/>
      <c r="BK27" s="286"/>
      <c r="BL27" s="115"/>
      <c r="BM27" s="279">
        <v>308</v>
      </c>
      <c r="BN27" s="280">
        <f>AS27*BN6*BM27</f>
        <v>2772</v>
      </c>
      <c r="BO27" s="281">
        <f t="shared" si="4"/>
        <v>792</v>
      </c>
      <c r="BP27" s="282">
        <v>18.18</v>
      </c>
      <c r="BQ27" s="282">
        <f t="shared" si="0"/>
        <v>14398.56</v>
      </c>
      <c r="BR27" s="283">
        <f>44*7*AS27</f>
        <v>924</v>
      </c>
      <c r="BS27" s="283">
        <v>7.58</v>
      </c>
      <c r="BT27" s="283">
        <f t="shared" si="1"/>
        <v>7003.92</v>
      </c>
    </row>
    <row r="28" spans="2:72" ht="21.95" customHeight="1" thickBot="1" x14ac:dyDescent="0.4">
      <c r="B28" s="166"/>
      <c r="C28" s="555" t="s">
        <v>255</v>
      </c>
      <c r="D28" s="556"/>
      <c r="E28" s="556"/>
      <c r="F28" s="556"/>
      <c r="G28" s="556"/>
      <c r="H28" s="556"/>
      <c r="I28" s="556"/>
      <c r="J28" s="556"/>
      <c r="K28" s="556"/>
      <c r="L28" s="556"/>
      <c r="M28" s="556"/>
      <c r="N28" s="556"/>
      <c r="O28" s="556"/>
      <c r="P28" s="556"/>
      <c r="Q28" s="556"/>
      <c r="R28" s="556"/>
      <c r="S28" s="556"/>
      <c r="T28" s="556"/>
      <c r="U28" s="556"/>
      <c r="V28" s="556"/>
      <c r="W28" s="556"/>
      <c r="X28" s="556"/>
      <c r="Y28" s="556"/>
      <c r="Z28" s="556"/>
      <c r="AA28" s="556"/>
      <c r="AB28" s="556"/>
      <c r="AC28" s="556"/>
      <c r="AD28" s="556"/>
      <c r="AE28" s="556"/>
      <c r="AF28" s="556"/>
      <c r="AG28" s="556"/>
      <c r="AH28" s="556"/>
      <c r="AI28" s="556"/>
      <c r="AJ28" s="556"/>
      <c r="AK28" s="556"/>
      <c r="AL28" s="556"/>
      <c r="AM28" s="556"/>
      <c r="AN28" s="556"/>
      <c r="AO28" s="556"/>
      <c r="AP28" s="556"/>
      <c r="AQ28" s="556"/>
      <c r="AR28" s="556"/>
      <c r="AS28" s="556"/>
      <c r="AT28" s="556"/>
      <c r="AU28" s="556"/>
      <c r="AV28" s="556"/>
      <c r="AW28" s="556"/>
      <c r="AX28" s="556"/>
      <c r="AY28" s="556"/>
      <c r="AZ28" s="556"/>
      <c r="BA28" s="556"/>
      <c r="BB28" s="556"/>
      <c r="BC28" s="556"/>
      <c r="BD28" s="556"/>
      <c r="BE28" s="556"/>
      <c r="BF28" s="556"/>
      <c r="BG28" s="556"/>
      <c r="BH28" s="556"/>
      <c r="BI28" s="556"/>
      <c r="BJ28" s="556"/>
      <c r="BK28" s="557"/>
      <c r="BL28" s="115"/>
      <c r="BM28" s="298"/>
      <c r="BN28" s="298"/>
      <c r="BO28" s="299"/>
      <c r="BP28" s="300"/>
      <c r="BQ28" s="300"/>
      <c r="BR28" s="301"/>
      <c r="BS28" s="301"/>
      <c r="BT28" s="301">
        <f t="shared" si="1"/>
        <v>0</v>
      </c>
    </row>
    <row r="29" spans="2:72" ht="21.95" customHeight="1" thickBot="1" x14ac:dyDescent="0.4">
      <c r="B29" s="166">
        <f>B27+1</f>
        <v>19</v>
      </c>
      <c r="C29" s="558" t="s">
        <v>294</v>
      </c>
      <c r="D29" s="559"/>
      <c r="E29" s="559"/>
      <c r="F29" s="272"/>
      <c r="G29" s="272"/>
      <c r="H29" s="272"/>
      <c r="I29" s="272"/>
      <c r="J29" s="256"/>
      <c r="K29" s="256"/>
      <c r="L29" s="256"/>
      <c r="M29" s="278">
        <v>1</v>
      </c>
      <c r="N29" s="278">
        <v>1</v>
      </c>
      <c r="O29" s="278">
        <v>1</v>
      </c>
      <c r="P29" s="278">
        <v>1</v>
      </c>
      <c r="Q29" s="278">
        <v>1</v>
      </c>
      <c r="R29" s="278">
        <v>1</v>
      </c>
      <c r="S29" s="278">
        <v>1</v>
      </c>
      <c r="T29" s="278">
        <v>1</v>
      </c>
      <c r="U29" s="278">
        <v>1</v>
      </c>
      <c r="V29" s="278">
        <v>1</v>
      </c>
      <c r="W29" s="278">
        <v>1</v>
      </c>
      <c r="X29" s="278">
        <v>1</v>
      </c>
      <c r="Y29" s="278">
        <v>1</v>
      </c>
      <c r="Z29" s="278">
        <v>1</v>
      </c>
      <c r="AA29" s="278">
        <v>1</v>
      </c>
      <c r="AB29" s="278">
        <v>1</v>
      </c>
      <c r="AC29" s="278">
        <v>1</v>
      </c>
      <c r="AD29" s="275">
        <v>1</v>
      </c>
      <c r="AE29" s="275">
        <v>1</v>
      </c>
      <c r="AF29" s="275">
        <v>1</v>
      </c>
      <c r="AG29" s="275">
        <v>1</v>
      </c>
      <c r="AH29" s="275">
        <v>1</v>
      </c>
      <c r="AI29" s="275">
        <v>1</v>
      </c>
      <c r="AJ29" s="275">
        <v>1</v>
      </c>
      <c r="AK29" s="275">
        <v>1</v>
      </c>
      <c r="AL29" s="275">
        <v>1</v>
      </c>
      <c r="AM29" s="275">
        <v>1</v>
      </c>
      <c r="AN29" s="275">
        <v>1</v>
      </c>
      <c r="AO29" s="275">
        <v>1</v>
      </c>
      <c r="AP29" s="275">
        <v>1</v>
      </c>
      <c r="AQ29" s="275">
        <v>1</v>
      </c>
      <c r="AR29" s="275">
        <v>1</v>
      </c>
      <c r="AS29" s="275">
        <v>1</v>
      </c>
      <c r="AT29" s="275">
        <v>1</v>
      </c>
      <c r="AU29" s="275">
        <v>1</v>
      </c>
      <c r="AV29" s="275">
        <v>1</v>
      </c>
      <c r="AW29" s="275">
        <v>1</v>
      </c>
      <c r="AX29" s="275">
        <v>1</v>
      </c>
      <c r="AY29" s="275">
        <v>1</v>
      </c>
      <c r="AZ29" s="275">
        <v>1</v>
      </c>
      <c r="BA29" s="275">
        <v>1</v>
      </c>
      <c r="BB29" s="275">
        <v>1</v>
      </c>
      <c r="BC29" s="275">
        <v>1</v>
      </c>
      <c r="BD29" s="275">
        <v>1</v>
      </c>
      <c r="BE29" s="275">
        <v>1</v>
      </c>
      <c r="BF29" s="256"/>
      <c r="BG29" s="256"/>
      <c r="BH29" s="256"/>
      <c r="BI29" s="256"/>
      <c r="BJ29" s="256"/>
      <c r="BK29" s="256"/>
      <c r="BL29" s="115"/>
      <c r="BM29" s="302">
        <f>45*7</f>
        <v>315</v>
      </c>
      <c r="BN29" s="298">
        <f>BM29*AT29*BN6</f>
        <v>945</v>
      </c>
      <c r="BO29" s="299">
        <f>45*6*AT29</f>
        <v>270</v>
      </c>
      <c r="BP29" s="300">
        <v>18.18</v>
      </c>
      <c r="BQ29" s="300">
        <f t="shared" si="0"/>
        <v>4908.6000000000004</v>
      </c>
      <c r="BR29" s="301">
        <f>45*7*1</f>
        <v>315</v>
      </c>
      <c r="BS29" s="301">
        <v>7.58</v>
      </c>
      <c r="BT29" s="301">
        <f t="shared" si="1"/>
        <v>2387.6999999999998</v>
      </c>
    </row>
    <row r="30" spans="2:72" ht="44.25" customHeight="1" thickBot="1" x14ac:dyDescent="0.4">
      <c r="B30" s="166">
        <f t="shared" ref="B30:B37" si="7">B29+1</f>
        <v>20</v>
      </c>
      <c r="C30" s="539" t="s">
        <v>295</v>
      </c>
      <c r="D30" s="540"/>
      <c r="E30" s="540"/>
      <c r="F30" s="273"/>
      <c r="G30" s="273"/>
      <c r="H30" s="273"/>
      <c r="I30" s="273"/>
      <c r="J30" s="256"/>
      <c r="K30" s="256"/>
      <c r="L30" s="256"/>
      <c r="M30" s="278">
        <v>2</v>
      </c>
      <c r="N30" s="278">
        <v>2</v>
      </c>
      <c r="O30" s="278">
        <v>2</v>
      </c>
      <c r="P30" s="278">
        <v>2</v>
      </c>
      <c r="Q30" s="278">
        <v>2</v>
      </c>
      <c r="R30" s="278">
        <v>2</v>
      </c>
      <c r="S30" s="278">
        <v>2</v>
      </c>
      <c r="T30" s="278">
        <v>2</v>
      </c>
      <c r="U30" s="278">
        <v>2</v>
      </c>
      <c r="V30" s="278">
        <v>2</v>
      </c>
      <c r="W30" s="278">
        <v>2</v>
      </c>
      <c r="X30" s="278">
        <v>2</v>
      </c>
      <c r="Y30" s="278">
        <v>2</v>
      </c>
      <c r="Z30" s="278">
        <v>2</v>
      </c>
      <c r="AA30" s="278">
        <v>2</v>
      </c>
      <c r="AB30" s="278">
        <v>2</v>
      </c>
      <c r="AC30" s="278">
        <v>2</v>
      </c>
      <c r="AD30" s="278">
        <v>2</v>
      </c>
      <c r="AE30" s="278">
        <v>2</v>
      </c>
      <c r="AF30" s="278">
        <v>2</v>
      </c>
      <c r="AG30" s="278">
        <v>2</v>
      </c>
      <c r="AH30" s="278">
        <v>2</v>
      </c>
      <c r="AI30" s="278">
        <v>2</v>
      </c>
      <c r="AJ30" s="278">
        <v>2</v>
      </c>
      <c r="AK30" s="278">
        <v>2</v>
      </c>
      <c r="AL30" s="278">
        <v>2</v>
      </c>
      <c r="AM30" s="278">
        <v>2</v>
      </c>
      <c r="AN30" s="278">
        <v>2</v>
      </c>
      <c r="AO30" s="278">
        <v>2</v>
      </c>
      <c r="AP30" s="278">
        <v>2</v>
      </c>
      <c r="AQ30" s="278">
        <v>2</v>
      </c>
      <c r="AR30" s="278">
        <v>2</v>
      </c>
      <c r="AS30" s="278">
        <v>2</v>
      </c>
      <c r="AT30" s="278">
        <v>2</v>
      </c>
      <c r="AU30" s="278">
        <v>2</v>
      </c>
      <c r="AV30" s="278">
        <v>2</v>
      </c>
      <c r="AW30" s="278">
        <v>2</v>
      </c>
      <c r="AX30" s="278">
        <v>2</v>
      </c>
      <c r="AY30" s="278">
        <v>2</v>
      </c>
      <c r="AZ30" s="278">
        <v>2</v>
      </c>
      <c r="BA30" s="278">
        <v>2</v>
      </c>
      <c r="BB30" s="278">
        <v>2</v>
      </c>
      <c r="BC30" s="278">
        <v>2</v>
      </c>
      <c r="BD30" s="278">
        <v>2</v>
      </c>
      <c r="BE30" s="278">
        <v>2</v>
      </c>
      <c r="BF30" s="256"/>
      <c r="BG30" s="256"/>
      <c r="BH30" s="256"/>
      <c r="BI30" s="256"/>
      <c r="BJ30" s="256"/>
      <c r="BK30" s="256"/>
      <c r="BL30" s="115">
        <f>13*6</f>
        <v>78</v>
      </c>
      <c r="BM30" s="302">
        <f>45*7</f>
        <v>315</v>
      </c>
      <c r="BN30" s="298">
        <f>AT30*BN6*BM30</f>
        <v>1890</v>
      </c>
      <c r="BO30" s="299">
        <f>45*6*AT30</f>
        <v>540</v>
      </c>
      <c r="BP30" s="300">
        <v>18.18</v>
      </c>
      <c r="BQ30" s="300">
        <f t="shared" si="0"/>
        <v>9817.2000000000007</v>
      </c>
      <c r="BR30" s="301">
        <f>45*7*AT30</f>
        <v>630</v>
      </c>
      <c r="BS30" s="301">
        <v>7.58</v>
      </c>
      <c r="BT30" s="301">
        <f t="shared" si="1"/>
        <v>4775.3999999999996</v>
      </c>
    </row>
    <row r="31" spans="2:72" ht="33.75" customHeight="1" thickBot="1" x14ac:dyDescent="0.4">
      <c r="B31" s="166">
        <f>B30+1</f>
        <v>21</v>
      </c>
      <c r="C31" s="539" t="s">
        <v>296</v>
      </c>
      <c r="D31" s="540"/>
      <c r="E31" s="540"/>
      <c r="F31" s="273"/>
      <c r="G31" s="273"/>
      <c r="H31" s="273"/>
      <c r="I31" s="273"/>
      <c r="J31" s="256"/>
      <c r="K31" s="256"/>
      <c r="L31" s="256"/>
      <c r="M31" s="256"/>
      <c r="N31" s="256"/>
      <c r="O31" s="256"/>
      <c r="P31" s="278">
        <v>2</v>
      </c>
      <c r="Q31" s="278">
        <v>2</v>
      </c>
      <c r="R31" s="278">
        <v>2</v>
      </c>
      <c r="S31" s="278">
        <v>2</v>
      </c>
      <c r="T31" s="278">
        <v>2</v>
      </c>
      <c r="U31" s="278">
        <v>2</v>
      </c>
      <c r="V31" s="278">
        <v>2</v>
      </c>
      <c r="W31" s="278">
        <v>2</v>
      </c>
      <c r="X31" s="278">
        <v>2</v>
      </c>
      <c r="Y31" s="278">
        <v>2</v>
      </c>
      <c r="Z31" s="278">
        <v>2</v>
      </c>
      <c r="AA31" s="278">
        <v>2</v>
      </c>
      <c r="AB31" s="278">
        <v>2</v>
      </c>
      <c r="AC31" s="278">
        <v>2</v>
      </c>
      <c r="AD31" s="278">
        <v>2</v>
      </c>
      <c r="AE31" s="278">
        <v>2</v>
      </c>
      <c r="AF31" s="278">
        <v>2</v>
      </c>
      <c r="AG31" s="278">
        <v>2</v>
      </c>
      <c r="AH31" s="278">
        <v>2</v>
      </c>
      <c r="AI31" s="278">
        <v>2</v>
      </c>
      <c r="AJ31" s="278">
        <v>2</v>
      </c>
      <c r="AK31" s="278">
        <v>2</v>
      </c>
      <c r="AL31" s="278">
        <v>2</v>
      </c>
      <c r="AM31" s="278">
        <v>2</v>
      </c>
      <c r="AN31" s="278">
        <v>2</v>
      </c>
      <c r="AO31" s="278">
        <v>2</v>
      </c>
      <c r="AP31" s="278">
        <v>2</v>
      </c>
      <c r="AQ31" s="278">
        <v>2</v>
      </c>
      <c r="AR31" s="278">
        <v>2</v>
      </c>
      <c r="AS31" s="278">
        <v>2</v>
      </c>
      <c r="AT31" s="278">
        <v>2</v>
      </c>
      <c r="AU31" s="278">
        <v>2</v>
      </c>
      <c r="AV31" s="278">
        <v>2</v>
      </c>
      <c r="AW31" s="278">
        <v>2</v>
      </c>
      <c r="AX31" s="278">
        <v>2</v>
      </c>
      <c r="AY31" s="278">
        <v>2</v>
      </c>
      <c r="AZ31" s="278">
        <v>2</v>
      </c>
      <c r="BA31" s="278">
        <v>2</v>
      </c>
      <c r="BB31" s="278">
        <v>2</v>
      </c>
      <c r="BC31" s="278">
        <v>2</v>
      </c>
      <c r="BD31" s="278">
        <v>2</v>
      </c>
      <c r="BE31" s="278">
        <v>2</v>
      </c>
      <c r="BF31" s="256"/>
      <c r="BG31" s="256"/>
      <c r="BH31" s="256"/>
      <c r="BI31" s="256"/>
      <c r="BJ31" s="256"/>
      <c r="BK31" s="256"/>
      <c r="BL31" s="115">
        <f>14*6</f>
        <v>84</v>
      </c>
      <c r="BM31" s="302">
        <f>42*7</f>
        <v>294</v>
      </c>
      <c r="BN31" s="298">
        <f>AT31*BN6*BM31</f>
        <v>1764</v>
      </c>
      <c r="BO31" s="299">
        <f>42*6*AT31</f>
        <v>504</v>
      </c>
      <c r="BP31" s="300">
        <v>18.18</v>
      </c>
      <c r="BQ31" s="300">
        <f t="shared" si="0"/>
        <v>9162.7199999999993</v>
      </c>
      <c r="BR31" s="301">
        <f>42*7*AT31</f>
        <v>588</v>
      </c>
      <c r="BS31" s="301">
        <v>7.58</v>
      </c>
      <c r="BT31" s="301">
        <f t="shared" si="1"/>
        <v>4457.04</v>
      </c>
    </row>
    <row r="32" spans="2:72" ht="50.25" customHeight="1" thickBot="1" x14ac:dyDescent="0.4">
      <c r="B32" s="166">
        <f>B31+1</f>
        <v>22</v>
      </c>
      <c r="C32" s="539" t="s">
        <v>390</v>
      </c>
      <c r="D32" s="540"/>
      <c r="E32" s="540"/>
      <c r="F32" s="273"/>
      <c r="G32" s="273"/>
      <c r="H32" s="273"/>
      <c r="I32" s="273"/>
      <c r="J32" s="256"/>
      <c r="K32" s="256"/>
      <c r="L32" s="256"/>
      <c r="M32" s="256"/>
      <c r="N32" s="256"/>
      <c r="O32" s="256"/>
      <c r="P32" s="278">
        <v>4</v>
      </c>
      <c r="Q32" s="278">
        <v>4</v>
      </c>
      <c r="R32" s="278">
        <v>4</v>
      </c>
      <c r="S32" s="278">
        <v>4</v>
      </c>
      <c r="T32" s="278">
        <v>4</v>
      </c>
      <c r="U32" s="278">
        <v>4</v>
      </c>
      <c r="V32" s="278">
        <v>4</v>
      </c>
      <c r="W32" s="278">
        <v>4</v>
      </c>
      <c r="X32" s="278">
        <v>4</v>
      </c>
      <c r="Y32" s="278">
        <v>4</v>
      </c>
      <c r="Z32" s="278">
        <v>4</v>
      </c>
      <c r="AA32" s="278">
        <v>4</v>
      </c>
      <c r="AB32" s="278">
        <v>4</v>
      </c>
      <c r="AC32" s="278">
        <v>4</v>
      </c>
      <c r="AD32" s="278">
        <v>4</v>
      </c>
      <c r="AE32" s="278">
        <v>4</v>
      </c>
      <c r="AF32" s="278">
        <v>4</v>
      </c>
      <c r="AG32" s="278">
        <v>4</v>
      </c>
      <c r="AH32" s="278">
        <v>4</v>
      </c>
      <c r="AI32" s="278">
        <v>4</v>
      </c>
      <c r="AJ32" s="278">
        <v>4</v>
      </c>
      <c r="AK32" s="278">
        <v>4</v>
      </c>
      <c r="AL32" s="278">
        <v>4</v>
      </c>
      <c r="AM32" s="278">
        <v>4</v>
      </c>
      <c r="AN32" s="278">
        <v>4</v>
      </c>
      <c r="AO32" s="278">
        <v>4</v>
      </c>
      <c r="AP32" s="278">
        <v>4</v>
      </c>
      <c r="AQ32" s="278">
        <v>4</v>
      </c>
      <c r="AR32" s="278">
        <v>4</v>
      </c>
      <c r="AS32" s="278">
        <v>4</v>
      </c>
      <c r="AT32" s="278">
        <v>4</v>
      </c>
      <c r="AU32" s="278">
        <v>4</v>
      </c>
      <c r="AV32" s="278">
        <v>4</v>
      </c>
      <c r="AW32" s="278">
        <v>4</v>
      </c>
      <c r="AX32" s="278">
        <v>4</v>
      </c>
      <c r="AY32" s="278">
        <v>4</v>
      </c>
      <c r="AZ32" s="278">
        <v>4</v>
      </c>
      <c r="BA32" s="278">
        <v>4</v>
      </c>
      <c r="BB32" s="278">
        <v>4</v>
      </c>
      <c r="BC32" s="278">
        <v>4</v>
      </c>
      <c r="BD32" s="278">
        <v>4</v>
      </c>
      <c r="BE32" s="278">
        <v>4</v>
      </c>
      <c r="BF32" s="278">
        <v>5</v>
      </c>
      <c r="BG32" s="278">
        <v>5</v>
      </c>
      <c r="BH32" s="278">
        <v>5</v>
      </c>
      <c r="BI32" s="278">
        <v>5</v>
      </c>
      <c r="BJ32" s="278">
        <v>5</v>
      </c>
      <c r="BK32" s="256"/>
      <c r="BL32" s="115">
        <f>6*6</f>
        <v>36</v>
      </c>
      <c r="BM32" s="303">
        <f>47*7</f>
        <v>329</v>
      </c>
      <c r="BN32" s="298">
        <f>AV32*BN6*BM32</f>
        <v>3948</v>
      </c>
      <c r="BO32" s="299">
        <f>47*6*AS32</f>
        <v>1128</v>
      </c>
      <c r="BP32" s="300">
        <v>18.18</v>
      </c>
      <c r="BQ32" s="300">
        <f t="shared" si="0"/>
        <v>20507.04</v>
      </c>
      <c r="BR32" s="301">
        <f>47*7*AV32</f>
        <v>1316</v>
      </c>
      <c r="BS32" s="301">
        <v>7.58</v>
      </c>
      <c r="BT32" s="301">
        <f t="shared" si="1"/>
        <v>9975.2800000000007</v>
      </c>
    </row>
    <row r="33" spans="2:73" ht="52.5" customHeight="1" thickBot="1" x14ac:dyDescent="0.4">
      <c r="B33" s="166">
        <f t="shared" si="7"/>
        <v>23</v>
      </c>
      <c r="C33" s="539" t="s">
        <v>223</v>
      </c>
      <c r="D33" s="540"/>
      <c r="E33" s="540"/>
      <c r="F33" s="273"/>
      <c r="G33" s="273"/>
      <c r="H33" s="273"/>
      <c r="I33" s="273"/>
      <c r="J33" s="256"/>
      <c r="K33" s="256"/>
      <c r="L33" s="256"/>
      <c r="M33" s="278">
        <v>2</v>
      </c>
      <c r="N33" s="278">
        <v>2</v>
      </c>
      <c r="O33" s="278">
        <v>2</v>
      </c>
      <c r="P33" s="278">
        <v>2</v>
      </c>
      <c r="Q33" s="278">
        <v>2</v>
      </c>
      <c r="R33" s="278">
        <v>2</v>
      </c>
      <c r="S33" s="278">
        <v>2</v>
      </c>
      <c r="T33" s="278">
        <v>2</v>
      </c>
      <c r="U33" s="278">
        <v>2</v>
      </c>
      <c r="V33" s="278">
        <v>2</v>
      </c>
      <c r="W33" s="278">
        <v>2</v>
      </c>
      <c r="X33" s="278">
        <v>2</v>
      </c>
      <c r="Y33" s="278">
        <v>2</v>
      </c>
      <c r="Z33" s="278">
        <v>2</v>
      </c>
      <c r="AA33" s="278">
        <v>2</v>
      </c>
      <c r="AB33" s="278">
        <v>2</v>
      </c>
      <c r="AC33" s="278">
        <v>2</v>
      </c>
      <c r="AD33" s="278">
        <v>2</v>
      </c>
      <c r="AE33" s="278">
        <v>2</v>
      </c>
      <c r="AF33" s="278">
        <v>2</v>
      </c>
      <c r="AG33" s="278">
        <v>2</v>
      </c>
      <c r="AH33" s="278">
        <v>2</v>
      </c>
      <c r="AI33" s="278">
        <v>2</v>
      </c>
      <c r="AJ33" s="278">
        <v>2</v>
      </c>
      <c r="AK33" s="278">
        <v>2</v>
      </c>
      <c r="AL33" s="278">
        <v>2</v>
      </c>
      <c r="AM33" s="278">
        <v>2</v>
      </c>
      <c r="AN33" s="278">
        <v>2</v>
      </c>
      <c r="AO33" s="278">
        <v>2</v>
      </c>
      <c r="AP33" s="278">
        <v>2</v>
      </c>
      <c r="AQ33" s="278">
        <v>2</v>
      </c>
      <c r="AR33" s="278">
        <v>2</v>
      </c>
      <c r="AS33" s="278">
        <v>2</v>
      </c>
      <c r="AT33" s="278">
        <v>2</v>
      </c>
      <c r="AU33" s="278">
        <v>2</v>
      </c>
      <c r="AV33" s="278">
        <v>2</v>
      </c>
      <c r="AW33" s="278">
        <v>2</v>
      </c>
      <c r="AX33" s="278">
        <v>2</v>
      </c>
      <c r="AY33" s="278">
        <v>2</v>
      </c>
      <c r="AZ33" s="278">
        <v>2</v>
      </c>
      <c r="BA33" s="278">
        <v>2</v>
      </c>
      <c r="BB33" s="278">
        <v>2</v>
      </c>
      <c r="BC33" s="278">
        <v>2</v>
      </c>
      <c r="BD33" s="278">
        <v>2</v>
      </c>
      <c r="BE33" s="278">
        <v>2</v>
      </c>
      <c r="BF33" s="278">
        <v>2</v>
      </c>
      <c r="BG33" s="278">
        <v>2</v>
      </c>
      <c r="BH33" s="278">
        <v>2</v>
      </c>
      <c r="BI33" s="278">
        <v>2</v>
      </c>
      <c r="BJ33" s="278">
        <v>2</v>
      </c>
      <c r="BK33" s="256"/>
      <c r="BL33" s="115"/>
      <c r="BM33" s="302">
        <f>50*7</f>
        <v>350</v>
      </c>
      <c r="BN33" s="298">
        <f>AV33*BN6*BM33</f>
        <v>2100</v>
      </c>
      <c r="BO33" s="299">
        <f>50*6*AV33</f>
        <v>600</v>
      </c>
      <c r="BP33" s="300">
        <v>18.18</v>
      </c>
      <c r="BQ33" s="300">
        <f t="shared" si="0"/>
        <v>10908</v>
      </c>
      <c r="BR33" s="301">
        <f>50*7*AV33</f>
        <v>700</v>
      </c>
      <c r="BS33" s="301">
        <v>7.58</v>
      </c>
      <c r="BT33" s="301">
        <f t="shared" si="1"/>
        <v>5306</v>
      </c>
    </row>
    <row r="34" spans="2:73" ht="39.75" customHeight="1" thickBot="1" x14ac:dyDescent="0.4">
      <c r="B34" s="166">
        <f t="shared" si="7"/>
        <v>24</v>
      </c>
      <c r="C34" s="539" t="s">
        <v>84</v>
      </c>
      <c r="D34" s="540"/>
      <c r="E34" s="540"/>
      <c r="F34" s="273"/>
      <c r="G34" s="273"/>
      <c r="H34" s="273"/>
      <c r="I34" s="273"/>
      <c r="J34" s="256"/>
      <c r="K34" s="256"/>
      <c r="L34" s="256"/>
      <c r="M34" s="256"/>
      <c r="N34" s="256"/>
      <c r="O34" s="256"/>
      <c r="P34" s="256"/>
      <c r="Q34" s="256"/>
      <c r="R34" s="256"/>
      <c r="S34" s="256"/>
      <c r="T34" s="256"/>
      <c r="U34" s="256"/>
      <c r="V34" s="256"/>
      <c r="W34" s="256"/>
      <c r="X34" s="256"/>
      <c r="Y34" s="256"/>
      <c r="Z34" s="256"/>
      <c r="AA34" s="256"/>
      <c r="AB34" s="256"/>
      <c r="AC34" s="256"/>
      <c r="AD34" s="278">
        <v>2</v>
      </c>
      <c r="AE34" s="278">
        <v>2</v>
      </c>
      <c r="AF34" s="278">
        <v>2</v>
      </c>
      <c r="AG34" s="278">
        <v>2</v>
      </c>
      <c r="AH34" s="278">
        <v>2</v>
      </c>
      <c r="AI34" s="278">
        <v>2</v>
      </c>
      <c r="AJ34" s="278">
        <v>2</v>
      </c>
      <c r="AK34" s="278">
        <v>2</v>
      </c>
      <c r="AL34" s="278">
        <v>2</v>
      </c>
      <c r="AM34" s="278">
        <v>2</v>
      </c>
      <c r="AN34" s="278">
        <v>2</v>
      </c>
      <c r="AO34" s="278">
        <v>2</v>
      </c>
      <c r="AP34" s="278">
        <v>2</v>
      </c>
      <c r="AQ34" s="278">
        <v>2</v>
      </c>
      <c r="AR34" s="278">
        <v>2</v>
      </c>
      <c r="AS34" s="278">
        <v>2</v>
      </c>
      <c r="AT34" s="278">
        <v>2</v>
      </c>
      <c r="AU34" s="278">
        <v>2</v>
      </c>
      <c r="AV34" s="278">
        <v>2</v>
      </c>
      <c r="AW34" s="278">
        <v>2</v>
      </c>
      <c r="AX34" s="278">
        <v>2</v>
      </c>
      <c r="AY34" s="278">
        <v>2</v>
      </c>
      <c r="AZ34" s="278">
        <v>2</v>
      </c>
      <c r="BA34" s="278">
        <v>2</v>
      </c>
      <c r="BB34" s="278">
        <v>2</v>
      </c>
      <c r="BC34" s="278">
        <v>2</v>
      </c>
      <c r="BD34" s="278">
        <v>2</v>
      </c>
      <c r="BE34" s="278">
        <v>2</v>
      </c>
      <c r="BF34" s="278">
        <v>2</v>
      </c>
      <c r="BG34" s="278">
        <v>2</v>
      </c>
      <c r="BH34" s="278">
        <v>2</v>
      </c>
      <c r="BI34" s="278">
        <v>2</v>
      </c>
      <c r="BJ34" s="278">
        <v>2</v>
      </c>
      <c r="BK34" s="256"/>
      <c r="BL34" s="115"/>
      <c r="BM34" s="302">
        <f>33*7</f>
        <v>231</v>
      </c>
      <c r="BN34" s="298">
        <f>AV34*BN6*BM34</f>
        <v>1386</v>
      </c>
      <c r="BO34" s="299">
        <f>33*6*AV34</f>
        <v>396</v>
      </c>
      <c r="BP34" s="300">
        <v>18.18</v>
      </c>
      <c r="BQ34" s="300">
        <f t="shared" si="0"/>
        <v>7199.28</v>
      </c>
      <c r="BR34" s="301">
        <f>33*7*AV34</f>
        <v>462</v>
      </c>
      <c r="BS34" s="301">
        <v>7.58</v>
      </c>
      <c r="BT34" s="301">
        <f t="shared" si="1"/>
        <v>3501.96</v>
      </c>
    </row>
    <row r="35" spans="2:73" ht="21.95" customHeight="1" thickBot="1" x14ac:dyDescent="0.4">
      <c r="B35" s="166">
        <f t="shared" si="7"/>
        <v>25</v>
      </c>
      <c r="C35" s="545" t="s">
        <v>66</v>
      </c>
      <c r="D35" s="546"/>
      <c r="E35" s="547"/>
      <c r="F35" s="264"/>
      <c r="G35" s="264"/>
      <c r="H35" s="264"/>
      <c r="I35" s="264"/>
      <c r="J35" s="265"/>
      <c r="K35" s="265"/>
      <c r="L35" s="265"/>
      <c r="M35" s="265"/>
      <c r="N35" s="265"/>
      <c r="O35" s="265"/>
      <c r="P35" s="265"/>
      <c r="Q35" s="265"/>
      <c r="R35" s="265"/>
      <c r="S35" s="265"/>
      <c r="T35" s="265"/>
      <c r="U35" s="265"/>
      <c r="V35" s="265"/>
      <c r="W35" s="265"/>
      <c r="X35" s="265"/>
      <c r="Y35" s="265"/>
      <c r="Z35" s="265"/>
      <c r="AA35" s="265"/>
      <c r="AB35" s="265"/>
      <c r="AC35" s="265"/>
      <c r="AD35" s="265"/>
      <c r="AE35" s="277">
        <v>5</v>
      </c>
      <c r="AF35" s="277">
        <v>5</v>
      </c>
      <c r="AG35" s="277">
        <v>5</v>
      </c>
      <c r="AH35" s="277">
        <v>5</v>
      </c>
      <c r="AI35" s="277">
        <v>5</v>
      </c>
      <c r="AJ35" s="277">
        <v>5</v>
      </c>
      <c r="AK35" s="277">
        <v>5</v>
      </c>
      <c r="AL35" s="277">
        <v>5</v>
      </c>
      <c r="AM35" s="277">
        <v>5</v>
      </c>
      <c r="AN35" s="277">
        <v>5</v>
      </c>
      <c r="AO35" s="277">
        <v>5</v>
      </c>
      <c r="AP35" s="277">
        <v>5</v>
      </c>
      <c r="AQ35" s="277">
        <v>5</v>
      </c>
      <c r="AR35" s="277">
        <v>5</v>
      </c>
      <c r="AS35" s="277">
        <v>5</v>
      </c>
      <c r="AT35" s="277">
        <v>5</v>
      </c>
      <c r="AU35" s="277">
        <v>5</v>
      </c>
      <c r="AV35" s="277">
        <v>5</v>
      </c>
      <c r="AW35" s="277">
        <v>5</v>
      </c>
      <c r="AX35" s="277">
        <v>5</v>
      </c>
      <c r="AY35" s="277">
        <v>5</v>
      </c>
      <c r="AZ35" s="277">
        <v>5</v>
      </c>
      <c r="BA35" s="277">
        <v>5</v>
      </c>
      <c r="BB35" s="277">
        <v>5</v>
      </c>
      <c r="BC35" s="277">
        <v>5</v>
      </c>
      <c r="BD35" s="277">
        <v>5</v>
      </c>
      <c r="BE35" s="277">
        <v>5</v>
      </c>
      <c r="BF35" s="277">
        <v>5</v>
      </c>
      <c r="BG35" s="277">
        <v>5</v>
      </c>
      <c r="BH35" s="277">
        <v>5</v>
      </c>
      <c r="BI35" s="277">
        <v>5</v>
      </c>
      <c r="BJ35" s="277">
        <v>5</v>
      </c>
      <c r="BK35" s="265"/>
      <c r="BL35" s="115"/>
      <c r="BM35" s="303">
        <f>32*7</f>
        <v>224</v>
      </c>
      <c r="BN35" s="298">
        <f>AV35*BN6*BM35</f>
        <v>3360</v>
      </c>
      <c r="BO35" s="299">
        <f>32*6*AV35+9</f>
        <v>969</v>
      </c>
      <c r="BP35" s="300">
        <v>18.18</v>
      </c>
      <c r="BQ35" s="300">
        <f t="shared" si="0"/>
        <v>17616.419999999998</v>
      </c>
      <c r="BR35" s="301">
        <f>32*7*AV35+9</f>
        <v>1129</v>
      </c>
      <c r="BS35" s="301">
        <v>7.58</v>
      </c>
      <c r="BT35" s="301">
        <f t="shared" si="1"/>
        <v>8557.82</v>
      </c>
    </row>
    <row r="36" spans="2:73" s="9" customFormat="1" ht="39.75" customHeight="1" thickBot="1" x14ac:dyDescent="0.4">
      <c r="B36" s="166">
        <f t="shared" si="7"/>
        <v>26</v>
      </c>
      <c r="C36" s="539" t="s">
        <v>391</v>
      </c>
      <c r="D36" s="540"/>
      <c r="E36" s="541"/>
      <c r="F36" s="264"/>
      <c r="G36" s="264"/>
      <c r="H36" s="264"/>
      <c r="I36" s="264"/>
      <c r="J36" s="265"/>
      <c r="K36" s="265"/>
      <c r="L36" s="265"/>
      <c r="M36" s="265"/>
      <c r="N36" s="265"/>
      <c r="O36" s="265"/>
      <c r="P36" s="265"/>
      <c r="Q36" s="265"/>
      <c r="R36" s="265"/>
      <c r="S36" s="265"/>
      <c r="T36" s="265"/>
      <c r="U36" s="265"/>
      <c r="V36" s="265"/>
      <c r="W36" s="265"/>
      <c r="X36" s="265"/>
      <c r="Y36" s="265"/>
      <c r="Z36" s="265"/>
      <c r="AA36" s="265"/>
      <c r="AB36" s="265"/>
      <c r="AC36" s="265"/>
      <c r="AD36" s="265"/>
      <c r="AE36" s="265"/>
      <c r="AF36" s="265"/>
      <c r="AG36" s="265"/>
      <c r="AH36" s="265"/>
      <c r="AI36" s="265"/>
      <c r="AJ36" s="265"/>
      <c r="AK36" s="265"/>
      <c r="AL36" s="265"/>
      <c r="AM36" s="265"/>
      <c r="AN36" s="265"/>
      <c r="AO36" s="265"/>
      <c r="AP36" s="265"/>
      <c r="AQ36" s="265"/>
      <c r="AR36" s="265"/>
      <c r="AS36" s="265"/>
      <c r="AT36" s="265"/>
      <c r="AU36" s="265"/>
      <c r="AV36" s="265"/>
      <c r="AW36" s="265"/>
      <c r="AX36" s="265"/>
      <c r="AY36" s="265"/>
      <c r="AZ36" s="265"/>
      <c r="BA36" s="265"/>
      <c r="BB36" s="265"/>
      <c r="BC36" s="265"/>
      <c r="BD36" s="265"/>
      <c r="BE36" s="265"/>
      <c r="BF36" s="265"/>
      <c r="BG36" s="265"/>
      <c r="BH36" s="265"/>
      <c r="BI36" s="277">
        <v>3</v>
      </c>
      <c r="BJ36" s="277">
        <v>3</v>
      </c>
      <c r="BK36" s="277">
        <v>3</v>
      </c>
      <c r="BL36" s="115"/>
      <c r="BM36" s="303"/>
      <c r="BN36" s="298"/>
      <c r="BO36" s="304"/>
      <c r="BP36" s="300"/>
      <c r="BQ36" s="300"/>
      <c r="BR36" s="305"/>
      <c r="BS36" s="301"/>
      <c r="BT36" s="301"/>
    </row>
    <row r="37" spans="2:73" s="9" customFormat="1" ht="30" customHeight="1" x14ac:dyDescent="0.35">
      <c r="B37" s="166">
        <f t="shared" si="7"/>
        <v>27</v>
      </c>
      <c r="C37" s="542" t="s">
        <v>297</v>
      </c>
      <c r="D37" s="543"/>
      <c r="E37" s="544"/>
      <c r="F37" s="264"/>
      <c r="G37" s="264"/>
      <c r="H37" s="264"/>
      <c r="I37" s="264"/>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5"/>
      <c r="AL37" s="265"/>
      <c r="AM37" s="265"/>
      <c r="AN37" s="265"/>
      <c r="AO37" s="265"/>
      <c r="AP37" s="265"/>
      <c r="AQ37" s="265"/>
      <c r="AR37" s="265"/>
      <c r="AS37" s="265"/>
      <c r="AT37" s="265"/>
      <c r="AU37" s="265"/>
      <c r="AV37" s="265"/>
      <c r="AW37" s="265"/>
      <c r="AX37" s="265"/>
      <c r="AY37" s="265"/>
      <c r="AZ37" s="265"/>
      <c r="BA37" s="265"/>
      <c r="BB37" s="265"/>
      <c r="BC37" s="265"/>
      <c r="BD37" s="265"/>
      <c r="BE37" s="265"/>
      <c r="BF37" s="265"/>
      <c r="BG37" s="265"/>
      <c r="BH37" s="265"/>
      <c r="BI37" s="265"/>
      <c r="BJ37" s="265"/>
      <c r="BK37" s="277">
        <v>10</v>
      </c>
      <c r="BL37" s="115"/>
      <c r="BM37" s="303">
        <v>70</v>
      </c>
      <c r="BN37" s="298">
        <f>BK37*BM37*BN6</f>
        <v>2100</v>
      </c>
      <c r="BO37" s="304">
        <v>60</v>
      </c>
      <c r="BP37" s="300">
        <v>18.18</v>
      </c>
      <c r="BQ37" s="300">
        <f>BO37*BP37</f>
        <v>1090.8</v>
      </c>
      <c r="BR37" s="305">
        <v>70</v>
      </c>
      <c r="BS37" s="301">
        <v>7.58</v>
      </c>
      <c r="BT37" s="301">
        <f>BR37*BS37</f>
        <v>530.6</v>
      </c>
    </row>
    <row r="38" spans="2:73" ht="21.95" customHeight="1" thickBot="1" x14ac:dyDescent="0.4">
      <c r="B38" s="166"/>
      <c r="C38" s="552" t="s">
        <v>38</v>
      </c>
      <c r="D38" s="552"/>
      <c r="E38" s="552"/>
      <c r="F38" s="552"/>
      <c r="G38" s="552"/>
      <c r="H38" s="552"/>
      <c r="I38" s="552"/>
      <c r="J38" s="552"/>
      <c r="K38" s="552"/>
      <c r="L38" s="552"/>
      <c r="M38" s="552"/>
      <c r="N38" s="552"/>
      <c r="O38" s="552"/>
      <c r="P38" s="552"/>
      <c r="Q38" s="552"/>
      <c r="R38" s="552"/>
      <c r="S38" s="552"/>
      <c r="T38" s="552"/>
      <c r="U38" s="552"/>
      <c r="V38" s="552"/>
      <c r="W38" s="552"/>
      <c r="X38" s="552"/>
      <c r="Y38" s="552"/>
      <c r="Z38" s="552"/>
      <c r="AA38" s="552"/>
      <c r="AB38" s="552"/>
      <c r="AC38" s="552"/>
      <c r="AD38" s="552"/>
      <c r="AE38" s="552"/>
      <c r="AF38" s="552"/>
      <c r="AG38" s="552"/>
      <c r="AH38" s="552"/>
      <c r="AI38" s="552"/>
      <c r="AJ38" s="552"/>
      <c r="AK38" s="552"/>
      <c r="AL38" s="552"/>
      <c r="AM38" s="552"/>
      <c r="AN38" s="552"/>
      <c r="AO38" s="552"/>
      <c r="AP38" s="552"/>
      <c r="AQ38" s="552"/>
      <c r="AR38" s="552"/>
      <c r="AS38" s="552"/>
      <c r="AT38" s="552"/>
      <c r="AU38" s="552"/>
      <c r="AV38" s="552"/>
      <c r="AW38" s="552"/>
      <c r="AX38" s="552"/>
      <c r="AY38" s="552"/>
      <c r="AZ38" s="552"/>
      <c r="BA38" s="552"/>
      <c r="BB38" s="552"/>
      <c r="BC38" s="552"/>
      <c r="BD38" s="552"/>
      <c r="BE38" s="552"/>
      <c r="BF38" s="552"/>
      <c r="BG38" s="552"/>
      <c r="BH38" s="552"/>
      <c r="BI38" s="552"/>
      <c r="BJ38" s="552"/>
      <c r="BK38" s="553"/>
      <c r="BM38" s="302"/>
      <c r="BN38" s="298"/>
      <c r="BO38" s="306"/>
      <c r="BP38" s="300"/>
      <c r="BQ38" s="300"/>
      <c r="BR38" s="307"/>
      <c r="BS38" s="301"/>
      <c r="BT38" s="301"/>
    </row>
    <row r="39" spans="2:73" ht="21.95" customHeight="1" thickBot="1" x14ac:dyDescent="0.4">
      <c r="B39" s="166">
        <f>B37+1</f>
        <v>28</v>
      </c>
      <c r="C39" s="529" t="s">
        <v>102</v>
      </c>
      <c r="D39" s="530"/>
      <c r="E39" s="531"/>
      <c r="F39" s="255"/>
      <c r="G39" s="255"/>
      <c r="H39" s="255"/>
      <c r="I39" s="255"/>
      <c r="J39" s="275">
        <v>6</v>
      </c>
      <c r="K39" s="275">
        <v>6</v>
      </c>
      <c r="L39" s="275">
        <v>6</v>
      </c>
      <c r="M39" s="275">
        <v>6</v>
      </c>
      <c r="N39" s="275">
        <v>6</v>
      </c>
      <c r="O39" s="275">
        <v>6</v>
      </c>
      <c r="P39" s="275">
        <v>6</v>
      </c>
      <c r="Q39" s="275">
        <v>6</v>
      </c>
      <c r="R39" s="275">
        <v>6</v>
      </c>
      <c r="S39" s="275">
        <v>6</v>
      </c>
      <c r="T39" s="275">
        <v>6</v>
      </c>
      <c r="U39" s="275">
        <v>6</v>
      </c>
      <c r="V39" s="275">
        <v>6</v>
      </c>
      <c r="W39" s="275">
        <v>6</v>
      </c>
      <c r="X39" s="275">
        <v>6</v>
      </c>
      <c r="Y39" s="275">
        <v>6</v>
      </c>
      <c r="Z39" s="275">
        <v>6</v>
      </c>
      <c r="AA39" s="275">
        <v>6</v>
      </c>
      <c r="AB39" s="275">
        <v>6</v>
      </c>
      <c r="AC39" s="275">
        <v>6</v>
      </c>
      <c r="AD39" s="275">
        <v>6</v>
      </c>
      <c r="AE39" s="275">
        <v>6</v>
      </c>
      <c r="AF39" s="275">
        <v>6</v>
      </c>
      <c r="AG39" s="275">
        <v>6</v>
      </c>
      <c r="AH39" s="275">
        <v>6</v>
      </c>
      <c r="AI39" s="275">
        <v>6</v>
      </c>
      <c r="AJ39" s="275">
        <v>6</v>
      </c>
      <c r="AK39" s="275">
        <v>6</v>
      </c>
      <c r="AL39" s="275">
        <v>6</v>
      </c>
      <c r="AM39" s="275">
        <v>6</v>
      </c>
      <c r="AN39" s="275">
        <v>6</v>
      </c>
      <c r="AO39" s="275">
        <v>6</v>
      </c>
      <c r="AP39" s="275">
        <v>6</v>
      </c>
      <c r="AQ39" s="275">
        <v>6</v>
      </c>
      <c r="AR39" s="275">
        <v>6</v>
      </c>
      <c r="AS39" s="275">
        <v>6</v>
      </c>
      <c r="AT39" s="275">
        <v>6</v>
      </c>
      <c r="AU39" s="275">
        <v>6</v>
      </c>
      <c r="AV39" s="275">
        <v>6</v>
      </c>
      <c r="AW39" s="275">
        <v>6</v>
      </c>
      <c r="AX39" s="275">
        <v>6</v>
      </c>
      <c r="AY39" s="275">
        <v>6</v>
      </c>
      <c r="AZ39" s="275">
        <v>6</v>
      </c>
      <c r="BA39" s="275">
        <v>6</v>
      </c>
      <c r="BB39" s="275">
        <v>6</v>
      </c>
      <c r="BC39" s="275">
        <v>6</v>
      </c>
      <c r="BD39" s="275">
        <v>6</v>
      </c>
      <c r="BE39" s="275">
        <v>6</v>
      </c>
      <c r="BF39" s="275">
        <v>6</v>
      </c>
      <c r="BG39" s="275">
        <v>6</v>
      </c>
      <c r="BH39" s="275">
        <v>6</v>
      </c>
      <c r="BI39" s="275">
        <v>6</v>
      </c>
      <c r="BJ39" s="275">
        <v>6</v>
      </c>
      <c r="BK39" s="255"/>
      <c r="BM39" s="302">
        <f>39*7</f>
        <v>273</v>
      </c>
      <c r="BN39" s="298">
        <f>BM39*AV39*BN6</f>
        <v>4914</v>
      </c>
      <c r="BO39" s="300">
        <f>39*6*AV39</f>
        <v>1404</v>
      </c>
      <c r="BP39" s="300">
        <v>18.18</v>
      </c>
      <c r="BQ39" s="300">
        <f t="shared" si="0"/>
        <v>25524.720000000001</v>
      </c>
      <c r="BR39" s="301">
        <f>39*7*AV39</f>
        <v>1638</v>
      </c>
      <c r="BS39" s="301">
        <v>7.58</v>
      </c>
      <c r="BT39" s="301">
        <f t="shared" si="1"/>
        <v>12416.04</v>
      </c>
      <c r="BU39" s="22"/>
    </row>
    <row r="40" spans="2:73" ht="21.95" customHeight="1" thickBot="1" x14ac:dyDescent="0.3">
      <c r="B40" s="169"/>
      <c r="C40" s="609" t="s">
        <v>256</v>
      </c>
      <c r="D40" s="610"/>
      <c r="E40" s="611"/>
      <c r="F40" s="171">
        <f t="shared" ref="F40:BK40" si="8">SUM(F7:F39)</f>
        <v>3</v>
      </c>
      <c r="G40" s="170">
        <f t="shared" si="8"/>
        <v>3</v>
      </c>
      <c r="H40" s="170">
        <f t="shared" si="8"/>
        <v>3</v>
      </c>
      <c r="I40" s="170">
        <f t="shared" si="8"/>
        <v>3</v>
      </c>
      <c r="J40" s="170">
        <f t="shared" si="8"/>
        <v>27</v>
      </c>
      <c r="K40" s="170">
        <f t="shared" si="8"/>
        <v>25</v>
      </c>
      <c r="L40" s="170">
        <f t="shared" si="8"/>
        <v>27</v>
      </c>
      <c r="M40" s="170">
        <f t="shared" si="8"/>
        <v>37</v>
      </c>
      <c r="N40" s="170">
        <f t="shared" si="8"/>
        <v>37</v>
      </c>
      <c r="O40" s="170">
        <f t="shared" si="8"/>
        <v>37</v>
      </c>
      <c r="P40" s="170">
        <f t="shared" si="8"/>
        <v>43</v>
      </c>
      <c r="Q40" s="170">
        <f t="shared" si="8"/>
        <v>43</v>
      </c>
      <c r="R40" s="170">
        <f t="shared" si="8"/>
        <v>43</v>
      </c>
      <c r="S40" s="170">
        <f t="shared" si="8"/>
        <v>43</v>
      </c>
      <c r="T40" s="170">
        <f t="shared" si="8"/>
        <v>43</v>
      </c>
      <c r="U40" s="170">
        <f t="shared" si="8"/>
        <v>39</v>
      </c>
      <c r="V40" s="170">
        <f t="shared" si="8"/>
        <v>39</v>
      </c>
      <c r="W40" s="170">
        <f t="shared" si="8"/>
        <v>39</v>
      </c>
      <c r="X40" s="170">
        <f t="shared" si="8"/>
        <v>39</v>
      </c>
      <c r="Y40" s="170">
        <f t="shared" si="8"/>
        <v>39</v>
      </c>
      <c r="Z40" s="170">
        <f t="shared" si="8"/>
        <v>39</v>
      </c>
      <c r="AA40" s="170">
        <f t="shared" si="8"/>
        <v>39</v>
      </c>
      <c r="AB40" s="170">
        <f t="shared" si="8"/>
        <v>39</v>
      </c>
      <c r="AC40" s="170">
        <f t="shared" si="8"/>
        <v>39</v>
      </c>
      <c r="AD40" s="170">
        <f t="shared" si="8"/>
        <v>41</v>
      </c>
      <c r="AE40" s="170">
        <f t="shared" si="8"/>
        <v>46</v>
      </c>
      <c r="AF40" s="170">
        <f t="shared" si="8"/>
        <v>46</v>
      </c>
      <c r="AG40" s="170">
        <f t="shared" si="8"/>
        <v>46</v>
      </c>
      <c r="AH40" s="170">
        <f t="shared" si="8"/>
        <v>46</v>
      </c>
      <c r="AI40" s="170">
        <f t="shared" si="8"/>
        <v>46</v>
      </c>
      <c r="AJ40" s="170">
        <f t="shared" si="8"/>
        <v>46</v>
      </c>
      <c r="AK40" s="170">
        <f t="shared" si="8"/>
        <v>46</v>
      </c>
      <c r="AL40" s="170">
        <f t="shared" si="8"/>
        <v>46</v>
      </c>
      <c r="AM40" s="170">
        <f t="shared" si="8"/>
        <v>46</v>
      </c>
      <c r="AN40" s="170">
        <f t="shared" si="8"/>
        <v>46</v>
      </c>
      <c r="AO40" s="170">
        <f t="shared" si="8"/>
        <v>46</v>
      </c>
      <c r="AP40" s="170">
        <f t="shared" si="8"/>
        <v>46</v>
      </c>
      <c r="AQ40" s="170">
        <f t="shared" si="8"/>
        <v>50</v>
      </c>
      <c r="AR40" s="170">
        <f t="shared" si="8"/>
        <v>50</v>
      </c>
      <c r="AS40" s="170">
        <f t="shared" si="8"/>
        <v>50</v>
      </c>
      <c r="AT40" s="170">
        <f t="shared" si="8"/>
        <v>50</v>
      </c>
      <c r="AU40" s="170">
        <f t="shared" si="8"/>
        <v>50</v>
      </c>
      <c r="AV40" s="170">
        <f t="shared" si="8"/>
        <v>50</v>
      </c>
      <c r="AW40" s="170">
        <f t="shared" si="8"/>
        <v>50</v>
      </c>
      <c r="AX40" s="170">
        <f t="shared" si="8"/>
        <v>50</v>
      </c>
      <c r="AY40" s="170">
        <f t="shared" si="8"/>
        <v>50</v>
      </c>
      <c r="AZ40" s="170">
        <f t="shared" si="8"/>
        <v>50</v>
      </c>
      <c r="BA40" s="170">
        <f t="shared" si="8"/>
        <v>50</v>
      </c>
      <c r="BB40" s="170">
        <f t="shared" si="8"/>
        <v>42</v>
      </c>
      <c r="BC40" s="170">
        <f t="shared" si="8"/>
        <v>42</v>
      </c>
      <c r="BD40" s="170">
        <f t="shared" si="8"/>
        <v>42</v>
      </c>
      <c r="BE40" s="170">
        <f t="shared" si="8"/>
        <v>24</v>
      </c>
      <c r="BF40" s="170">
        <f t="shared" si="8"/>
        <v>20</v>
      </c>
      <c r="BG40" s="170">
        <f t="shared" si="8"/>
        <v>20</v>
      </c>
      <c r="BH40" s="170">
        <f t="shared" si="8"/>
        <v>20</v>
      </c>
      <c r="BI40" s="170">
        <f t="shared" si="8"/>
        <v>23</v>
      </c>
      <c r="BJ40" s="170">
        <f t="shared" si="8"/>
        <v>23</v>
      </c>
      <c r="BK40" s="170">
        <f t="shared" si="8"/>
        <v>13</v>
      </c>
      <c r="BN40" s="142">
        <f>SUM(BN7:BN39)</f>
        <v>46923</v>
      </c>
      <c r="BO40" s="143"/>
      <c r="BP40" s="144"/>
      <c r="BQ40" s="145">
        <f>SUM(BQ7:BQ39)</f>
        <v>234140.22</v>
      </c>
      <c r="BR40" s="143"/>
      <c r="BS40" s="144"/>
      <c r="BT40" s="145">
        <f>SUM(BT7:BT39)</f>
        <v>113874.34</v>
      </c>
      <c r="BU40" s="22"/>
    </row>
    <row r="41" spans="2:73" x14ac:dyDescent="0.25">
      <c r="BP41" s="111"/>
      <c r="BQ41" s="22"/>
      <c r="BS41" s="111"/>
      <c r="BT41" s="22"/>
    </row>
  </sheetData>
  <mergeCells count="47">
    <mergeCell ref="C18:E18"/>
    <mergeCell ref="C19:E19"/>
    <mergeCell ref="C20:E20"/>
    <mergeCell ref="C40:E40"/>
    <mergeCell ref="C32:E32"/>
    <mergeCell ref="C33:E33"/>
    <mergeCell ref="C34:E34"/>
    <mergeCell ref="C35:E35"/>
    <mergeCell ref="C39:E39"/>
    <mergeCell ref="C36:E36"/>
    <mergeCell ref="C21:BK21"/>
    <mergeCell ref="C28:BK28"/>
    <mergeCell ref="C38:BK38"/>
    <mergeCell ref="C12:E12"/>
    <mergeCell ref="C13:E13"/>
    <mergeCell ref="C14:E14"/>
    <mergeCell ref="C16:E16"/>
    <mergeCell ref="C17:E17"/>
    <mergeCell ref="C15:BK15"/>
    <mergeCell ref="C7:E7"/>
    <mergeCell ref="C8:E8"/>
    <mergeCell ref="F4:BK4"/>
    <mergeCell ref="C9:E9"/>
    <mergeCell ref="C11:E11"/>
    <mergeCell ref="C6:BK6"/>
    <mergeCell ref="C10:BK10"/>
    <mergeCell ref="BP5:BP6"/>
    <mergeCell ref="BQ5:BQ6"/>
    <mergeCell ref="BR5:BR6"/>
    <mergeCell ref="B4:B5"/>
    <mergeCell ref="C4:E5"/>
    <mergeCell ref="B2:BT2"/>
    <mergeCell ref="BM3:BT3"/>
    <mergeCell ref="C31:E31"/>
    <mergeCell ref="C30:E30"/>
    <mergeCell ref="C37:E37"/>
    <mergeCell ref="C22:E22"/>
    <mergeCell ref="C29:E29"/>
    <mergeCell ref="C24:E24"/>
    <mergeCell ref="C25:E25"/>
    <mergeCell ref="C26:E26"/>
    <mergeCell ref="C27:E27"/>
    <mergeCell ref="C23:E23"/>
    <mergeCell ref="BS5:BS6"/>
    <mergeCell ref="BT5:BT6"/>
    <mergeCell ref="BM5:BN5"/>
    <mergeCell ref="BO5:BO6"/>
  </mergeCells>
  <printOptions horizontalCentered="1"/>
  <pageMargins left="0.70866141732283472" right="0.70866141732283472" top="0.74803149606299213" bottom="0.74803149606299213" header="0.31496062992125984" footer="0.31496062992125984"/>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49B1D-2496-4F8E-8EB2-4BB792E86CEE}">
  <sheetPr>
    <tabColor theme="8" tint="0.79998168889431442"/>
    <pageSetUpPr fitToPage="1"/>
  </sheetPr>
  <dimension ref="B2:W9"/>
  <sheetViews>
    <sheetView tabSelected="1" view="pageBreakPreview" zoomScaleNormal="100" zoomScaleSheetLayoutView="100" workbookViewId="0">
      <selection activeCell="O144" sqref="O144"/>
    </sheetView>
  </sheetViews>
  <sheetFormatPr baseColWidth="10" defaultRowHeight="15" x14ac:dyDescent="0.25"/>
  <cols>
    <col min="1" max="1" width="3" customWidth="1"/>
    <col min="3" max="3" width="15" customWidth="1"/>
    <col min="4" max="23" width="5.7109375" customWidth="1"/>
  </cols>
  <sheetData>
    <row r="2" spans="2:23" ht="16.5" x14ac:dyDescent="0.25">
      <c r="B2" s="613" t="s">
        <v>318</v>
      </c>
      <c r="C2" s="613"/>
      <c r="D2" s="614" t="s">
        <v>319</v>
      </c>
      <c r="E2" s="615"/>
      <c r="F2" s="615"/>
      <c r="G2" s="616"/>
      <c r="H2" s="614" t="s">
        <v>320</v>
      </c>
      <c r="I2" s="615"/>
      <c r="J2" s="615"/>
      <c r="K2" s="616"/>
      <c r="L2" s="614" t="s">
        <v>321</v>
      </c>
      <c r="M2" s="615"/>
      <c r="N2" s="615"/>
      <c r="O2" s="616"/>
      <c r="P2" s="614" t="s">
        <v>322</v>
      </c>
      <c r="Q2" s="615"/>
      <c r="R2" s="615"/>
      <c r="S2" s="616"/>
      <c r="T2" s="614" t="s">
        <v>323</v>
      </c>
      <c r="U2" s="615"/>
      <c r="V2" s="615"/>
      <c r="W2" s="616"/>
    </row>
    <row r="3" spans="2:23" ht="16.5" x14ac:dyDescent="0.25">
      <c r="B3" s="613"/>
      <c r="C3" s="613"/>
      <c r="D3" s="198">
        <v>1</v>
      </c>
      <c r="E3" s="198">
        <v>2</v>
      </c>
      <c r="F3" s="198">
        <v>3</v>
      </c>
      <c r="G3" s="198">
        <v>4</v>
      </c>
      <c r="H3" s="198">
        <v>1</v>
      </c>
      <c r="I3" s="198">
        <v>2</v>
      </c>
      <c r="J3" s="198">
        <v>3</v>
      </c>
      <c r="K3" s="198">
        <v>4</v>
      </c>
      <c r="L3" s="198">
        <v>1</v>
      </c>
      <c r="M3" s="198">
        <v>2</v>
      </c>
      <c r="N3" s="198">
        <v>3</v>
      </c>
      <c r="O3" s="198">
        <v>4</v>
      </c>
      <c r="P3" s="198">
        <v>1</v>
      </c>
      <c r="Q3" s="198">
        <v>2</v>
      </c>
      <c r="R3" s="198">
        <v>3</v>
      </c>
      <c r="S3" s="198">
        <v>4</v>
      </c>
      <c r="T3" s="198">
        <v>1</v>
      </c>
      <c r="U3" s="198">
        <v>2</v>
      </c>
      <c r="V3" s="198">
        <v>3</v>
      </c>
      <c r="W3" s="198">
        <v>4</v>
      </c>
    </row>
    <row r="4" spans="2:23" ht="16.5" x14ac:dyDescent="0.3">
      <c r="B4" s="617" t="s">
        <v>324</v>
      </c>
      <c r="C4" s="617"/>
      <c r="D4" s="199"/>
      <c r="E4" s="189"/>
      <c r="F4" s="189"/>
      <c r="G4" s="199"/>
      <c r="H4" s="199"/>
      <c r="I4" s="189"/>
      <c r="J4" s="189"/>
      <c r="K4" s="199"/>
      <c r="L4" s="189"/>
      <c r="M4" s="189"/>
      <c r="N4" s="199"/>
      <c r="O4" s="189"/>
      <c r="P4" s="189"/>
      <c r="Q4" s="189"/>
      <c r="R4" s="199"/>
      <c r="S4" s="189"/>
      <c r="T4" s="189"/>
      <c r="U4" s="189"/>
      <c r="V4" s="199"/>
      <c r="W4" s="189"/>
    </row>
    <row r="5" spans="2:23" ht="16.5" x14ac:dyDescent="0.3">
      <c r="B5" s="617" t="s">
        <v>325</v>
      </c>
      <c r="C5" s="617"/>
      <c r="D5" s="199"/>
      <c r="E5" s="189"/>
      <c r="F5" s="189"/>
      <c r="G5" s="199"/>
      <c r="H5" s="199"/>
      <c r="I5" s="189"/>
      <c r="J5" s="189"/>
      <c r="K5" s="199"/>
      <c r="L5" s="189"/>
      <c r="M5" s="189"/>
      <c r="N5" s="199"/>
      <c r="O5" s="189"/>
      <c r="P5" s="189"/>
      <c r="Q5" s="189"/>
      <c r="R5" s="199"/>
      <c r="S5" s="189"/>
      <c r="T5" s="189"/>
      <c r="U5" s="189"/>
      <c r="V5" s="199"/>
      <c r="W5" s="189"/>
    </row>
    <row r="6" spans="2:23" ht="16.5" x14ac:dyDescent="0.3">
      <c r="B6" s="617" t="s">
        <v>326</v>
      </c>
      <c r="C6" s="617"/>
      <c r="D6" s="199"/>
      <c r="E6" s="189"/>
      <c r="F6" s="189"/>
      <c r="G6" s="199"/>
      <c r="H6" s="199"/>
      <c r="I6" s="189"/>
      <c r="J6" s="189"/>
      <c r="K6" s="199"/>
      <c r="L6" s="189"/>
      <c r="M6" s="189"/>
      <c r="N6" s="199"/>
      <c r="O6" s="189"/>
      <c r="P6" s="189"/>
      <c r="Q6" s="189"/>
      <c r="R6" s="199"/>
      <c r="S6" s="189"/>
      <c r="T6" s="189"/>
      <c r="U6" s="189"/>
      <c r="V6" s="199"/>
      <c r="W6" s="189"/>
    </row>
    <row r="7" spans="2:23" ht="16.5" x14ac:dyDescent="0.3">
      <c r="B7" s="617" t="s">
        <v>198</v>
      </c>
      <c r="C7" s="617"/>
      <c r="D7" s="199"/>
      <c r="E7" s="189"/>
      <c r="F7" s="189"/>
      <c r="G7" s="199"/>
      <c r="H7" s="199"/>
      <c r="I7" s="189"/>
      <c r="J7" s="189"/>
      <c r="K7" s="199"/>
      <c r="L7" s="189"/>
      <c r="M7" s="189"/>
      <c r="N7" s="199"/>
      <c r="O7" s="189"/>
      <c r="P7" s="189"/>
      <c r="Q7" s="189"/>
      <c r="R7" s="199"/>
      <c r="S7" s="189"/>
      <c r="T7" s="189"/>
      <c r="U7" s="189"/>
      <c r="V7" s="199"/>
      <c r="W7" s="189"/>
    </row>
    <row r="8" spans="2:23" ht="16.5" x14ac:dyDescent="0.3">
      <c r="B8" s="618" t="s">
        <v>327</v>
      </c>
      <c r="C8" s="618"/>
      <c r="D8" s="199"/>
      <c r="E8" s="189"/>
      <c r="F8" s="189"/>
      <c r="G8" s="199"/>
      <c r="H8" s="199"/>
      <c r="I8" s="189"/>
      <c r="J8" s="189"/>
      <c r="K8" s="199"/>
      <c r="L8" s="189"/>
      <c r="M8" s="189"/>
      <c r="N8" s="199"/>
      <c r="O8" s="189"/>
      <c r="P8" s="189"/>
      <c r="Q8" s="189"/>
      <c r="R8" s="199"/>
      <c r="S8" s="189"/>
      <c r="T8" s="189"/>
      <c r="U8" s="189"/>
      <c r="V8" s="199"/>
      <c r="W8" s="189"/>
    </row>
    <row r="9" spans="2:23" ht="16.5" x14ac:dyDescent="0.25">
      <c r="B9" s="612" t="s">
        <v>328</v>
      </c>
      <c r="C9" s="612"/>
      <c r="D9" s="612"/>
      <c r="E9" s="612"/>
      <c r="F9" s="612"/>
      <c r="G9" s="612"/>
      <c r="H9" s="612"/>
      <c r="I9" s="612"/>
      <c r="J9" s="612"/>
      <c r="K9" s="612"/>
      <c r="L9" s="612"/>
      <c r="M9" s="612"/>
      <c r="N9" s="612"/>
      <c r="O9" s="612"/>
      <c r="P9" s="612"/>
      <c r="Q9" s="612"/>
      <c r="R9" s="612"/>
      <c r="S9" s="612"/>
      <c r="T9" s="612"/>
      <c r="U9" s="612"/>
      <c r="V9" s="612"/>
      <c r="W9" s="612"/>
    </row>
  </sheetData>
  <mergeCells count="12">
    <mergeCell ref="B9:W9"/>
    <mergeCell ref="B2:C3"/>
    <mergeCell ref="D2:G2"/>
    <mergeCell ref="H2:K2"/>
    <mergeCell ref="L2:O2"/>
    <mergeCell ref="P2:S2"/>
    <mergeCell ref="T2:W2"/>
    <mergeCell ref="B4:C4"/>
    <mergeCell ref="B5:C5"/>
    <mergeCell ref="B6:C6"/>
    <mergeCell ref="B7:C7"/>
    <mergeCell ref="B8:C8"/>
  </mergeCells>
  <printOptions horizontalCentered="1"/>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Inversión (Total)</vt:lpstr>
      <vt:lpstr>Monitoreo y Medidas Ambientales</vt:lpstr>
      <vt:lpstr>Monitoreo Post Remediación</vt:lpstr>
      <vt:lpstr>Cronograma General</vt:lpstr>
      <vt:lpstr>Apoyo</vt:lpstr>
      <vt:lpstr>Cronograma (Fases)</vt:lpstr>
      <vt:lpstr>Cronograma (Post Remediación)</vt:lpstr>
      <vt:lpstr>Apoyo!Área_de_impresión</vt:lpstr>
      <vt:lpstr>'Cronograma General'!Área_de_impresión</vt:lpstr>
      <vt:lpstr>'Inversión (Total)'!Área_de_impresión</vt:lpstr>
      <vt:lpstr>'Monitoreo Post Remediación'!Área_de_impresión</vt:lpstr>
      <vt:lpstr>'Monitoreo y Medidas Ambientales'!Área_de_impresión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Rosales</dc:creator>
  <cp:lastModifiedBy>Heiner Saldaña</cp:lastModifiedBy>
  <cp:lastPrinted>2021-06-30T21:18:57Z</cp:lastPrinted>
  <dcterms:created xsi:type="dcterms:W3CDTF">2019-01-10T14:45:33Z</dcterms:created>
  <dcterms:modified xsi:type="dcterms:W3CDTF">2021-06-30T21:19:51Z</dcterms:modified>
</cp:coreProperties>
</file>