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ESTADISTICAS 2023 - NUEVO\POR PERSONA\"/>
    </mc:Choice>
  </mc:AlternateContent>
  <xr:revisionPtr revIDLastSave="0" documentId="13_ncr:1_{0CB3C46E-EBB5-424E-8E7C-03493C597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tos medicos y sepelios" sheetId="1" r:id="rId1"/>
    <sheet name="Distrito" sheetId="2" r:id="rId2"/>
    <sheet name="Meses" sheetId="3" r:id="rId3"/>
    <sheet name="Sexo" sheetId="4" r:id="rId4"/>
    <sheet name="Edad" sheetId="5" r:id="rId5"/>
    <sheet name="Cobertura" sheetId="6" r:id="rId6"/>
    <sheet name="Dpto" sheetId="7" r:id="rId7"/>
    <sheet name="Monto Comprometido" sheetId="8" r:id="rId8"/>
    <sheet name="Establecimiento" sheetId="9" r:id="rId9"/>
    <sheet name="Comisaria" sheetId="10" r:id="rId10"/>
    <sheet name="Vehiculo" sheetId="11" r:id="rId11"/>
    <sheet name="Etilismo" sheetId="12" r:id="rId12"/>
    <sheet name="Diagnostico" sheetId="13" r:id="rId13"/>
    <sheet name="Hoja14" sheetId="14" r:id="rId14"/>
  </sheets>
  <externalReferences>
    <externalReference r:id="rId15"/>
  </externalReferences>
  <definedNames>
    <definedName name="_xlnm._FilterDatabase" localSheetId="0" hidden="1">'Gastos medicos y sepelios'!$A$3:$U$293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4" l="1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E13" i="6"/>
  <c r="E12" i="6"/>
  <c r="Y45" i="14" l="1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C293" i="14"/>
  <c r="X30" i="14" s="1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G34" i="14" s="1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Y52" i="14" s="1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S46" i="14" s="1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X51" i="14" s="1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T40" i="14" l="1"/>
  <c r="P35" i="14"/>
  <c r="H34" i="14"/>
  <c r="I34" i="14"/>
  <c r="S34" i="14"/>
  <c r="G51" i="14"/>
  <c r="M35" i="14"/>
  <c r="Y46" i="14"/>
  <c r="U34" i="14"/>
  <c r="H51" i="14"/>
  <c r="V34" i="14"/>
  <c r="I51" i="14"/>
  <c r="Q34" i="14"/>
  <c r="K51" i="14"/>
  <c r="P34" i="14"/>
  <c r="O35" i="14"/>
  <c r="Y30" i="14"/>
  <c r="P41" i="14"/>
  <c r="L51" i="14"/>
  <c r="O40" i="14"/>
  <c r="I47" i="14"/>
  <c r="Y51" i="14"/>
  <c r="K50" i="14"/>
  <c r="J37" i="14"/>
  <c r="N29" i="14"/>
  <c r="N52" i="14"/>
  <c r="J51" i="14"/>
  <c r="U47" i="14"/>
  <c r="V47" i="14"/>
  <c r="I35" i="14"/>
  <c r="W29" i="14"/>
  <c r="V49" i="14"/>
  <c r="O29" i="14"/>
  <c r="K37" i="14"/>
  <c r="M51" i="14"/>
  <c r="Y50" i="14"/>
  <c r="L35" i="14"/>
  <c r="W50" i="14"/>
  <c r="G46" i="14"/>
  <c r="H52" i="14"/>
  <c r="M40" i="14"/>
  <c r="H35" i="14"/>
  <c r="K34" i="14"/>
  <c r="O41" i="14"/>
  <c r="T46" i="14"/>
  <c r="I52" i="14"/>
  <c r="V35" i="14"/>
  <c r="N35" i="14"/>
  <c r="L37" i="14"/>
  <c r="Y32" i="14"/>
  <c r="L38" i="14"/>
  <c r="L34" i="14"/>
  <c r="U46" i="14"/>
  <c r="J52" i="14"/>
  <c r="X50" i="14"/>
  <c r="X31" i="14"/>
  <c r="G29" i="14"/>
  <c r="K35" i="14"/>
  <c r="Y29" i="14"/>
  <c r="N40" i="14"/>
  <c r="G52" i="14"/>
  <c r="V48" i="14"/>
  <c r="W48" i="14"/>
  <c r="M38" i="14"/>
  <c r="M34" i="14"/>
  <c r="V46" i="14"/>
  <c r="K52" i="14"/>
  <c r="J35" i="14"/>
  <c r="T47" i="14"/>
  <c r="Y31" i="14"/>
  <c r="J34" i="14"/>
  <c r="W30" i="14"/>
  <c r="S40" i="14"/>
  <c r="N37" i="14"/>
  <c r="N34" i="14"/>
  <c r="W46" i="14"/>
  <c r="L52" i="14"/>
  <c r="U48" i="14"/>
  <c r="H40" i="14"/>
  <c r="X29" i="14"/>
  <c r="V29" i="14"/>
  <c r="Q42" i="14"/>
  <c r="H49" i="14"/>
  <c r="O42" i="14"/>
  <c r="K38" i="14"/>
  <c r="K31" i="14"/>
  <c r="N41" i="14"/>
  <c r="G48" i="14"/>
  <c r="O34" i="14"/>
  <c r="X46" i="14"/>
  <c r="M52" i="14"/>
  <c r="W49" i="14"/>
  <c r="G32" i="14"/>
  <c r="P40" i="14"/>
  <c r="Q41" i="14"/>
  <c r="R42" i="14"/>
  <c r="W47" i="14"/>
  <c r="X48" i="14"/>
  <c r="Y49" i="14"/>
  <c r="P42" i="14"/>
  <c r="X47" i="14"/>
  <c r="Y48" i="14"/>
  <c r="G50" i="14"/>
  <c r="S42" i="14"/>
  <c r="Y47" i="14"/>
  <c r="G49" i="14"/>
  <c r="H50" i="14"/>
  <c r="T41" i="14"/>
  <c r="I50" i="14"/>
  <c r="G47" i="14"/>
  <c r="H48" i="14"/>
  <c r="I49" i="14"/>
  <c r="J50" i="14"/>
  <c r="H31" i="14"/>
  <c r="R41" i="14"/>
  <c r="O37" i="14"/>
  <c r="I29" i="14"/>
  <c r="J29" i="14"/>
  <c r="J31" i="14"/>
  <c r="U40" i="14"/>
  <c r="W41" i="14"/>
  <c r="M37" i="14"/>
  <c r="P37" i="14"/>
  <c r="S37" i="14"/>
  <c r="H46" i="14"/>
  <c r="R40" i="14"/>
  <c r="T42" i="14"/>
  <c r="M32" i="14"/>
  <c r="R35" i="14"/>
  <c r="T37" i="14"/>
  <c r="U38" i="14"/>
  <c r="W40" i="14"/>
  <c r="X41" i="14"/>
  <c r="Y42" i="14"/>
  <c r="I46" i="14"/>
  <c r="J47" i="14"/>
  <c r="K48" i="14"/>
  <c r="L49" i="14"/>
  <c r="M50" i="14"/>
  <c r="N51" i="14"/>
  <c r="O52" i="14"/>
  <c r="M29" i="14"/>
  <c r="N30" i="14"/>
  <c r="O31" i="14"/>
  <c r="P32" i="14"/>
  <c r="R34" i="14"/>
  <c r="S35" i="14"/>
  <c r="U37" i="14"/>
  <c r="V38" i="14"/>
  <c r="X40" i="14"/>
  <c r="Y41" i="14"/>
  <c r="J46" i="14"/>
  <c r="K47" i="14"/>
  <c r="L48" i="14"/>
  <c r="M49" i="14"/>
  <c r="N50" i="14"/>
  <c r="O51" i="14"/>
  <c r="P52" i="14"/>
  <c r="J32" i="14"/>
  <c r="S41" i="14"/>
  <c r="H47" i="14"/>
  <c r="N32" i="14"/>
  <c r="T38" i="14"/>
  <c r="L50" i="14"/>
  <c r="K46" i="14"/>
  <c r="L47" i="14"/>
  <c r="M48" i="14"/>
  <c r="N49" i="14"/>
  <c r="O50" i="14"/>
  <c r="P51" i="14"/>
  <c r="Q52" i="14"/>
  <c r="G31" i="14"/>
  <c r="N38" i="14"/>
  <c r="G30" i="14"/>
  <c r="L31" i="14"/>
  <c r="V37" i="14"/>
  <c r="W38" i="14"/>
  <c r="Y40" i="14"/>
  <c r="G42" i="14"/>
  <c r="P30" i="14"/>
  <c r="Q31" i="14"/>
  <c r="R32" i="14"/>
  <c r="T34" i="14"/>
  <c r="U35" i="14"/>
  <c r="W37" i="14"/>
  <c r="X38" i="14"/>
  <c r="G41" i="14"/>
  <c r="H42" i="14"/>
  <c r="L46" i="14"/>
  <c r="M47" i="14"/>
  <c r="N48" i="14"/>
  <c r="O49" i="14"/>
  <c r="P50" i="14"/>
  <c r="Q51" i="14"/>
  <c r="R52" i="14"/>
  <c r="Q40" i="14"/>
  <c r="I31" i="14"/>
  <c r="P38" i="14"/>
  <c r="U42" i="14"/>
  <c r="R38" i="14"/>
  <c r="Q35" i="14"/>
  <c r="V40" i="14"/>
  <c r="X42" i="14"/>
  <c r="J48" i="14"/>
  <c r="P31" i="14"/>
  <c r="P29" i="14"/>
  <c r="M46" i="14"/>
  <c r="N47" i="14"/>
  <c r="O48" i="14"/>
  <c r="P49" i="14"/>
  <c r="Q50" i="14"/>
  <c r="R51" i="14"/>
  <c r="S52" i="14"/>
  <c r="X49" i="14"/>
  <c r="U41" i="14"/>
  <c r="K30" i="14"/>
  <c r="L30" i="14"/>
  <c r="M30" i="14"/>
  <c r="Q32" i="14"/>
  <c r="G40" i="14"/>
  <c r="N46" i="14"/>
  <c r="O47" i="14"/>
  <c r="P48" i="14"/>
  <c r="Q49" i="14"/>
  <c r="R50" i="14"/>
  <c r="S51" i="14"/>
  <c r="T52" i="14"/>
  <c r="L32" i="14"/>
  <c r="V41" i="14"/>
  <c r="M31" i="14"/>
  <c r="T35" i="14"/>
  <c r="X37" i="14"/>
  <c r="Q29" i="14"/>
  <c r="W35" i="14"/>
  <c r="Y37" i="14"/>
  <c r="R29" i="14"/>
  <c r="S30" i="14"/>
  <c r="T31" i="14"/>
  <c r="U32" i="14"/>
  <c r="W34" i="14"/>
  <c r="X35" i="14"/>
  <c r="G38" i="14"/>
  <c r="I40" i="14"/>
  <c r="J41" i="14"/>
  <c r="K42" i="14"/>
  <c r="O46" i="14"/>
  <c r="P47" i="14"/>
  <c r="Q48" i="14"/>
  <c r="R49" i="14"/>
  <c r="S50" i="14"/>
  <c r="T51" i="14"/>
  <c r="U52" i="14"/>
  <c r="H30" i="14"/>
  <c r="H29" i="14"/>
  <c r="S38" i="14"/>
  <c r="J49" i="14"/>
  <c r="O32" i="14"/>
  <c r="R31" i="14"/>
  <c r="T32" i="14"/>
  <c r="I41" i="14"/>
  <c r="J42" i="14"/>
  <c r="S29" i="14"/>
  <c r="T30" i="14"/>
  <c r="U31" i="14"/>
  <c r="V32" i="14"/>
  <c r="X34" i="14"/>
  <c r="Y35" i="14"/>
  <c r="G37" i="14"/>
  <c r="H38" i="14"/>
  <c r="J40" i="14"/>
  <c r="K41" i="14"/>
  <c r="L42" i="14"/>
  <c r="P46" i="14"/>
  <c r="Q47" i="14"/>
  <c r="R48" i="14"/>
  <c r="S49" i="14"/>
  <c r="T50" i="14"/>
  <c r="U51" i="14"/>
  <c r="V52" i="14"/>
  <c r="K32" i="14"/>
  <c r="Q38" i="14"/>
  <c r="R37" i="14"/>
  <c r="K29" i="14"/>
  <c r="K49" i="14"/>
  <c r="L29" i="14"/>
  <c r="N31" i="14"/>
  <c r="Q30" i="14"/>
  <c r="Y38" i="14"/>
  <c r="I42" i="14"/>
  <c r="T29" i="14"/>
  <c r="U30" i="14"/>
  <c r="V31" i="14"/>
  <c r="W32" i="14"/>
  <c r="Y34" i="14"/>
  <c r="H37" i="14"/>
  <c r="I38" i="14"/>
  <c r="K40" i="14"/>
  <c r="L41" i="14"/>
  <c r="M42" i="14"/>
  <c r="Q46" i="14"/>
  <c r="R47" i="14"/>
  <c r="S48" i="14"/>
  <c r="T49" i="14"/>
  <c r="U50" i="14"/>
  <c r="V51" i="14"/>
  <c r="W52" i="14"/>
  <c r="H32" i="14"/>
  <c r="O38" i="14"/>
  <c r="I30" i="14"/>
  <c r="W42" i="14"/>
  <c r="O30" i="14"/>
  <c r="H41" i="14"/>
  <c r="S31" i="14"/>
  <c r="U29" i="14"/>
  <c r="V30" i="14"/>
  <c r="W31" i="14"/>
  <c r="X32" i="14"/>
  <c r="G35" i="14"/>
  <c r="I37" i="14"/>
  <c r="J38" i="14"/>
  <c r="L40" i="14"/>
  <c r="M41" i="14"/>
  <c r="N42" i="14"/>
  <c r="R46" i="14"/>
  <c r="S47" i="14"/>
  <c r="T48" i="14"/>
  <c r="U49" i="14"/>
  <c r="V50" i="14"/>
  <c r="W51" i="14"/>
  <c r="X52" i="14"/>
  <c r="I32" i="14"/>
  <c r="J30" i="14"/>
  <c r="Q37" i="14"/>
  <c r="V42" i="14"/>
  <c r="I48" i="14"/>
  <c r="S32" i="14"/>
  <c r="R30" i="14"/>
  <c r="C4" i="14" l="1"/>
  <c r="D295" i="14"/>
  <c r="D22" i="13"/>
  <c r="D21" i="13"/>
  <c r="D20" i="13"/>
  <c r="D19" i="13"/>
  <c r="D18" i="13"/>
  <c r="D17" i="13"/>
  <c r="D16" i="13"/>
  <c r="D15" i="13"/>
  <c r="D14" i="13"/>
  <c r="D13" i="13"/>
  <c r="D12" i="13"/>
  <c r="D11" i="13"/>
  <c r="A3" i="13"/>
  <c r="A2" i="13"/>
  <c r="E13" i="12"/>
  <c r="E12" i="12"/>
  <c r="A3" i="12"/>
  <c r="E21" i="11"/>
  <c r="E20" i="11"/>
  <c r="E19" i="11"/>
  <c r="E18" i="11"/>
  <c r="E17" i="11"/>
  <c r="E16" i="11"/>
  <c r="E15" i="11"/>
  <c r="E14" i="11"/>
  <c r="E13" i="11"/>
  <c r="E12" i="11"/>
  <c r="E11" i="11"/>
  <c r="A3" i="11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A3" i="10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3" i="9"/>
  <c r="A3" i="8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A3" i="7"/>
  <c r="A3" i="6"/>
  <c r="A2" i="6"/>
  <c r="E21" i="5"/>
  <c r="E13" i="5"/>
  <c r="A3" i="5"/>
  <c r="E13" i="4"/>
  <c r="E12" i="4"/>
  <c r="A3" i="4"/>
  <c r="A2" i="4"/>
  <c r="A5" i="3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A2" i="2"/>
  <c r="A2" i="10" s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S35" i="1"/>
  <c r="E12" i="8" s="1"/>
  <c r="E13" i="8" s="1"/>
  <c r="E14" i="8" s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A2" i="12" l="1"/>
  <c r="A2" i="11"/>
  <c r="L39" i="14"/>
  <c r="S39" i="14"/>
  <c r="M39" i="14"/>
  <c r="K39" i="14"/>
  <c r="J39" i="14"/>
  <c r="I39" i="14"/>
  <c r="T39" i="14"/>
  <c r="H39" i="14"/>
  <c r="G39" i="14"/>
  <c r="O39" i="14"/>
  <c r="Y39" i="14"/>
  <c r="X39" i="14"/>
  <c r="U39" i="14"/>
  <c r="P39" i="14"/>
  <c r="W39" i="14"/>
  <c r="V39" i="14"/>
  <c r="R39" i="14"/>
  <c r="Q39" i="14"/>
  <c r="N39" i="14"/>
  <c r="T4" i="14"/>
  <c r="E23" i="3"/>
  <c r="E24" i="3"/>
  <c r="E26" i="3"/>
  <c r="E17" i="3"/>
  <c r="E21" i="3"/>
  <c r="E25" i="3"/>
  <c r="P4" i="14"/>
  <c r="E15" i="3"/>
  <c r="E19" i="3"/>
  <c r="H4" i="14"/>
  <c r="X4" i="14"/>
  <c r="E18" i="3"/>
  <c r="E22" i="3"/>
  <c r="E16" i="3"/>
  <c r="E20" i="3"/>
  <c r="L4" i="14"/>
  <c r="Z36" i="14"/>
  <c r="Z28" i="14"/>
  <c r="Z44" i="14"/>
  <c r="Z43" i="14"/>
  <c r="W4" i="14"/>
  <c r="S4" i="14"/>
  <c r="O4" i="14"/>
  <c r="K4" i="14"/>
  <c r="G4" i="14"/>
  <c r="I4" i="14"/>
  <c r="M4" i="14"/>
  <c r="Q4" i="14"/>
  <c r="U4" i="14"/>
  <c r="Y4" i="14"/>
  <c r="J4" i="14"/>
  <c r="N4" i="14"/>
  <c r="R4" i="14"/>
  <c r="V4" i="14"/>
  <c r="Z33" i="14"/>
  <c r="Z45" i="14"/>
  <c r="B11" i="13"/>
  <c r="E15" i="13" s="1"/>
  <c r="C12" i="12"/>
  <c r="F13" i="12" s="1"/>
  <c r="C11" i="11"/>
  <c r="F14" i="11" s="1"/>
  <c r="C11" i="10"/>
  <c r="F13" i="10" s="1"/>
  <c r="A2" i="8"/>
  <c r="A2" i="5"/>
  <c r="A2" i="7"/>
  <c r="A2" i="9"/>
  <c r="F126" i="10"/>
  <c r="F152" i="10"/>
  <c r="F165" i="10"/>
  <c r="F56" i="10"/>
  <c r="F139" i="10"/>
  <c r="B11" i="9"/>
  <c r="E12" i="9" s="1"/>
  <c r="E15" i="8"/>
  <c r="C10" i="7"/>
  <c r="F13" i="7" s="1"/>
  <c r="C12" i="6"/>
  <c r="E14" i="5"/>
  <c r="C12" i="4"/>
  <c r="F13" i="4" s="1"/>
  <c r="C10" i="2"/>
  <c r="F12" i="2" s="1"/>
  <c r="F65" i="10" l="1"/>
  <c r="F137" i="10"/>
  <c r="F130" i="10"/>
  <c r="F70" i="10"/>
  <c r="F145" i="10"/>
  <c r="F99" i="10"/>
  <c r="F159" i="10"/>
  <c r="F178" i="10"/>
  <c r="F60" i="10"/>
  <c r="F135" i="10"/>
  <c r="F90" i="10"/>
  <c r="F36" i="10"/>
  <c r="F78" i="10"/>
  <c r="F27" i="10"/>
  <c r="F29" i="10"/>
  <c r="E21" i="13"/>
  <c r="F78" i="2"/>
  <c r="F120" i="10"/>
  <c r="F66" i="10"/>
  <c r="F166" i="10"/>
  <c r="F102" i="10"/>
  <c r="F124" i="10"/>
  <c r="F184" i="10"/>
  <c r="F63" i="10"/>
  <c r="F75" i="10"/>
  <c r="F121" i="10"/>
  <c r="F30" i="2"/>
  <c r="F171" i="10"/>
  <c r="F80" i="10"/>
  <c r="F26" i="10"/>
  <c r="F146" i="10"/>
  <c r="F177" i="10"/>
  <c r="F84" i="10"/>
  <c r="F164" i="10"/>
  <c r="F23" i="10"/>
  <c r="F103" i="10"/>
  <c r="F93" i="10"/>
  <c r="F187" i="10"/>
  <c r="F155" i="10"/>
  <c r="F48" i="10"/>
  <c r="F54" i="10"/>
  <c r="F122" i="10"/>
  <c r="F86" i="10"/>
  <c r="F161" i="10"/>
  <c r="F116" i="10"/>
  <c r="F52" i="10"/>
  <c r="F148" i="10"/>
  <c r="F55" i="10"/>
  <c r="F123" i="10"/>
  <c r="F115" i="10"/>
  <c r="F43" i="10"/>
  <c r="F113" i="10"/>
  <c r="F61" i="10"/>
  <c r="C15" i="3"/>
  <c r="F19" i="3" s="1"/>
  <c r="Z49" i="14"/>
  <c r="F67" i="2"/>
  <c r="F112" i="10"/>
  <c r="F58" i="10"/>
  <c r="F162" i="10"/>
  <c r="F180" i="10"/>
  <c r="F59" i="2"/>
  <c r="F12" i="4"/>
  <c r="F175" i="10"/>
  <c r="F143" i="10"/>
  <c r="F88" i="10"/>
  <c r="F24" i="10"/>
  <c r="F34" i="10"/>
  <c r="F182" i="10"/>
  <c r="F150" i="10"/>
  <c r="F98" i="10"/>
  <c r="F181" i="10"/>
  <c r="F149" i="10"/>
  <c r="F92" i="10"/>
  <c r="F94" i="10"/>
  <c r="F168" i="10"/>
  <c r="F134" i="10"/>
  <c r="F31" i="10"/>
  <c r="F35" i="10"/>
  <c r="F87" i="10"/>
  <c r="F14" i="10"/>
  <c r="F97" i="10"/>
  <c r="F33" i="10"/>
  <c r="F12" i="12"/>
  <c r="E17" i="13"/>
  <c r="E11" i="13"/>
  <c r="E16" i="13"/>
  <c r="E22" i="13"/>
  <c r="E12" i="13"/>
  <c r="Z34" i="14"/>
  <c r="F61" i="2"/>
  <c r="F183" i="10"/>
  <c r="F136" i="10"/>
  <c r="F82" i="10"/>
  <c r="F18" i="10"/>
  <c r="F174" i="10"/>
  <c r="F114" i="10"/>
  <c r="F38" i="10"/>
  <c r="F157" i="10"/>
  <c r="F108" i="10"/>
  <c r="F44" i="10"/>
  <c r="F176" i="10"/>
  <c r="F144" i="10"/>
  <c r="F47" i="10"/>
  <c r="F131" i="10"/>
  <c r="F71" i="10"/>
  <c r="F83" i="10"/>
  <c r="F109" i="10"/>
  <c r="F81" i="10"/>
  <c r="F25" i="10"/>
  <c r="E18" i="13"/>
  <c r="E13" i="13"/>
  <c r="E19" i="13"/>
  <c r="Z35" i="14"/>
  <c r="F35" i="2"/>
  <c r="F167" i="10"/>
  <c r="F151" i="10"/>
  <c r="F104" i="10"/>
  <c r="F72" i="10"/>
  <c r="F40" i="10"/>
  <c r="F50" i="10"/>
  <c r="F30" i="10"/>
  <c r="F158" i="10"/>
  <c r="F142" i="10"/>
  <c r="F11" i="10"/>
  <c r="F173" i="10"/>
  <c r="F141" i="10"/>
  <c r="F76" i="10"/>
  <c r="F62" i="10"/>
  <c r="F160" i="10"/>
  <c r="F118" i="10"/>
  <c r="F15" i="10"/>
  <c r="F51" i="10"/>
  <c r="F111" i="10"/>
  <c r="F129" i="10"/>
  <c r="F49" i="10"/>
  <c r="F99" i="2"/>
  <c r="F94" i="2"/>
  <c r="F45" i="2"/>
  <c r="F179" i="10"/>
  <c r="F163" i="10"/>
  <c r="F147" i="10"/>
  <c r="F128" i="10"/>
  <c r="F96" i="10"/>
  <c r="F64" i="10"/>
  <c r="F32" i="10"/>
  <c r="F74" i="10"/>
  <c r="F42" i="10"/>
  <c r="F20" i="10"/>
  <c r="F186" i="10"/>
  <c r="F170" i="10"/>
  <c r="F154" i="10"/>
  <c r="F138" i="10"/>
  <c r="F106" i="10"/>
  <c r="F110" i="10"/>
  <c r="F185" i="10"/>
  <c r="F169" i="10"/>
  <c r="F153" i="10"/>
  <c r="F132" i="10"/>
  <c r="F100" i="10"/>
  <c r="F68" i="10"/>
  <c r="F28" i="10"/>
  <c r="F46" i="10"/>
  <c r="F172" i="10"/>
  <c r="F156" i="10"/>
  <c r="F140" i="10"/>
  <c r="F22" i="10"/>
  <c r="F39" i="10"/>
  <c r="F59" i="10"/>
  <c r="F19" i="10"/>
  <c r="F67" i="10"/>
  <c r="F79" i="10"/>
  <c r="F119" i="10"/>
  <c r="F107" i="10"/>
  <c r="F125" i="10"/>
  <c r="F105" i="10"/>
  <c r="F77" i="10"/>
  <c r="F45" i="10"/>
  <c r="F21" i="10"/>
  <c r="E14" i="13"/>
  <c r="E20" i="13"/>
  <c r="Z16" i="14"/>
  <c r="F91" i="2"/>
  <c r="F27" i="2"/>
  <c r="F14" i="2"/>
  <c r="Z30" i="14"/>
  <c r="F12" i="6"/>
  <c r="F13" i="6"/>
  <c r="G53" i="14"/>
  <c r="W53" i="14"/>
  <c r="H53" i="14"/>
  <c r="V53" i="14"/>
  <c r="Z46" i="14"/>
  <c r="Q53" i="14"/>
  <c r="T53" i="14"/>
  <c r="O53" i="14"/>
  <c r="M53" i="14"/>
  <c r="P53" i="14"/>
  <c r="Z51" i="14"/>
  <c r="X53" i="14"/>
  <c r="I53" i="14"/>
  <c r="N53" i="14"/>
  <c r="J53" i="14"/>
  <c r="S53" i="14"/>
  <c r="Z37" i="14"/>
  <c r="K53" i="14"/>
  <c r="L53" i="14"/>
  <c r="R53" i="14"/>
  <c r="U53" i="14"/>
  <c r="Y53" i="14"/>
  <c r="Z48" i="14"/>
  <c r="Z15" i="14"/>
  <c r="Z32" i="14"/>
  <c r="Z41" i="14"/>
  <c r="Z50" i="14"/>
  <c r="Z38" i="14"/>
  <c r="Z42" i="14"/>
  <c r="Z4" i="14"/>
  <c r="Z47" i="14"/>
  <c r="Z39" i="14"/>
  <c r="Z52" i="14"/>
  <c r="Z40" i="14"/>
  <c r="Z31" i="14"/>
  <c r="Z29" i="14"/>
  <c r="F12" i="11"/>
  <c r="F21" i="11"/>
  <c r="F18" i="11"/>
  <c r="F19" i="11"/>
  <c r="F15" i="11"/>
  <c r="F17" i="11"/>
  <c r="F20" i="11"/>
  <c r="F11" i="11"/>
  <c r="F13" i="11"/>
  <c r="F16" i="11"/>
  <c r="F89" i="10"/>
  <c r="F73" i="10"/>
  <c r="F57" i="10"/>
  <c r="F41" i="10"/>
  <c r="F16" i="10"/>
  <c r="F17" i="10"/>
  <c r="F95" i="10"/>
  <c r="F127" i="10"/>
  <c r="F91" i="10"/>
  <c r="F133" i="10"/>
  <c r="F117" i="10"/>
  <c r="F101" i="10"/>
  <c r="F85" i="10"/>
  <c r="F69" i="10"/>
  <c r="F53" i="10"/>
  <c r="F37" i="10"/>
  <c r="F12" i="10"/>
  <c r="F83" i="2"/>
  <c r="F51" i="2"/>
  <c r="F19" i="2"/>
  <c r="F62" i="2"/>
  <c r="F93" i="2"/>
  <c r="F21" i="2"/>
  <c r="F107" i="2"/>
  <c r="F75" i="2"/>
  <c r="F43" i="2"/>
  <c r="F11" i="2"/>
  <c r="F46" i="2"/>
  <c r="F77" i="2"/>
  <c r="F32" i="2"/>
  <c r="E87" i="9"/>
  <c r="E71" i="9"/>
  <c r="E55" i="9"/>
  <c r="E39" i="9"/>
  <c r="E23" i="9"/>
  <c r="E90" i="9"/>
  <c r="E74" i="9"/>
  <c r="E58" i="9"/>
  <c r="E42" i="9"/>
  <c r="E26" i="9"/>
  <c r="E89" i="9"/>
  <c r="E73" i="9"/>
  <c r="E57" i="9"/>
  <c r="E41" i="9"/>
  <c r="E25" i="9"/>
  <c r="E88" i="9"/>
  <c r="E72" i="9"/>
  <c r="E56" i="9"/>
  <c r="E40" i="9"/>
  <c r="E24" i="9"/>
  <c r="E83" i="9"/>
  <c r="E67" i="9"/>
  <c r="E51" i="9"/>
  <c r="E35" i="9"/>
  <c r="E19" i="9"/>
  <c r="E86" i="9"/>
  <c r="E70" i="9"/>
  <c r="E54" i="9"/>
  <c r="E38" i="9"/>
  <c r="E22" i="9"/>
  <c r="E85" i="9"/>
  <c r="E69" i="9"/>
  <c r="E53" i="9"/>
  <c r="E37" i="9"/>
  <c r="E21" i="9"/>
  <c r="E84" i="9"/>
  <c r="E68" i="9"/>
  <c r="E52" i="9"/>
  <c r="E36" i="9"/>
  <c r="E20" i="9"/>
  <c r="E79" i="9"/>
  <c r="E63" i="9"/>
  <c r="E47" i="9"/>
  <c r="E31" i="9"/>
  <c r="E15" i="9"/>
  <c r="E82" i="9"/>
  <c r="E66" i="9"/>
  <c r="E50" i="9"/>
  <c r="E34" i="9"/>
  <c r="E18" i="9"/>
  <c r="E81" i="9"/>
  <c r="E65" i="9"/>
  <c r="E49" i="9"/>
  <c r="E33" i="9"/>
  <c r="E17" i="9"/>
  <c r="E80" i="9"/>
  <c r="E64" i="9"/>
  <c r="E48" i="9"/>
  <c r="E32" i="9"/>
  <c r="E16" i="9"/>
  <c r="E91" i="9"/>
  <c r="E75" i="9"/>
  <c r="E59" i="9"/>
  <c r="E43" i="9"/>
  <c r="E27" i="9"/>
  <c r="E11" i="9"/>
  <c r="E78" i="9"/>
  <c r="E62" i="9"/>
  <c r="E46" i="9"/>
  <c r="E30" i="9"/>
  <c r="E14" i="9"/>
  <c r="E77" i="9"/>
  <c r="E61" i="9"/>
  <c r="E45" i="9"/>
  <c r="E29" i="9"/>
  <c r="E13" i="9"/>
  <c r="E76" i="9"/>
  <c r="E60" i="9"/>
  <c r="E44" i="9"/>
  <c r="E28" i="9"/>
  <c r="E16" i="8"/>
  <c r="E17" i="8" s="1"/>
  <c r="F23" i="7"/>
  <c r="F14" i="7"/>
  <c r="F28" i="7"/>
  <c r="F12" i="7"/>
  <c r="F19" i="7"/>
  <c r="F26" i="7"/>
  <c r="F10" i="7"/>
  <c r="F25" i="7"/>
  <c r="F15" i="7"/>
  <c r="F22" i="7"/>
  <c r="F17" i="7"/>
  <c r="F16" i="7"/>
  <c r="F21" i="7"/>
  <c r="F24" i="7"/>
  <c r="F20" i="7"/>
  <c r="F27" i="7"/>
  <c r="F11" i="7"/>
  <c r="F18" i="7"/>
  <c r="E15" i="5"/>
  <c r="E16" i="5" s="1"/>
  <c r="F103" i="2"/>
  <c r="F87" i="2"/>
  <c r="F71" i="2"/>
  <c r="F55" i="2"/>
  <c r="F39" i="2"/>
  <c r="F23" i="2"/>
  <c r="F106" i="2"/>
  <c r="F90" i="2"/>
  <c r="F74" i="2"/>
  <c r="F58" i="2"/>
  <c r="F42" i="2"/>
  <c r="F26" i="2"/>
  <c r="F105" i="2"/>
  <c r="F89" i="2"/>
  <c r="F73" i="2"/>
  <c r="F57" i="2"/>
  <c r="F41" i="2"/>
  <c r="F104" i="2"/>
  <c r="F96" i="2"/>
  <c r="F102" i="2"/>
  <c r="F86" i="2"/>
  <c r="F70" i="2"/>
  <c r="F54" i="2"/>
  <c r="F38" i="2"/>
  <c r="F22" i="2"/>
  <c r="F101" i="2"/>
  <c r="F85" i="2"/>
  <c r="F69" i="2"/>
  <c r="F53" i="2"/>
  <c r="F37" i="2"/>
  <c r="F88" i="2"/>
  <c r="F68" i="2"/>
  <c r="F10" i="2"/>
  <c r="F95" i="2"/>
  <c r="F79" i="2"/>
  <c r="F63" i="2"/>
  <c r="F47" i="2"/>
  <c r="F31" i="2"/>
  <c r="F15" i="2"/>
  <c r="F98" i="2"/>
  <c r="F82" i="2"/>
  <c r="F66" i="2"/>
  <c r="F50" i="2"/>
  <c r="F34" i="2"/>
  <c r="F18" i="2"/>
  <c r="F97" i="2"/>
  <c r="F81" i="2"/>
  <c r="F65" i="2"/>
  <c r="F49" i="2"/>
  <c r="F25" i="2"/>
  <c r="F64" i="2"/>
  <c r="F36" i="2"/>
  <c r="F56" i="2"/>
  <c r="F24" i="2"/>
  <c r="F92" i="2"/>
  <c r="F60" i="2"/>
  <c r="F28" i="2"/>
  <c r="F33" i="2"/>
  <c r="F17" i="2"/>
  <c r="F80" i="2"/>
  <c r="F48" i="2"/>
  <c r="F16" i="2"/>
  <c r="F84" i="2"/>
  <c r="F52" i="2"/>
  <c r="F20" i="2"/>
  <c r="F29" i="2"/>
  <c r="F13" i="2"/>
  <c r="F72" i="2"/>
  <c r="F40" i="2"/>
  <c r="F100" i="2"/>
  <c r="F76" i="2"/>
  <c r="F44" i="2"/>
  <c r="F21" i="3" l="1"/>
  <c r="F22" i="3"/>
  <c r="F23" i="3"/>
  <c r="F18" i="3"/>
  <c r="F20" i="3"/>
  <c r="F25" i="3"/>
  <c r="F26" i="3"/>
  <c r="F15" i="3"/>
  <c r="F24" i="3"/>
  <c r="F16" i="3"/>
  <c r="F17" i="3"/>
  <c r="Z53" i="14"/>
  <c r="E17" i="5"/>
  <c r="E18" i="5" s="1"/>
  <c r="C12" i="8" l="1"/>
  <c r="E19" i="5"/>
  <c r="F12" i="8" l="1"/>
  <c r="F14" i="8"/>
  <c r="F13" i="8"/>
  <c r="F15" i="8"/>
  <c r="F16" i="8"/>
  <c r="F17" i="8"/>
  <c r="E20" i="5"/>
  <c r="C13" i="5" s="1"/>
  <c r="F13" i="5" l="1"/>
  <c r="F21" i="5"/>
  <c r="F14" i="5"/>
  <c r="F15" i="5"/>
  <c r="F16" i="5"/>
  <c r="F18" i="5"/>
  <c r="F17" i="5"/>
  <c r="F19" i="5"/>
  <c r="F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Arenas Alcántara, Cinthia Teresa</author>
  </authors>
  <commentList>
    <comment ref="F19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Arenas Alcántara, Cinthia Teresa:</t>
        </r>
        <r>
          <rPr>
            <sz val="9"/>
            <color indexed="81"/>
            <rFont val="Tahoma"/>
            <family val="2"/>
          </rPr>
          <t xml:space="preserve">
CASO FUE REPORTADO MEDIANTE CORREO 25/03/2021</t>
        </r>
      </text>
    </comment>
  </commentList>
</comments>
</file>

<file path=xl/sharedStrings.xml><?xml version="1.0" encoding="utf-8"?>
<sst xmlns="http://schemas.openxmlformats.org/spreadsheetml/2006/main" count="4368" uniqueCount="1121">
  <si>
    <t xml:space="preserve">SINIESTROS 2022 - COBERTURADOS POR EL FONDO SOAT Y CAT </t>
  </si>
  <si>
    <t>Nº</t>
  </si>
  <si>
    <t>Nº SINIESTRO</t>
  </si>
  <si>
    <t>AÑO</t>
  </si>
  <si>
    <t>Mes</t>
  </si>
  <si>
    <t>FECHA DE ACCIDENTE</t>
  </si>
  <si>
    <t>FECHA APERTURA</t>
  </si>
  <si>
    <t>Nº DE CASO</t>
  </si>
  <si>
    <t xml:space="preserve">APELLIDOS Y NOMBRE </t>
  </si>
  <si>
    <t>SEXO</t>
  </si>
  <si>
    <t>EDAD</t>
  </si>
  <si>
    <t>TIPO COBERTURA</t>
  </si>
  <si>
    <t>DISTRITO</t>
  </si>
  <si>
    <t>DEPARTAMENTO</t>
  </si>
  <si>
    <t>DELEGACIÓN 
POLICIAL</t>
  </si>
  <si>
    <t>VEHICULO</t>
  </si>
  <si>
    <t>ETILISMO</t>
  </si>
  <si>
    <t>ESTABLECIMIENTO DE SALUD</t>
  </si>
  <si>
    <t>COMPROMETIDO</t>
  </si>
  <si>
    <t>DIAGNOSTICO MEDICO</t>
  </si>
  <si>
    <t>DETALLE DIAGNOSTICO MEDICO</t>
  </si>
  <si>
    <t>0001T</t>
  </si>
  <si>
    <t>2232122020</t>
  </si>
  <si>
    <t>ZEVALLOS GUZMAN NICOLAS</t>
  </si>
  <si>
    <t>MASCULINO</t>
  </si>
  <si>
    <t>HUANCAYO</t>
  </si>
  <si>
    <t>JUNIN</t>
  </si>
  <si>
    <t>SAPALLANGA</t>
  </si>
  <si>
    <t>NO IDENTIFICADO</t>
  </si>
  <si>
    <t>NO</t>
  </si>
  <si>
    <t>INSTITUTO DE MEDICINA LEGAL</t>
  </si>
  <si>
    <t>FALLECIDO</t>
  </si>
  <si>
    <t>0002T</t>
  </si>
  <si>
    <t>9571022020</t>
  </si>
  <si>
    <t>CONDORI HUANCA NICOLAS</t>
  </si>
  <si>
    <t>SAN JUAN DE LURIGANCHO</t>
  </si>
  <si>
    <t>LIMA</t>
  </si>
  <si>
    <t>SANTA ELIZABETH</t>
  </si>
  <si>
    <t>HOSPITAL ESSALUD ALMENARA</t>
  </si>
  <si>
    <t>POLICONTUSO</t>
  </si>
  <si>
    <t>0003T</t>
  </si>
  <si>
    <t>9670032020</t>
  </si>
  <si>
    <t>CAMONES VICUÑA MELQUIADES</t>
  </si>
  <si>
    <t>HUAURA</t>
  </si>
  <si>
    <t>HUACHO</t>
  </si>
  <si>
    <t>HOSPITAL HUACHO-HUAURA-OYON Y SERVICIOS BASICOS DE SALUD</t>
  </si>
  <si>
    <t>TEC</t>
  </si>
  <si>
    <t xml:space="preserve">TEC </t>
  </si>
  <si>
    <t>0004T</t>
  </si>
  <si>
    <t>2284962020</t>
  </si>
  <si>
    <t>ARIAS ARIAS CLODOMIRO HIPOLITO</t>
  </si>
  <si>
    <t>COMAS</t>
  </si>
  <si>
    <t>0005T</t>
  </si>
  <si>
    <t>9644032020</t>
  </si>
  <si>
    <t>LLOCLLE QUISPE FLORENTINO</t>
  </si>
  <si>
    <t>SURQUILLO</t>
  </si>
  <si>
    <t>MOTO LINEAL</t>
  </si>
  <si>
    <t>CLINICA LIMATAMBO</t>
  </si>
  <si>
    <t>FRACTURA</t>
  </si>
  <si>
    <t>FRACTURA DE TIBIA</t>
  </si>
  <si>
    <t>006T</t>
  </si>
  <si>
    <t>9676032020</t>
  </si>
  <si>
    <t>HUAMAN RAMON AURIA VERONICA</t>
  </si>
  <si>
    <t>FEMENINO</t>
  </si>
  <si>
    <t>SANTA ANITA</t>
  </si>
  <si>
    <t>EL AGUSTINO</t>
  </si>
  <si>
    <t>007T</t>
  </si>
  <si>
    <t>2548902021</t>
  </si>
  <si>
    <t>CANO VILLAR JAVIER ANGEL</t>
  </si>
  <si>
    <t>VILLA EL SALVADOR</t>
  </si>
  <si>
    <t>URB. PACHACAMAC</t>
  </si>
  <si>
    <t>OMNIBUS</t>
  </si>
  <si>
    <t>HOSPITAL DE EMERGENCIAS VILLA EL SALVADOR</t>
  </si>
  <si>
    <t>TRAUMATISMO</t>
  </si>
  <si>
    <t>TRAUMATISMOS MULTIPLES</t>
  </si>
  <si>
    <t>008T</t>
  </si>
  <si>
    <t>9649032020</t>
  </si>
  <si>
    <t>RAMOS YZAGUIRRE KATHERINE ROSMERY</t>
  </si>
  <si>
    <t>PUCUSANA</t>
  </si>
  <si>
    <t xml:space="preserve">TRAUMATISMO ABDOMINAL </t>
  </si>
  <si>
    <t>009T</t>
  </si>
  <si>
    <t>9259112019</t>
  </si>
  <si>
    <t>SANCHEZ PORTUGUEZ VIRGILIO</t>
  </si>
  <si>
    <t>SANTIAGO DE SURCO</t>
  </si>
  <si>
    <t>MONTERRICO</t>
  </si>
  <si>
    <t>010T</t>
  </si>
  <si>
    <t>9659032020</t>
  </si>
  <si>
    <t>PARDO MELGAREJO JUDDY</t>
  </si>
  <si>
    <t>SAN CAYETANO</t>
  </si>
  <si>
    <t>HOSPITAL DE EMERGENCIAS GRAU-ESSALUD</t>
  </si>
  <si>
    <t>ESGUINCE</t>
  </si>
  <si>
    <t>ESGUINCE PIE DERECHO</t>
  </si>
  <si>
    <t>011T</t>
  </si>
  <si>
    <t>9358122019</t>
  </si>
  <si>
    <t>PORTAL RUEDA MIGUEL ALBERTO</t>
  </si>
  <si>
    <t>BARRANCO</t>
  </si>
  <si>
    <t>HOSPITAL ESSALUD REBAGLIATI</t>
  </si>
  <si>
    <t>CONTUSION</t>
  </si>
  <si>
    <t>CONTUSION DE CADERA</t>
  </si>
  <si>
    <t>012T</t>
  </si>
  <si>
    <t>2297022020</t>
  </si>
  <si>
    <t>VERGARA OXSA MIGUEL ANGEL</t>
  </si>
  <si>
    <t>CHORRILLOS</t>
  </si>
  <si>
    <t>SAN GENARO</t>
  </si>
  <si>
    <t>MOTOTAXI</t>
  </si>
  <si>
    <t>CONTUSION DE HOMBRO Y BRAZO IZQUIERDO</t>
  </si>
  <si>
    <t>2714752022</t>
  </si>
  <si>
    <t>MORENO SOTELO MARIA DEL CARMEN</t>
  </si>
  <si>
    <t>CANTO REY</t>
  </si>
  <si>
    <t>HOSPITAL HIPOLITO UNANUE</t>
  </si>
  <si>
    <t>2715112022</t>
  </si>
  <si>
    <t>UMBO LIZANO CAMILO</t>
  </si>
  <si>
    <t>TALARA</t>
  </si>
  <si>
    <t>PIURA</t>
  </si>
  <si>
    <t>CLINICA BELLO HORIZONTE</t>
  </si>
  <si>
    <t>TEC SEVERO</t>
  </si>
  <si>
    <t>2715192022</t>
  </si>
  <si>
    <t>VILCHEZ YARLEQUE JOSE LIBORIO</t>
  </si>
  <si>
    <t>YANAHUARA</t>
  </si>
  <si>
    <t>HOSPITAL YANAHUARA ESSALUD</t>
  </si>
  <si>
    <t>2022030042</t>
  </si>
  <si>
    <t>GARCIA RODRIGUEZ HECTOR EDUARDO</t>
  </si>
  <si>
    <t>SANTA</t>
  </si>
  <si>
    <t>ANCASH</t>
  </si>
  <si>
    <t>BUENOS AIRES</t>
  </si>
  <si>
    <t>2717432022</t>
  </si>
  <si>
    <t>HUAMANI CANCHARI JOSE LUIS</t>
  </si>
  <si>
    <t>CAÑETE</t>
  </si>
  <si>
    <t>SAN LUIS</t>
  </si>
  <si>
    <t>2022020008</t>
  </si>
  <si>
    <t>JEREMIAS CONDEZO BENITO FORTUNATO</t>
  </si>
  <si>
    <t>HOSPITAL NACIONAL RAMIRO PRIALE - RAJ - RED ASISTENCIAL JUNIN - ESSALUD</t>
  </si>
  <si>
    <t>2719442022</t>
  </si>
  <si>
    <t>VASQUEZ LLANOS SEGUNDO JULIO</t>
  </si>
  <si>
    <t>TRUJILLO</t>
  </si>
  <si>
    <t>LA LIBERTAD</t>
  </si>
  <si>
    <t>EL MILAGRO</t>
  </si>
  <si>
    <t>2717722022</t>
  </si>
  <si>
    <t>GARCIA SOSA JUAN ANTONIO</t>
  </si>
  <si>
    <t>CARABAYLLO</t>
  </si>
  <si>
    <t>SANTA ISABEL</t>
  </si>
  <si>
    <t>HOSPITAL SERGIO BERNALES</t>
  </si>
  <si>
    <t>2717962022</t>
  </si>
  <si>
    <t>GONZALES PORTOCARRERO CRISTIAN</t>
  </si>
  <si>
    <t>HUACHIPA</t>
  </si>
  <si>
    <t>2719452022</t>
  </si>
  <si>
    <t>SEDANO MONTES EVER CRISTIAN</t>
  </si>
  <si>
    <t>SALAS</t>
  </si>
  <si>
    <t>ICA</t>
  </si>
  <si>
    <t>GUADALUPE</t>
  </si>
  <si>
    <t>2719472022</t>
  </si>
  <si>
    <t>CESPEDES MIXAN CARLOS RODOLFO</t>
  </si>
  <si>
    <t>CHICLAYO</t>
  </si>
  <si>
    <t>LAMBAYEQUE</t>
  </si>
  <si>
    <t>CAMPODONICO</t>
  </si>
  <si>
    <t>2722022022</t>
  </si>
  <si>
    <t>CASTILLO CASTRO SERGIO MARTIN</t>
  </si>
  <si>
    <t>26 DE OCTUBRE</t>
  </si>
  <si>
    <t>HOSPITAL III CAYETANO HEREDIA-PIURA-ESSALUD</t>
  </si>
  <si>
    <t>2022020005</t>
  </si>
  <si>
    <t>NAVARRO CHUQUICAHUA JUAN BAUTISTA</t>
  </si>
  <si>
    <t>CAMIONETA</t>
  </si>
  <si>
    <t>ATRICCION</t>
  </si>
  <si>
    <t>ATRICCION DE PIE IZQUIERDO</t>
  </si>
  <si>
    <t>2724162022</t>
  </si>
  <si>
    <t>MAMANI HUAYTA HECTOR</t>
  </si>
  <si>
    <t>JULIACA</t>
  </si>
  <si>
    <t>PUNO</t>
  </si>
  <si>
    <t>SANTA BARBARA</t>
  </si>
  <si>
    <t>2725942022</t>
  </si>
  <si>
    <t>BUSTAMANTE CIEZA JOSE ASUNCION</t>
  </si>
  <si>
    <t>LA VICTORIA</t>
  </si>
  <si>
    <t>2726762022</t>
  </si>
  <si>
    <t>MOYA TORRES JONATHAN JEISON</t>
  </si>
  <si>
    <t>ATE VITARTE</t>
  </si>
  <si>
    <t>SANTA CLARA</t>
  </si>
  <si>
    <t>AUTOMOVIL</t>
  </si>
  <si>
    <t>2726582022</t>
  </si>
  <si>
    <t>MAMANI DIAZ LINO</t>
  </si>
  <si>
    <t>ILAVE</t>
  </si>
  <si>
    <t>COLLAO-ILAVE</t>
  </si>
  <si>
    <t xml:space="preserve">FALLECIDO </t>
  </si>
  <si>
    <t>2729022022</t>
  </si>
  <si>
    <t>MARCE CONDEMAYTA CESAR AURELIO</t>
  </si>
  <si>
    <t>ACORA</t>
  </si>
  <si>
    <t>HOSPITAL DE ACORA</t>
  </si>
  <si>
    <t>POLITRAUMATIZADO</t>
  </si>
  <si>
    <t>2728802022</t>
  </si>
  <si>
    <t>GAMARRA NARVASTA BENITES</t>
  </si>
  <si>
    <t>HUALMAY</t>
  </si>
  <si>
    <t>TRAYLER</t>
  </si>
  <si>
    <t>2731072022</t>
  </si>
  <si>
    <t>CABRERA TORRES TEODOLFO</t>
  </si>
  <si>
    <t>JAYANCA</t>
  </si>
  <si>
    <t>2731082022</t>
  </si>
  <si>
    <t>CALDERON ORE MIGUEL ANGEL</t>
  </si>
  <si>
    <t>CONCEPCION</t>
  </si>
  <si>
    <t>2022030046</t>
  </si>
  <si>
    <t>LUYO SOTELO JUAN CARLOS</t>
  </si>
  <si>
    <t>CLINICA SAN VICENTE</t>
  </si>
  <si>
    <t>FRACTURA DE MALEOLO TIBIAL DERECHO</t>
  </si>
  <si>
    <t>2022020009</t>
  </si>
  <si>
    <t>VILLAVICENCIO SIFUENTES PEDRO</t>
  </si>
  <si>
    <t>HUARAL</t>
  </si>
  <si>
    <t>HOSPITAL DE CHANCAY</t>
  </si>
  <si>
    <t>FRACTURA DE TIBIA Y PERONE</t>
  </si>
  <si>
    <t>2022020007</t>
  </si>
  <si>
    <t>ESPINOZA GARCIA VICTOR</t>
  </si>
  <si>
    <t>2022040143</t>
  </si>
  <si>
    <t>CRUZ ROSALES GLADYS JENNY</t>
  </si>
  <si>
    <t>INDEPENDENCIA</t>
  </si>
  <si>
    <t>HOSPITAL LUIS NEGREIROS</t>
  </si>
  <si>
    <t>LUXACION</t>
  </si>
  <si>
    <t>2022020006</t>
  </si>
  <si>
    <t>ZAMBRANO BANCES GAHELA NICOLLE</t>
  </si>
  <si>
    <t>TUMBES</t>
  </si>
  <si>
    <t>TABLAZO</t>
  </si>
  <si>
    <t>2022020016</t>
  </si>
  <si>
    <t>MASGO ARELLANO EDGAR CRISTHIAN</t>
  </si>
  <si>
    <t>TUPAC AMARU</t>
  </si>
  <si>
    <t>SI</t>
  </si>
  <si>
    <t>2022020014</t>
  </si>
  <si>
    <t>CONDORI TICONA ANSELMO</t>
  </si>
  <si>
    <t>CALLAO</t>
  </si>
  <si>
    <t>BELLAVISTA</t>
  </si>
  <si>
    <t>HOSPITAL CARRION DEL CALLAO</t>
  </si>
  <si>
    <t>FRACTURA EXPUESTA</t>
  </si>
  <si>
    <t>2022020017</t>
  </si>
  <si>
    <t>ARCE JIMENEZ ALEJANDRO JOEL SANTINO</t>
  </si>
  <si>
    <t>PUEBLO LIBRE</t>
  </si>
  <si>
    <t>HOSPITAL SANTA ROSA</t>
  </si>
  <si>
    <t>ESGUINCE DE RODILLA</t>
  </si>
  <si>
    <t>2022020019</t>
  </si>
  <si>
    <t>RICSE REQUENA GAMANIEL</t>
  </si>
  <si>
    <t>2022020022</t>
  </si>
  <si>
    <t>CONDORI CRUZ MARIANO</t>
  </si>
  <si>
    <t>HUANCANE</t>
  </si>
  <si>
    <t>2022020030</t>
  </si>
  <si>
    <t>NIETO SALAZAR VDA. DE TACILLA PAULINA</t>
  </si>
  <si>
    <t>BREÑA</t>
  </si>
  <si>
    <t>2022020031</t>
  </si>
  <si>
    <t>BENDEZU LARICO MARIA FERNANDA MONSERRATE</t>
  </si>
  <si>
    <t>RIMAC</t>
  </si>
  <si>
    <t>PIEDRA LIZA</t>
  </si>
  <si>
    <t>2022020032</t>
  </si>
  <si>
    <t>YALOPOMA RAMOS SAMUEL</t>
  </si>
  <si>
    <t>CHUPACA</t>
  </si>
  <si>
    <t>FALLEIDO</t>
  </si>
  <si>
    <t>2022020033</t>
  </si>
  <si>
    <t>CHOQUE SANCHEZ NADIA KARLA</t>
  </si>
  <si>
    <t>CIUDAD Y CAMPO</t>
  </si>
  <si>
    <t>HOSPITAL NACIONAL CAYETANO HEREDIA</t>
  </si>
  <si>
    <t>FRACTURA DE HUMERO</t>
  </si>
  <si>
    <t>2022030017</t>
  </si>
  <si>
    <t>VERDI MURRUGARRA ERIK ROQUE</t>
  </si>
  <si>
    <t>ASCOPE</t>
  </si>
  <si>
    <t>CARTAVIO</t>
  </si>
  <si>
    <t>HOSPITAL CHOCOPE-ESSALUD</t>
  </si>
  <si>
    <t>FRACTURA DE EPIFISIS INFERIOR DE CUBITO</t>
  </si>
  <si>
    <t>2022030037</t>
  </si>
  <si>
    <t>PACCO SENCIA HUGO</t>
  </si>
  <si>
    <t>AREQUIPA</t>
  </si>
  <si>
    <t>CIUDAD DE DIOS</t>
  </si>
  <si>
    <t>HOSPITAL GOYENECHE DE AREQUIPA</t>
  </si>
  <si>
    <t>2022030045</t>
  </si>
  <si>
    <t>GUTIERREZ AYAMAMANI MARIO JOAQUIN</t>
  </si>
  <si>
    <t>SAN ROMAN</t>
  </si>
  <si>
    <t>2022030044</t>
  </si>
  <si>
    <t>QUISPE SONCO BRANDON NELSON</t>
  </si>
  <si>
    <t>TIASAYA</t>
  </si>
  <si>
    <t>2022030047</t>
  </si>
  <si>
    <t>ASTOCAZA PONCE LIDA</t>
  </si>
  <si>
    <t>SALAMANCA</t>
  </si>
  <si>
    <t>FRACTURA DE RADIO DISTAL IZQUIERDO</t>
  </si>
  <si>
    <t>2022030048</t>
  </si>
  <si>
    <t>BARRETO SERNA OMAR</t>
  </si>
  <si>
    <t>VILLA MARIA DEL TRIUNFO</t>
  </si>
  <si>
    <t>JOSE GALVEZ</t>
  </si>
  <si>
    <t>2022030050</t>
  </si>
  <si>
    <t>BERNABE FLORES DELVIN DENNIS</t>
  </si>
  <si>
    <t>TACNA</t>
  </si>
  <si>
    <t>2022030054</t>
  </si>
  <si>
    <t>GUERRERO QUEVEDO FAUSTINO</t>
  </si>
  <si>
    <t>RIOJA</t>
  </si>
  <si>
    <t>SAN MARTIN</t>
  </si>
  <si>
    <t>NARANJOS</t>
  </si>
  <si>
    <t>HOSPITAL II -1 RIOJA</t>
  </si>
  <si>
    <t>2022030055</t>
  </si>
  <si>
    <t>ALCAS FIESTAS ANGEL ALEJANDRO</t>
  </si>
  <si>
    <t>TACALA</t>
  </si>
  <si>
    <t>2022030058</t>
  </si>
  <si>
    <t>VERA FLORES MARCOS MODRYC</t>
  </si>
  <si>
    <t>ZAMACOLA</t>
  </si>
  <si>
    <t>COMBI</t>
  </si>
  <si>
    <t xml:space="preserve">CONTUSION NASAL </t>
  </si>
  <si>
    <t>2700742021</t>
  </si>
  <si>
    <t>SANCHEZ DIAZ NELVA YJANET</t>
  </si>
  <si>
    <t>PUENTE PIEDRA</t>
  </si>
  <si>
    <t>CLINICA SAN BERNARDO</t>
  </si>
  <si>
    <t>2022030056</t>
  </si>
  <si>
    <t>MERMA AIRE MIGUEL ANGEL</t>
  </si>
  <si>
    <t>HOSPITAL CARRION DE HUANCAYO</t>
  </si>
  <si>
    <t>2022030071</t>
  </si>
  <si>
    <t>CARRASCO RODRIGUEZ REYNALDO</t>
  </si>
  <si>
    <t>VENTANILLA</t>
  </si>
  <si>
    <t>2022040025</t>
  </si>
  <si>
    <t>PACARA PARI WILMER BRANDO</t>
  </si>
  <si>
    <t>CARACOTO</t>
  </si>
  <si>
    <t>2022030061</t>
  </si>
  <si>
    <t>ESTELA PERALTA ALMANZOR</t>
  </si>
  <si>
    <t>FERREÑAFE</t>
  </si>
  <si>
    <t>BATANGRANDE</t>
  </si>
  <si>
    <t>HOSPITAL LAS MERCEDES DE CHICLAYO</t>
  </si>
  <si>
    <t>ATRICCION DE PIE DERECHO</t>
  </si>
  <si>
    <t>2022030073</t>
  </si>
  <si>
    <t>ORTEGA JIMENEZ GREY CRISTIAN</t>
  </si>
  <si>
    <t>2022030070</t>
  </si>
  <si>
    <t>GONZALES DURAND CARLOS</t>
  </si>
  <si>
    <t>SAN JUAN DE MIRAFLORES</t>
  </si>
  <si>
    <t>MATEO PUMACAHUA</t>
  </si>
  <si>
    <t>HOSPITAL MARIA AUXILIADORA</t>
  </si>
  <si>
    <t>TRAUMATISMO TORAXICO CERRADO</t>
  </si>
  <si>
    <t>2022030075</t>
  </si>
  <si>
    <t>CARLOS VILLANUEVA KATIA INDIRA</t>
  </si>
  <si>
    <t>APOLO</t>
  </si>
  <si>
    <t>FRACTURA CODO DERECHO</t>
  </si>
  <si>
    <t>2022030078</t>
  </si>
  <si>
    <t>VIOLETA HUAMAN CRISTIAN ESMIT</t>
  </si>
  <si>
    <t>CHINCHA ALTA</t>
  </si>
  <si>
    <t>UNIDAD EJECUTORA 401 SALUD CHINCHA PISCO</t>
  </si>
  <si>
    <t>FRACTURA DIAFISIARIA</t>
  </si>
  <si>
    <t>2022030077</t>
  </si>
  <si>
    <t>TORRES MELGAREJO JULIO CESAR</t>
  </si>
  <si>
    <t>CHILCA</t>
  </si>
  <si>
    <t>2022030088</t>
  </si>
  <si>
    <t>TARAZONA MUÑOZ YOSELIN MARLENY</t>
  </si>
  <si>
    <t>PASCO</t>
  </si>
  <si>
    <t>CHAUPIMARCA</t>
  </si>
  <si>
    <t>2022030093</t>
  </si>
  <si>
    <t xml:space="preserve">NOA MARCANI BERNARDO </t>
  </si>
  <si>
    <t>LURIN</t>
  </si>
  <si>
    <t>2022030092</t>
  </si>
  <si>
    <t>FARRO UCEDA MANUEL ALEJANDRO</t>
  </si>
  <si>
    <t>CHACRA COLORADA</t>
  </si>
  <si>
    <t>HOSPITAL ARZOBISPO LOAYZA</t>
  </si>
  <si>
    <t>TRAUMATISMO TORAXICO</t>
  </si>
  <si>
    <t>2022040096</t>
  </si>
  <si>
    <t xml:space="preserve">RODRIGUEZ TAQUIRE MARCELO ANGEL </t>
  </si>
  <si>
    <t>SANTA LUZMILA</t>
  </si>
  <si>
    <t>10/06/2022</t>
  </si>
  <si>
    <t>VILLA GRANDEZ NILDA LUCY</t>
  </si>
  <si>
    <t>LOS OLIVOS</t>
  </si>
  <si>
    <t>SOL DE ORO</t>
  </si>
  <si>
    <t>HOSPITAL SAN JOSE</t>
  </si>
  <si>
    <t>2022040099</t>
  </si>
  <si>
    <t>CORDOVA VEGA JORGE EDWING</t>
  </si>
  <si>
    <t>ALFONSO UGARTE</t>
  </si>
  <si>
    <t>CONTUSIONES</t>
  </si>
  <si>
    <t>2022040104</t>
  </si>
  <si>
    <t>TOLENTINO FERNANDEZ HERNAN</t>
  </si>
  <si>
    <t>CLINICA ORTEGA DE HUANCAYO</t>
  </si>
  <si>
    <t>2022040107</t>
  </si>
  <si>
    <t>CUBAS RAMIREZ BENJAMIN</t>
  </si>
  <si>
    <t>SULLANA</t>
  </si>
  <si>
    <t>HOSPITAL DE APOYO II - 2 SULLANA</t>
  </si>
  <si>
    <t xml:space="preserve">FRACTURA Y CONTUSION </t>
  </si>
  <si>
    <t>2022040109</t>
  </si>
  <si>
    <t>GONZALES AYME SEGUNDO ANTONIO</t>
  </si>
  <si>
    <t>2022040110</t>
  </si>
  <si>
    <t>HUAMAN RAMOS DE ROMERO EULALIA</t>
  </si>
  <si>
    <t>LA PASCANA</t>
  </si>
  <si>
    <t>2022040116</t>
  </si>
  <si>
    <t>VALERA RELUZ MARCO JOSE</t>
  </si>
  <si>
    <t>LUXO FRANTURA</t>
  </si>
  <si>
    <t>2022040119</t>
  </si>
  <si>
    <t>LINO MAMANI JUAN CARLOS</t>
  </si>
  <si>
    <t>CABANILLAS</t>
  </si>
  <si>
    <t>2022040120</t>
  </si>
  <si>
    <t>MONTIEL TROCONIZ MARITZA MIREYA</t>
  </si>
  <si>
    <t>LUXOFRACTURA DE TOBILLO INFERIOR IZQUIERDO</t>
  </si>
  <si>
    <t>2022040121</t>
  </si>
  <si>
    <t>VILLEGAS PAICO FERNANDO</t>
  </si>
  <si>
    <t>PARCONA</t>
  </si>
  <si>
    <t>CAMION</t>
  </si>
  <si>
    <t>HOSPITAL SANTA MARIA DEL SOCORRO</t>
  </si>
  <si>
    <t>LUXOFRACTURA DE TOBILLO IZQUIERDO</t>
  </si>
  <si>
    <t>2022040122</t>
  </si>
  <si>
    <t>CONTRERAS CHUMBES CRISTIAN ANTHONY</t>
  </si>
  <si>
    <t>ABANCAY</t>
  </si>
  <si>
    <t>APURIMAC</t>
  </si>
  <si>
    <t>TAMBURCO</t>
  </si>
  <si>
    <t>HOSPITAL GUILLERMO DIAZ DE LA VEGA DE ABANCAY</t>
  </si>
  <si>
    <t>2022050153</t>
  </si>
  <si>
    <t>MACHACA CCOPA ADRIANO</t>
  </si>
  <si>
    <t>PUCARA</t>
  </si>
  <si>
    <t>2022040131</t>
  </si>
  <si>
    <t>LLONTO SANDOVAL CIRILO</t>
  </si>
  <si>
    <t>ILLIMO</t>
  </si>
  <si>
    <t>HOSPITAL REGIONAL LAMBAYEQUE</t>
  </si>
  <si>
    <t>2022040133</t>
  </si>
  <si>
    <t>HONORI CALANI ROBERTO</t>
  </si>
  <si>
    <t>GREGORIO ALBARRACIN</t>
  </si>
  <si>
    <t>2022040135</t>
  </si>
  <si>
    <t>GRADOS VALENCIA SARA ELIZABETH</t>
  </si>
  <si>
    <t>LA NORIA</t>
  </si>
  <si>
    <t>HOSPITAL BELEN DE TRUJILLO</t>
  </si>
  <si>
    <t>TEC MODERADO</t>
  </si>
  <si>
    <t>2022040136</t>
  </si>
  <si>
    <t xml:space="preserve">MARTINEZ MARCOS EDUARDO DANIEL </t>
  </si>
  <si>
    <t>PISCO</t>
  </si>
  <si>
    <t>SAN ANDRES</t>
  </si>
  <si>
    <t>2022040142</t>
  </si>
  <si>
    <t>TRUCIOS ACOSTA LUIS ALBERTO</t>
  </si>
  <si>
    <t>EL TAMBO</t>
  </si>
  <si>
    <t>2022040145</t>
  </si>
  <si>
    <t>ESPINOZA QUISPE JESUS JOT</t>
  </si>
  <si>
    <t>SAGITARIO</t>
  </si>
  <si>
    <t>HOSPITAL JOSE CASIMIRO ULLOA</t>
  </si>
  <si>
    <t xml:space="preserve">LUXO FRACTURA DE TOBILLO IZQUIERDO </t>
  </si>
  <si>
    <t>2022050147</t>
  </si>
  <si>
    <t>AGUILAR ISMIÑO KEVIN</t>
  </si>
  <si>
    <t>2022050164</t>
  </si>
  <si>
    <t>CHAMBI ALEJO RICARDO ZENOVIO</t>
  </si>
  <si>
    <t>2022050159</t>
  </si>
  <si>
    <t>RIOJA VIDARTE JOSE ELEUTERIO</t>
  </si>
  <si>
    <t>CAYALTI</t>
  </si>
  <si>
    <t>2022050162</t>
  </si>
  <si>
    <t>MIRANDA RODRIGUEZ GARY JOB</t>
  </si>
  <si>
    <t>2022050168</t>
  </si>
  <si>
    <t>POVIS BARTOLO BRYAN</t>
  </si>
  <si>
    <t>LURIGANCHO</t>
  </si>
  <si>
    <t>FRACTURA DE BASE METACARPIANO MANO IZQUIERDA</t>
  </si>
  <si>
    <t>2022050177</t>
  </si>
  <si>
    <t>GARCIA DE LINO LUCILA LEONOR</t>
  </si>
  <si>
    <t>NUEVO CHIMBOTE</t>
  </si>
  <si>
    <t>UPIAT CHIMBOTE</t>
  </si>
  <si>
    <t>HOSPITAL ELEAZAR GUZMAN BARRON DE CHIMBOTE</t>
  </si>
  <si>
    <t>LUXOFRACTURA</t>
  </si>
  <si>
    <t>2022050176</t>
  </si>
  <si>
    <t>MEJIA TAICA KEBIN</t>
  </si>
  <si>
    <t>FRACTURA EXPUESTA DISTAL DE FEMUR</t>
  </si>
  <si>
    <t>2022050175</t>
  </si>
  <si>
    <t>CORDOVA RAMIREZ MARIELA</t>
  </si>
  <si>
    <t>COLLIQUE</t>
  </si>
  <si>
    <t>FRACTURA DE HUMERO IZQUIERDO</t>
  </si>
  <si>
    <t>2022050185</t>
  </si>
  <si>
    <t>FLORES GONZALES FIDEL</t>
  </si>
  <si>
    <t>CHANCAY</t>
  </si>
  <si>
    <t>FRACTURA DE TIBIA Y PERONE DERECHO</t>
  </si>
  <si>
    <t>2022050186</t>
  </si>
  <si>
    <t>CHAMBI TITO EDWIN</t>
  </si>
  <si>
    <t>2022050188</t>
  </si>
  <si>
    <t>CCALLOHUANCA BARRIALES ROBERTO MOISES</t>
  </si>
  <si>
    <t>AZANGARO</t>
  </si>
  <si>
    <t>ASILLO</t>
  </si>
  <si>
    <t>2022050189</t>
  </si>
  <si>
    <t>HUAMAN PAREDES SIRA INES</t>
  </si>
  <si>
    <t>HOSPITAL DE PUENTE PIEDRA</t>
  </si>
  <si>
    <t xml:space="preserve">FRACTURA DE TOBILLO DERECHO </t>
  </si>
  <si>
    <t>20220501194</t>
  </si>
  <si>
    <t>BARBOZA RODRIGUEZ CRISTIAN YOEL</t>
  </si>
  <si>
    <t>POMALCA</t>
  </si>
  <si>
    <t>2022050193</t>
  </si>
  <si>
    <t>OSORIO ALEGRE OVER ENRIQUE</t>
  </si>
  <si>
    <t>SATIPO</t>
  </si>
  <si>
    <t>HOSPITAL MANUEL HIGA ARAKAKI</t>
  </si>
  <si>
    <t>FRACTURA DE CLAVICULA IZQUIERDA</t>
  </si>
  <si>
    <t>2022050197</t>
  </si>
  <si>
    <t>MORILLOS LOPEZ CELSO ARTURO</t>
  </si>
  <si>
    <t>FRACTURA DE BASE DE 1ER METACARPIANO DERECHO</t>
  </si>
  <si>
    <t>2022050204</t>
  </si>
  <si>
    <t>FLORES MARAVI CINTHYA DORIS</t>
  </si>
  <si>
    <t xml:space="preserve">FRACTURA DE HUMERO </t>
  </si>
  <si>
    <t>2022050205</t>
  </si>
  <si>
    <t>CHAMAYA VASQUEZ JOSE ALMANZOR</t>
  </si>
  <si>
    <t>TUMAN</t>
  </si>
  <si>
    <t>TRAUMATISMO TORAXICO CERRADO, HERIDA CORTANTE, CONTUSION FACIAL</t>
  </si>
  <si>
    <t>2022070298</t>
  </si>
  <si>
    <t>HUAMAN LORENZO ABENCIO</t>
  </si>
  <si>
    <t>HOSPITAL NACIONAL DOS DE MAYO</t>
  </si>
  <si>
    <t>2022070299</t>
  </si>
  <si>
    <t>CHILQUE LOPEZ FRANCISCO PAULO</t>
  </si>
  <si>
    <t>2022060222</t>
  </si>
  <si>
    <t>VALVERDE QUIROZ DANIEL</t>
  </si>
  <si>
    <t>SANTOYO</t>
  </si>
  <si>
    <t>2022060225</t>
  </si>
  <si>
    <t>CHUQUIMAMANI VDA. DE PAUCARA MARIA</t>
  </si>
  <si>
    <t>VILQUECHICO</t>
  </si>
  <si>
    <t>2022060224</t>
  </si>
  <si>
    <t>MAMANI PARI ERNESTO</t>
  </si>
  <si>
    <t>2022060226</t>
  </si>
  <si>
    <t>ZEVALLOS SALINAS ANDRE RENATO</t>
  </si>
  <si>
    <t>CHARACATO</t>
  </si>
  <si>
    <t>HOSPITAL HONORIO DELGADO DE AREQUIPA</t>
  </si>
  <si>
    <t>GRACTURA EXPUESTA</t>
  </si>
  <si>
    <t>2022060253</t>
  </si>
  <si>
    <t>CHICLAYO MOSTACERO WILMA ARIO</t>
  </si>
  <si>
    <t xml:space="preserve">POLICONTUSO </t>
  </si>
  <si>
    <t>2022060228</t>
  </si>
  <si>
    <t>GARCIA CHUMBES MIGUEL ANGEL</t>
  </si>
  <si>
    <t>COTABAMBAS</t>
  </si>
  <si>
    <t>FRACTURA DE TIIA IZQUIERDA</t>
  </si>
  <si>
    <t>2022060231</t>
  </si>
  <si>
    <t>CHOCA DE LA CRUZ VICENTE</t>
  </si>
  <si>
    <t xml:space="preserve">FRACTURA DE PERONE IZQUIERDO </t>
  </si>
  <si>
    <t>2022060234</t>
  </si>
  <si>
    <t>TAFUR ROSAS ROBER CRISTIAN</t>
  </si>
  <si>
    <t>HUARAZ</t>
  </si>
  <si>
    <t>TARICA</t>
  </si>
  <si>
    <t>2022060230</t>
  </si>
  <si>
    <t>CALLUPE HUAMAN YENCO STEEN</t>
  </si>
  <si>
    <t>2022060235</t>
  </si>
  <si>
    <t>ROJAS CAPCHA CESAR NARCISO</t>
  </si>
  <si>
    <t>HUAYUCACHI</t>
  </si>
  <si>
    <t>2022060232</t>
  </si>
  <si>
    <t>LUQUE LOPEZ DONATO PAULINO</t>
  </si>
  <si>
    <t>PAUCARCOLLA</t>
  </si>
  <si>
    <t>2022060239</t>
  </si>
  <si>
    <t>ROSALES JULCARIMA ABEL</t>
  </si>
  <si>
    <t>FRACTURA DE RADIO DISTAL DERECHO</t>
  </si>
  <si>
    <t>2022060266</t>
  </si>
  <si>
    <t>CABALLERO ACOSTA JULIO RICARDO</t>
  </si>
  <si>
    <t>FRACTURA DIAFISIARIA DE HUMERO DERECHO</t>
  </si>
  <si>
    <t>2022090397</t>
  </si>
  <si>
    <t>SANCA CHOQUEHUANCA ALAN FELIPE</t>
  </si>
  <si>
    <t>CERRO COLORADO</t>
  </si>
  <si>
    <t>2022060242</t>
  </si>
  <si>
    <t>CCAHUA QQUEHUE ANDRES</t>
  </si>
  <si>
    <t>ANDRES AVELINO CACERES</t>
  </si>
  <si>
    <t>2022060241</t>
  </si>
  <si>
    <t>CASTILLO MANCILLA FERMIN</t>
  </si>
  <si>
    <t>2022060246</t>
  </si>
  <si>
    <t>VALENZUELA CAZORLA LUISINHO ENRIQUE</t>
  </si>
  <si>
    <t>2022060248</t>
  </si>
  <si>
    <t>ORTIZ CHIRITO LUDOMILA</t>
  </si>
  <si>
    <t>2022060247</t>
  </si>
  <si>
    <t>DURAND VASQUEZ RICHARD MARIO</t>
  </si>
  <si>
    <t xml:space="preserve">FRACTURA DE RADIO DISTAL DERECHO </t>
  </si>
  <si>
    <t>2022060265</t>
  </si>
  <si>
    <t>MAMANI CHURA VICTORIA</t>
  </si>
  <si>
    <t>2022060267</t>
  </si>
  <si>
    <t>QUISPE CALLA GIAN PIER</t>
  </si>
  <si>
    <t>FRACTURA DE MESETA TIBIAL DERECHA</t>
  </si>
  <si>
    <t>2022060273</t>
  </si>
  <si>
    <t>MAYNAS CAHUASA CESARIO</t>
  </si>
  <si>
    <t>TOCACHE</t>
  </si>
  <si>
    <t>NUEVO PROGRESO</t>
  </si>
  <si>
    <t>2022060271</t>
  </si>
  <si>
    <t>RODRIGUEZ JIMENEZ ELVA</t>
  </si>
  <si>
    <t>FRACTURA DE TOBILLO DERECHO</t>
  </si>
  <si>
    <t>2022060272</t>
  </si>
  <si>
    <t>JIMENEZ MELLO JAMILLE VICTORIA</t>
  </si>
  <si>
    <t>HOSPITAL DEL NIÑO</t>
  </si>
  <si>
    <t>FRACTURA DE HUESO DE TARSO, CUBOIDES Y ESCAFOIDES</t>
  </si>
  <si>
    <t>2022070274</t>
  </si>
  <si>
    <t>RODRIGUEZ TORRES MIGUEL ANGEL</t>
  </si>
  <si>
    <t>LINCE</t>
  </si>
  <si>
    <t>FRACTURA TOBILLO IZQUIERDO</t>
  </si>
  <si>
    <t>2022070280</t>
  </si>
  <si>
    <t>TITO CARHUAMACA JORGE LUIS</t>
  </si>
  <si>
    <t>COUSTER</t>
  </si>
  <si>
    <t>HOSPITAL JOSE AGURTO TELLO DE CHOSICA</t>
  </si>
  <si>
    <t>2022070277</t>
  </si>
  <si>
    <t>TRUCIOS DE LA CRUZ YOEL ALEX</t>
  </si>
  <si>
    <t>2022070281</t>
  </si>
  <si>
    <t>VIGO MATTOS JORGE ELVIS</t>
  </si>
  <si>
    <t>FRACTURA EXPUESTA DE TIBIA IZQUIERDA</t>
  </si>
  <si>
    <t>2022070283</t>
  </si>
  <si>
    <t>YUGRA VILCA MAURO ALFONSO</t>
  </si>
  <si>
    <t>LA YARADA LOS PALOS</t>
  </si>
  <si>
    <t>220408</t>
  </si>
  <si>
    <t xml:space="preserve">RIVERA LOPEZ RAUL </t>
  </si>
  <si>
    <t>2022070305</t>
  </si>
  <si>
    <t>HUARANGA GASPAR JUAN CARLOS</t>
  </si>
  <si>
    <t>2022070292</t>
  </si>
  <si>
    <t>HUALLANCA DE LUYA ANTONIA FELICIANA</t>
  </si>
  <si>
    <t>HUAMANGA</t>
  </si>
  <si>
    <t>AYACUCHO</t>
  </si>
  <si>
    <t>HOSPITAL REGIONAL DE AYACUCHO</t>
  </si>
  <si>
    <t>FRACTURA DE TOBILLO IZQUIERDO</t>
  </si>
  <si>
    <t>2022070288</t>
  </si>
  <si>
    <t>MANRIQUE SERNAQUE VICTOR HUGO</t>
  </si>
  <si>
    <t>2022070301</t>
  </si>
  <si>
    <t>HUAYTA CABOS VIOLETA REYNA</t>
  </si>
  <si>
    <t>PACASMAYO</t>
  </si>
  <si>
    <t>HOSPITAL REGIONAL DOCENTE DE TRUJILLO</t>
  </si>
  <si>
    <t>2022070300</t>
  </si>
  <si>
    <t>PISCONTE GALLEGOS JUAN ALBERTO</t>
  </si>
  <si>
    <t>HOSPITAL IV AUGUSTO HERNANDEZ MENDOZA-ESSALUD</t>
  </si>
  <si>
    <t>2022070306</t>
  </si>
  <si>
    <t>PACHECO TANANTA JULIO CESAR</t>
  </si>
  <si>
    <t>2022070308</t>
  </si>
  <si>
    <t>RENGIFO SOLIS BRYAN</t>
  </si>
  <si>
    <t>HUANUCO</t>
  </si>
  <si>
    <t>CAYHUAYNA</t>
  </si>
  <si>
    <t>HOSPITAL HERMILIO VALDIZAN DE HUANUCO</t>
  </si>
  <si>
    <t>2022070311</t>
  </si>
  <si>
    <t>SUAREZ MENDEZ VDA DE ZALDIVAR CARMEN</t>
  </si>
  <si>
    <t>2022070310</t>
  </si>
  <si>
    <t>ARCE ÑAUPARI RAFAEL</t>
  </si>
  <si>
    <t>FRACTURA DE PELVIS</t>
  </si>
  <si>
    <t>2022070313</t>
  </si>
  <si>
    <t>LLANO DE LA CRUZ FRANCISCA</t>
  </si>
  <si>
    <t>2022070315</t>
  </si>
  <si>
    <t>CRUZ BENITO CARLOS</t>
  </si>
  <si>
    <t>2022070314</t>
  </si>
  <si>
    <t>VASQUEZ CASTILLO ISAAC MARTIN</t>
  </si>
  <si>
    <t>HUAROCHIRI</t>
  </si>
  <si>
    <t>RICARDO PALMA</t>
  </si>
  <si>
    <t>2022070312</t>
  </si>
  <si>
    <t>MARON MAMANI MANUEL URBANO</t>
  </si>
  <si>
    <t>EL COLLAO</t>
  </si>
  <si>
    <t>HOSPITAL REGIONAL MANUEL NUÑEZ BUTRON</t>
  </si>
  <si>
    <t>FRACTURA DE FEMUR IZQUIERDO</t>
  </si>
  <si>
    <t>2022070321</t>
  </si>
  <si>
    <t>CABRERA CARRASCO BENEDICTO</t>
  </si>
  <si>
    <t>SAN MARTIN DE PORRES</t>
  </si>
  <si>
    <t>BARBONCITO</t>
  </si>
  <si>
    <t>2022070320</t>
  </si>
  <si>
    <t>GUEVARA AREVALO EMA LILIA</t>
  </si>
  <si>
    <t>CORONEL PORTILLO</t>
  </si>
  <si>
    <t>UCAYALI</t>
  </si>
  <si>
    <t>PUCALLPA</t>
  </si>
  <si>
    <t>HOSPITAL REGIONAL DE PUCALLPA</t>
  </si>
  <si>
    <t>2022070322</t>
  </si>
  <si>
    <t>JORGE HUAMAN ERACLIO MELECIO</t>
  </si>
  <si>
    <t>2022080327</t>
  </si>
  <si>
    <t>VILCHEZ PAREDES FRANKLIN ANTONIO</t>
  </si>
  <si>
    <t>ALTO PUNO</t>
  </si>
  <si>
    <t>2022080330</t>
  </si>
  <si>
    <t>CARHUARICRA QUISPE DAVID ROLANDO</t>
  </si>
  <si>
    <t>2022080335</t>
  </si>
  <si>
    <t>GONZALES GUERRERO EDUARD YELTSIN</t>
  </si>
  <si>
    <t>2022080329</t>
  </si>
  <si>
    <t>LLAUCE DIAZ CARMEN ROSA</t>
  </si>
  <si>
    <t>CESAR LLATAS CASTRO</t>
  </si>
  <si>
    <t>2022080336</t>
  </si>
  <si>
    <t>CUTIPA VILCA GUISEPPE DIEGO</t>
  </si>
  <si>
    <t>CHUCUITO</t>
  </si>
  <si>
    <t>2022080338</t>
  </si>
  <si>
    <t>RAMOS CANO ULISES ROMAN</t>
  </si>
  <si>
    <t>2022080333</t>
  </si>
  <si>
    <t xml:space="preserve">DESPOSORIO PAREDES SEGUNDO GUILLERMO </t>
  </si>
  <si>
    <t>CONTUSION TORAXICA</t>
  </si>
  <si>
    <t>2022080340</t>
  </si>
  <si>
    <t>SECLEN OLIVA FERNANDO HIPOLITO</t>
  </si>
  <si>
    <t>2022080341</t>
  </si>
  <si>
    <t>AGURTO ROMAN WALTER ELADIO</t>
  </si>
  <si>
    <t>2022080350</t>
  </si>
  <si>
    <t>HUAMAN QUISPE ELISEO MOISES</t>
  </si>
  <si>
    <t>LA MAR</t>
  </si>
  <si>
    <t>SAN FRANCISCO</t>
  </si>
  <si>
    <t>HOSPITAL DE APOYO SAN FRANCISCO</t>
  </si>
  <si>
    <t>FRACTURA DE PLATILLO TIBIAL IZQUIERDO</t>
  </si>
  <si>
    <t>2022080353</t>
  </si>
  <si>
    <t>ESCOBEDO YAÑEZ MARTIN ANDRES</t>
  </si>
  <si>
    <t>FRACTURA DE DIAFIARIA DE TIBIA DERECHA</t>
  </si>
  <si>
    <t>2022080356</t>
  </si>
  <si>
    <t>IGNACIO CADILLO ERWIN VICTOR</t>
  </si>
  <si>
    <t>CLINICA GOOD HOPE DE MIRAFLORES</t>
  </si>
  <si>
    <t>2022080357</t>
  </si>
  <si>
    <t>NAPA DIAZ LUIS ALBERTO</t>
  </si>
  <si>
    <t>CHINCHA</t>
  </si>
  <si>
    <t>HOSPITAL SAN JOSE DE CHINCHA</t>
  </si>
  <si>
    <t>2022080358</t>
  </si>
  <si>
    <t>CASIMIRO TAIPE ALEJANDRO FELIPE</t>
  </si>
  <si>
    <t>JAUJA</t>
  </si>
  <si>
    <t>2022080359</t>
  </si>
  <si>
    <t>CHOQUE CAUSA LEIDY ALEJANDRA</t>
  </si>
  <si>
    <t>CENTRAL TACNA</t>
  </si>
  <si>
    <t>2022080366</t>
  </si>
  <si>
    <t>MENDOZA RAMIREZ VALERY ESTEFANY</t>
  </si>
  <si>
    <t>PICOTA</t>
  </si>
  <si>
    <t>TARAPOTO</t>
  </si>
  <si>
    <t>HOSPITAL II DE TARAPOTO</t>
  </si>
  <si>
    <t>2022080361</t>
  </si>
  <si>
    <t>AYALA YANCE JUAN LADISLAO</t>
  </si>
  <si>
    <t>2022080367</t>
  </si>
  <si>
    <t>ALVA CANALES LUIGUI FERNANDO</t>
  </si>
  <si>
    <t>FRACTURA DIAFISIARIA DE FEMUR IZQUIERDO</t>
  </si>
  <si>
    <t>2022080375</t>
  </si>
  <si>
    <t>ALVAREZ HUAMAN EDER JHONNY</t>
  </si>
  <si>
    <t>SURCO</t>
  </si>
  <si>
    <t>LUXO FRACTURA EXPUESTA DE TOBILLO DERECHO</t>
  </si>
  <si>
    <t>2022080380</t>
  </si>
  <si>
    <t>PACHO JAPURA ELEUTERIO</t>
  </si>
  <si>
    <t>PICHANAKI</t>
  </si>
  <si>
    <t>LARAQUERI</t>
  </si>
  <si>
    <t>2022080379</t>
  </si>
  <si>
    <t>CORRALES LOZADA MARBIL</t>
  </si>
  <si>
    <t>HERIDA</t>
  </si>
  <si>
    <t>HERIDA TOBILLO IZQUIERDO</t>
  </si>
  <si>
    <t>2022080381</t>
  </si>
  <si>
    <t>TUEROS CONTRERAS JULIO DEIVID</t>
  </si>
  <si>
    <t>HUAYCAN</t>
  </si>
  <si>
    <t>HOSPITAL DE HUAYCAN</t>
  </si>
  <si>
    <t xml:space="preserve">TEC, TRAUMATISMO CEREBRAL FOCAL </t>
  </si>
  <si>
    <t>2022080382</t>
  </si>
  <si>
    <t>ALMANZA VELAZCO MARIO EMILIO</t>
  </si>
  <si>
    <t>FRACTURA DIAFISIARIA DE FEMUR DERECHO</t>
  </si>
  <si>
    <t>2022080383</t>
  </si>
  <si>
    <t>VILLEGAS FUENTES DORGELYS ELIU</t>
  </si>
  <si>
    <t>FRACTURA DE DIAFISIS FERMUR IZQUIERDO</t>
  </si>
  <si>
    <t>2022080388</t>
  </si>
  <si>
    <t>CCOPA MAMANI ISAAC</t>
  </si>
  <si>
    <t>CANCHIS</t>
  </si>
  <si>
    <t>CUSCO</t>
  </si>
  <si>
    <t>MARANGANI</t>
  </si>
  <si>
    <t>220553</t>
  </si>
  <si>
    <t>TARAZONA DOROTEO SIMION</t>
  </si>
  <si>
    <t>MADRE MIA</t>
  </si>
  <si>
    <t>2022080391</t>
  </si>
  <si>
    <t>GONZALEZ ESCALONA GINELLA DEL VALLE</t>
  </si>
  <si>
    <t>MIRAFLORES</t>
  </si>
  <si>
    <t>SAN ANTONIO</t>
  </si>
  <si>
    <t>FRACTURA DE TIBIA Y PERONE IZQUIERDO</t>
  </si>
  <si>
    <t>2022080392</t>
  </si>
  <si>
    <t>VILLANUEVA RUNCO PEDRO</t>
  </si>
  <si>
    <t>UPIAT HUANUCO</t>
  </si>
  <si>
    <t>2022090398</t>
  </si>
  <si>
    <t>JIMENEZ GALLEGO VICTOR HORTENCIO</t>
  </si>
  <si>
    <t>HEMORRAGIA SUBARACNOIDEA TRAUMATICA</t>
  </si>
  <si>
    <t>2022090405</t>
  </si>
  <si>
    <t>ORUNA ZELAYA WALTER NOE</t>
  </si>
  <si>
    <t>2022090406</t>
  </si>
  <si>
    <t>BENITES ALMONTE YIRLY DEL ROSARIO</t>
  </si>
  <si>
    <t>TEC POLICONTUSO</t>
  </si>
  <si>
    <t>2022090407</t>
  </si>
  <si>
    <t>ALMONTES DE BENITES CARMEN JULIA</t>
  </si>
  <si>
    <t xml:space="preserve">TEC - POLICONTUSO </t>
  </si>
  <si>
    <t>2022090411</t>
  </si>
  <si>
    <t>CARRASCO INFANTE MIGUEL ANGEL</t>
  </si>
  <si>
    <t>2022090416</t>
  </si>
  <si>
    <t>BERNAL TRIBIÑOS CARLOS GUILLERMO</t>
  </si>
  <si>
    <t>LAURA CALLER</t>
  </si>
  <si>
    <t>2022090414</t>
  </si>
  <si>
    <t>MELENDEZ TORRES LUIS FELIPE</t>
  </si>
  <si>
    <t>FRACTURA DE ACETABULO DERECHO</t>
  </si>
  <si>
    <t>220594</t>
  </si>
  <si>
    <t>SONCCO MAMANI JULIA ROSA</t>
  </si>
  <si>
    <t>CARABAYA</t>
  </si>
  <si>
    <t>CRUCERO</t>
  </si>
  <si>
    <t>2022090429</t>
  </si>
  <si>
    <t>OBREGON VEGA EDER MARCIAL</t>
  </si>
  <si>
    <t>HOSPITAL DE HUARAL Y SERVICIOS BASICOS DE SALUD</t>
  </si>
  <si>
    <t>FRACTURA DE CLAVICULA DERECHA</t>
  </si>
  <si>
    <t>2022090436</t>
  </si>
  <si>
    <t>LUQUE FLORES BACILIO</t>
  </si>
  <si>
    <t>2022090439</t>
  </si>
  <si>
    <t>LAZO CELIS JOSUE RODRIGO</t>
  </si>
  <si>
    <t>WANCHAQ</t>
  </si>
  <si>
    <t>HOSPITAL NACIONAL ADOLFO GUEVARA VELASCO CUSCO - ESSALUD</t>
  </si>
  <si>
    <t>220624</t>
  </si>
  <si>
    <t>OLGUIN FONSECA MIGUEL ANGEL</t>
  </si>
  <si>
    <t>BARRANCA</t>
  </si>
  <si>
    <t>HOSPITAL DE APOYO DE BARRANCA</t>
  </si>
  <si>
    <t>FRACTURAS</t>
  </si>
  <si>
    <t>220627</t>
  </si>
  <si>
    <t>ORDOÑEZ ZAVALA INOCENTE</t>
  </si>
  <si>
    <t>SINCOS</t>
  </si>
  <si>
    <t>220628</t>
  </si>
  <si>
    <t>NINARAQUI NINA GUSTAVO</t>
  </si>
  <si>
    <t>SUPE PUEBLO</t>
  </si>
  <si>
    <t>220635</t>
  </si>
  <si>
    <t>SUCAPUCA HUARICALLO NELSON ANTHONY</t>
  </si>
  <si>
    <t>EL TRIUNFO</t>
  </si>
  <si>
    <t xml:space="preserve">FRACTURA DIAFISIARIA </t>
  </si>
  <si>
    <t>220646</t>
  </si>
  <si>
    <t>BUENDIA CARVO SERAFINA SARAI</t>
  </si>
  <si>
    <t>FRACTURA DIAFISIARIA DE TIBIA Y PERNONE</t>
  </si>
  <si>
    <t>220661</t>
  </si>
  <si>
    <t>DE LA CRUZ MEGO JULIO CESAR</t>
  </si>
  <si>
    <t>EL MANZANO</t>
  </si>
  <si>
    <t>220669</t>
  </si>
  <si>
    <t>GARCIA AYALA LEONARDO ALEJANDRO ROGER</t>
  </si>
  <si>
    <t>SAN MIGUEL</t>
  </si>
  <si>
    <t>CLINICA PROVIDENCIA</t>
  </si>
  <si>
    <t>FRACTURA DIAFISIARIA DE TIBIA Y PERONE DERECHO</t>
  </si>
  <si>
    <t>220672</t>
  </si>
  <si>
    <t>TORERO DEL CARPIO RIGOBERTO MARTIN</t>
  </si>
  <si>
    <t>FRACTURA DE DIAFISIS DE TIBIA Y PERONE</t>
  </si>
  <si>
    <t>220675</t>
  </si>
  <si>
    <t>CHOQUE MARTINEZ MARITZA</t>
  </si>
  <si>
    <t>FRACTURA DE HUMERO DISTAL DERECHO</t>
  </si>
  <si>
    <t>220681</t>
  </si>
  <si>
    <t>RODRIGUEZ LIRA JONATHAN OSMAR</t>
  </si>
  <si>
    <t>MARISCAL CACERES</t>
  </si>
  <si>
    <t>HOSPITAL DE SAN JUAN DE LURIGANCHO</t>
  </si>
  <si>
    <t>220691</t>
  </si>
  <si>
    <t>QUISPE ARRATEA LUISA ALEJANDRA</t>
  </si>
  <si>
    <t>FRACTURA DE PERONE IZQUIERDO</t>
  </si>
  <si>
    <t>220699</t>
  </si>
  <si>
    <t>MORALES MALLQUI FREDY BASILIO</t>
  </si>
  <si>
    <t>RECUAY</t>
  </si>
  <si>
    <t>CATAC</t>
  </si>
  <si>
    <t>220713</t>
  </si>
  <si>
    <t>PEÑA ANTICONA JAADE FLAVIA</t>
  </si>
  <si>
    <t>PACHACAMAC</t>
  </si>
  <si>
    <t>MANCHAY</t>
  </si>
  <si>
    <t>HOSPITAL DEL NIÑO - SAN BORJA</t>
  </si>
  <si>
    <t xml:space="preserve">FRACTURA DE TIBIA </t>
  </si>
  <si>
    <t>220714</t>
  </si>
  <si>
    <t>PARHUAY VELARDE JOSE ANTONIO</t>
  </si>
  <si>
    <t>FRACTURA DIAFISIARIA DE TIBIA IZQUIERDA</t>
  </si>
  <si>
    <t>220721</t>
  </si>
  <si>
    <t>BRAVO SAMANIEGO SEVERIANO JUAN</t>
  </si>
  <si>
    <t>220731</t>
  </si>
  <si>
    <t>INGA CHEVEZ DANNY DANIEL</t>
  </si>
  <si>
    <t>FRACTURA DE FEMUR DERECHA</t>
  </si>
  <si>
    <t>220736</t>
  </si>
  <si>
    <t>AREVALO ACHEGARAY CHRISTIAN JHONATAN</t>
  </si>
  <si>
    <t>220771</t>
  </si>
  <si>
    <t>RODRIGUEZ DIAZ OMAR ALEXIS</t>
  </si>
  <si>
    <t>HOSPITAL REGIONAL DE HUACHO</t>
  </si>
  <si>
    <t>220773</t>
  </si>
  <si>
    <t>CHECA FLORES RAUL FERNANDO</t>
  </si>
  <si>
    <t>220780</t>
  </si>
  <si>
    <t>GUZMAN MARIAGUA ONANGEL JESUS</t>
  </si>
  <si>
    <t>220791</t>
  </si>
  <si>
    <t>CAMPOS APAZA JAIR YAMPIERO</t>
  </si>
  <si>
    <t>HOSPITAL DE EMERGENCIAS PEDIATRICAS</t>
  </si>
  <si>
    <t>TRAUMATISMO DE MIEMBRO INFERIOR IZQUIERDO</t>
  </si>
  <si>
    <t>220795</t>
  </si>
  <si>
    <t>LICAPA YUPANQUI CHRISTIAN</t>
  </si>
  <si>
    <t>FRACTURA DE RADIO Y CUBITO IZQUIERDO</t>
  </si>
  <si>
    <t>220810</t>
  </si>
  <si>
    <t xml:space="preserve">CAMAYO ORIHUELA ROLANDO </t>
  </si>
  <si>
    <t>HOSPITAL REGIONAL CAYETANO HEREDIA</t>
  </si>
  <si>
    <t>TEC, PERDIDA DE PIEZAS DENTALES, POLICONTUSO</t>
  </si>
  <si>
    <t>220830</t>
  </si>
  <si>
    <t>VILCA VARILLAS EDWIN AMERICO</t>
  </si>
  <si>
    <t>SAN JERONIMO DE TUNAN</t>
  </si>
  <si>
    <t>220832</t>
  </si>
  <si>
    <t>BUENO CORDOVA MARIA FERNANDA</t>
  </si>
  <si>
    <t>SAN BORJA</t>
  </si>
  <si>
    <t>FRACTURA DE DIAFISIS DE TIBIA IZQUIERDA</t>
  </si>
  <si>
    <t>ROJAS NEYRA LEOPOLDO</t>
  </si>
  <si>
    <t>FRACTURA DE CLAVICULA</t>
  </si>
  <si>
    <t>BARRIENTOS CHOLAN ROQUE JUNIOR</t>
  </si>
  <si>
    <t>2464182021</t>
  </si>
  <si>
    <t>VELASQUEZ TOROCAHUA BETTY JOVANA</t>
  </si>
  <si>
    <t>2502522021</t>
  </si>
  <si>
    <t>MAMANI HUALLPA WILLIAN MOISES</t>
  </si>
  <si>
    <t>CLINICA MONTEFIORI</t>
  </si>
  <si>
    <t>QUISPE CALIZAYA JAVIER RICARDO</t>
  </si>
  <si>
    <t>CIUDAD MUNICIPAL</t>
  </si>
  <si>
    <t>2022030079</t>
  </si>
  <si>
    <t>GONZALES SUCASACA RONALD ORLANDO</t>
  </si>
  <si>
    <t>2528592021</t>
  </si>
  <si>
    <t>QUISPE HUALLPA CESAR AUGUSTO</t>
  </si>
  <si>
    <t>2532562021</t>
  </si>
  <si>
    <t>GUTIERREZ MILLA ERWIN SMITH</t>
  </si>
  <si>
    <t>CASMA</t>
  </si>
  <si>
    <t>2539422021</t>
  </si>
  <si>
    <t>CASTILLO NUÑEZ CARELIN YOSABET</t>
  </si>
  <si>
    <t>SAN  MIGUEL</t>
  </si>
  <si>
    <t>MARANGA</t>
  </si>
  <si>
    <t>FRACTURA TOBILLO DERECHO</t>
  </si>
  <si>
    <t>2549992021</t>
  </si>
  <si>
    <t>CURITUMAY TORRES OMAR ITALO</t>
  </si>
  <si>
    <t>2567952021</t>
  </si>
  <si>
    <t>CHAVEZ ALMIRON DANIEL FABIAN</t>
  </si>
  <si>
    <t>HUNTER</t>
  </si>
  <si>
    <t>FRACTURA DE CLAVIULA</t>
  </si>
  <si>
    <t>2593162021</t>
  </si>
  <si>
    <t>ARIAS RODRIGUEZ PIERO ARAMISS</t>
  </si>
  <si>
    <t>ZARATE</t>
  </si>
  <si>
    <t>HOSPITAL NACIONAL HIPOLITO UNANUE</t>
  </si>
  <si>
    <t>2594342021</t>
  </si>
  <si>
    <t>RODRIGUEZ AGUIRRE LENIAD</t>
  </si>
  <si>
    <t>ANCON</t>
  </si>
  <si>
    <t>HOSPITAL CARLOS LANFRANCO LA HOZ</t>
  </si>
  <si>
    <t>2604732021</t>
  </si>
  <si>
    <t>MAMANI MAMANI VICTORIANO</t>
  </si>
  <si>
    <t>2604842021</t>
  </si>
  <si>
    <t>ZAPATA BARZOLA WILMER JESUS</t>
  </si>
  <si>
    <t>ACOLLA</t>
  </si>
  <si>
    <t>2604982021</t>
  </si>
  <si>
    <t>RAMOS OBREGON EUGENIO ELIAS</t>
  </si>
  <si>
    <t>CLINICA MEDICA SERVI SALUD</t>
  </si>
  <si>
    <t>FRACTURA DE TOBILLO</t>
  </si>
  <si>
    <t>2605002021</t>
  </si>
  <si>
    <t>TORRES SIMON DANIEL RENZO</t>
  </si>
  <si>
    <t>PLAYA RIMAC</t>
  </si>
  <si>
    <t>FRACTURA EXPUESTA PIERNA DERECHA</t>
  </si>
  <si>
    <t>CHAVESTA CHUMIOQUE DOMINGO</t>
  </si>
  <si>
    <t>MONSEFU</t>
  </si>
  <si>
    <t>2606612021</t>
  </si>
  <si>
    <t>NAVARRO RAMOS WALTER MARTIN</t>
  </si>
  <si>
    <t>2612172021</t>
  </si>
  <si>
    <t>CONDORI QUISPE YOVANA</t>
  </si>
  <si>
    <t>POMATA</t>
  </si>
  <si>
    <t>2704012021</t>
  </si>
  <si>
    <t>BUSTAMANTE COTRINA ALMAQUIO</t>
  </si>
  <si>
    <t>2022050163</t>
  </si>
  <si>
    <t>TAPIA CAHUANA JUAN FEDERICO</t>
  </si>
  <si>
    <t>CONTUSION PIERNA IZQUIERDA</t>
  </si>
  <si>
    <t>2616082021</t>
  </si>
  <si>
    <t>RENGIFO PAREJAS JEFFERSON</t>
  </si>
  <si>
    <t>TEC GRAVE</t>
  </si>
  <si>
    <t>2624232021</t>
  </si>
  <si>
    <t>ARANDA RIMAC ABRAHAM</t>
  </si>
  <si>
    <t>AMBO</t>
  </si>
  <si>
    <t>HOSPITAL ESSALUD DE HUANUCO</t>
  </si>
  <si>
    <t>2629222021</t>
  </si>
  <si>
    <t>GUERREROS SALAZAR ROBERTO SERAPIO</t>
  </si>
  <si>
    <t>APATA</t>
  </si>
  <si>
    <t>2629232021</t>
  </si>
  <si>
    <t>HERNANDEZ DE LA ROSA ROBERT ALEXANDER</t>
  </si>
  <si>
    <t>CONTUSION DE PIE DERECHO</t>
  </si>
  <si>
    <t>2638642021</t>
  </si>
  <si>
    <t>BENAVIDES ESPINOZA FREDDY JHONNY</t>
  </si>
  <si>
    <t>ACOBAMBA</t>
  </si>
  <si>
    <t>2640902021</t>
  </si>
  <si>
    <t>CASTRO MANRIQUE RAUL JOSE</t>
  </si>
  <si>
    <t>20220202</t>
  </si>
  <si>
    <t>YUCRA SONCCO BRAULIO JESUS</t>
  </si>
  <si>
    <t>SAYLLA</t>
  </si>
  <si>
    <t>2645292021</t>
  </si>
  <si>
    <t>HUANCA VILLANUEVA SANTIAGO</t>
  </si>
  <si>
    <t>FRACTURA EPIFISIS INFERIOR DE HUMERO</t>
  </si>
  <si>
    <t>2649992021</t>
  </si>
  <si>
    <t>AGUILAR TITO CASIMIRO</t>
  </si>
  <si>
    <t>HOSPITAL II HUANUCO</t>
  </si>
  <si>
    <t>2649102021</t>
  </si>
  <si>
    <t>VALENZUELA VILLAGARAY LUIS ANDERSON</t>
  </si>
  <si>
    <t>HUMAY</t>
  </si>
  <si>
    <t>CLINICA SAN JUAN DE DIOS</t>
  </si>
  <si>
    <t>2652032021</t>
  </si>
  <si>
    <t>DE LA CRUZ GAGO SARA SOFIA</t>
  </si>
  <si>
    <t>HOSPITAL RAMIRO PRIALE PRIALE</t>
  </si>
  <si>
    <t>2657372021</t>
  </si>
  <si>
    <t>CENTENO CUTIPA NESTOR</t>
  </si>
  <si>
    <t>2658132021</t>
  </si>
  <si>
    <t>ALEMAN APONTE JORGE SAUL</t>
  </si>
  <si>
    <t>SARITA COLONIA</t>
  </si>
  <si>
    <t>FRACTURA CALCANEO DERECHO</t>
  </si>
  <si>
    <t>2663762021</t>
  </si>
  <si>
    <t>REYNA PEREZ CESAR ELISEO</t>
  </si>
  <si>
    <t>LA BANDA DE SHILCAYO</t>
  </si>
  <si>
    <t>FRACTURA DE CODO</t>
  </si>
  <si>
    <t>2699512021</t>
  </si>
  <si>
    <t>ALMEYDA CONTRERAS ARMANDO</t>
  </si>
  <si>
    <t>GROCIO PRADO</t>
  </si>
  <si>
    <t>2667262021</t>
  </si>
  <si>
    <t>APAZA FUENTES WALTER</t>
  </si>
  <si>
    <t>MARISCAL CASTILLA</t>
  </si>
  <si>
    <t>HOSPITAL REGIONAL III GOYENECHE</t>
  </si>
  <si>
    <t>2667322021</t>
  </si>
  <si>
    <t>ACUÑA MEDINA HECTOR JAIME</t>
  </si>
  <si>
    <t>CHEPEN</t>
  </si>
  <si>
    <t>PACANGUILLA</t>
  </si>
  <si>
    <t>CLINICA CHICLAYO</t>
  </si>
  <si>
    <t>PINEADA SANCHEZ CELIA ESPLICITA</t>
  </si>
  <si>
    <t>2588052021</t>
  </si>
  <si>
    <t>CHAMORRO POMA ALAN HAIRO</t>
  </si>
  <si>
    <t>2668512021</t>
  </si>
  <si>
    <t>ALDANA ALVARADO BRAIAN JOSE</t>
  </si>
  <si>
    <t>VILLA HERMOSA</t>
  </si>
  <si>
    <t>FRACTURA TIBIA</t>
  </si>
  <si>
    <t>2022020020</t>
  </si>
  <si>
    <t>MANRIQUE SIQUEIROS DIEGO JOSE</t>
  </si>
  <si>
    <t>ESGUINCE TOBILLO</t>
  </si>
  <si>
    <t>APARCANA SERNA ALEJANDRO MARTIN</t>
  </si>
  <si>
    <t>2672902021</t>
  </si>
  <si>
    <t>ASILLO QUIRO CRISTOBAL</t>
  </si>
  <si>
    <t>2671972021</t>
  </si>
  <si>
    <t>ROSAS ALDAZ JAVIER FERNANDO</t>
  </si>
  <si>
    <t>2678762021</t>
  </si>
  <si>
    <t>NAVARRO GONZALES JORGE EDUARDO</t>
  </si>
  <si>
    <t>2677812021</t>
  </si>
  <si>
    <t>HUISA HUARANGA LIDA LIDIA</t>
  </si>
  <si>
    <t>2681512021</t>
  </si>
  <si>
    <t>TAPIA MENDOZA ADELA</t>
  </si>
  <si>
    <t>2681492021</t>
  </si>
  <si>
    <t>COILA YUCRA WALTER</t>
  </si>
  <si>
    <t>2022060087</t>
  </si>
  <si>
    <t>MAYTA VILCA MIDGAR EDELFONSO</t>
  </si>
  <si>
    <t>2691232021</t>
  </si>
  <si>
    <t>PERALTA HERMOZA ENRIQUE ALEJANDRO</t>
  </si>
  <si>
    <t>JOSE LUIS BUSTAMANTE Y RIVERO</t>
  </si>
  <si>
    <t>2684602021</t>
  </si>
  <si>
    <t>NEIRA GRANDA LUIS ANTONIO</t>
  </si>
  <si>
    <t>PAMPLONA I</t>
  </si>
  <si>
    <t>2685712021</t>
  </si>
  <si>
    <t>RIVERA QUISPE JORGE LUIS</t>
  </si>
  <si>
    <t>PACARAN</t>
  </si>
  <si>
    <t>HOSPITAL REZOLA DE CAÑETE</t>
  </si>
  <si>
    <t>2022042022</t>
  </si>
  <si>
    <t>CARDENAS TITO NANCY</t>
  </si>
  <si>
    <t>MOTOCICLETA</t>
  </si>
  <si>
    <t>HOSPITAL III YANAHUARA - ESSALUD</t>
  </si>
  <si>
    <t>FRACTURAS MULTIPLES DE PIERNA DERECHA</t>
  </si>
  <si>
    <t>2691262021</t>
  </si>
  <si>
    <t>SAAVEDRA QUEZADA EUSTAQUIO</t>
  </si>
  <si>
    <t>HOSPITAL REGIONAL ELEAZAR GUZMAN BARRON</t>
  </si>
  <si>
    <t>2692662021</t>
  </si>
  <si>
    <t>ABARCA JORDAN MANUEL ALEJANDRO</t>
  </si>
  <si>
    <t>2692932021</t>
  </si>
  <si>
    <t>MOSICH ACOSTA ROLF WERNER HELGUE</t>
  </si>
  <si>
    <t>CHIARA</t>
  </si>
  <si>
    <t>CLINICAS SAN BERNARDO</t>
  </si>
  <si>
    <t>2703842021</t>
  </si>
  <si>
    <t>MENDOZA MONTES MARIA DOMINGA</t>
  </si>
  <si>
    <t>2696902021</t>
  </si>
  <si>
    <t>GARCIA IGUIA GINO ARTURO</t>
  </si>
  <si>
    <t>2696952021</t>
  </si>
  <si>
    <t>ARGUEDAS QUICHUA EDITH GLADYS</t>
  </si>
  <si>
    <t>JC MARIATEGUI</t>
  </si>
  <si>
    <t>2699532021</t>
  </si>
  <si>
    <t>AMENABAR REYES MIGUEL ANGEL</t>
  </si>
  <si>
    <t>SUPE</t>
  </si>
  <si>
    <t>2702692021</t>
  </si>
  <si>
    <t>BAUTISTA ZAMORA ANGEL MOISES</t>
  </si>
  <si>
    <t>CHACCO</t>
  </si>
  <si>
    <t>HOSPITAL REGIONAL AYACUCHO</t>
  </si>
  <si>
    <t>FRACTURA FEMUR</t>
  </si>
  <si>
    <t>2699552021</t>
  </si>
  <si>
    <t>PACHECO CARRASCO STEPHANY GRACIELE</t>
  </si>
  <si>
    <t>CONTUSION CADERA</t>
  </si>
  <si>
    <t>2700752021</t>
  </si>
  <si>
    <t>MOYA GARAY GREGORIA</t>
  </si>
  <si>
    <t>HOSPITAL SERGIO E. BERNALES</t>
  </si>
  <si>
    <t>2703992021</t>
  </si>
  <si>
    <t>MACHACA VASQUEZ GILBERTO</t>
  </si>
  <si>
    <t>ALTO SELVA ALEGRE</t>
  </si>
  <si>
    <t>2704002021</t>
  </si>
  <si>
    <t>HUAYTA HUAYTA VLADIMIR WILYAM</t>
  </si>
  <si>
    <t>2704052021</t>
  </si>
  <si>
    <t>CRUZ QUINTO SHARY SILVANA CHARLOTTE</t>
  </si>
  <si>
    <t>SANTA ROSA</t>
  </si>
  <si>
    <t>2704052028</t>
  </si>
  <si>
    <t>OCHOA RAMIREZ HEBER TOBIAS</t>
  </si>
  <si>
    <t>FRACTURA TOBILLO</t>
  </si>
  <si>
    <t>2711252021</t>
  </si>
  <si>
    <t>AGUILAR VALENTIN AGAPITO LORENZO</t>
  </si>
  <si>
    <t>2022010004</t>
  </si>
  <si>
    <t>RAMOS CHAUCA GREGORIO</t>
  </si>
  <si>
    <t>2713562021</t>
  </si>
  <si>
    <t>REYNAGA HUANACO VICTORIA</t>
  </si>
  <si>
    <t>OCOBAMBA</t>
  </si>
  <si>
    <t>HOSPITAL SUB-REGIONAL ANDAHUAYLAS</t>
  </si>
  <si>
    <t>FRACTURA DE READIO Y CUBITO DERECHO</t>
  </si>
  <si>
    <t>de Enero a Diciembre 2022</t>
  </si>
  <si>
    <t>SINIESTROS SEGÚN LUGAR DE OCURRENCIA</t>
  </si>
  <si>
    <t>( DISTRITOS )</t>
  </si>
  <si>
    <t>TABLA</t>
  </si>
  <si>
    <t>VARIABLE</t>
  </si>
  <si>
    <t>TOTAL</t>
  </si>
  <si>
    <t>LUGAR</t>
  </si>
  <si>
    <t>FRECUENCIA</t>
  </si>
  <si>
    <t>%</t>
  </si>
  <si>
    <t>GRAFICO:</t>
  </si>
  <si>
    <t>Siniestros Cubiertos por el Fondo</t>
  </si>
  <si>
    <t>NÚMERO DE SINIESTROS POR MES</t>
  </si>
  <si>
    <t>TOTAL DE CASOS</t>
  </si>
  <si>
    <t>MESES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</si>
  <si>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</si>
  <si>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</si>
  <si>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</si>
  <si>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</si>
  <si>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</si>
  <si>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</si>
  <si>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</si>
  <si>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</si>
  <si>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</si>
  <si>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</si>
  <si>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</si>
  <si>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</si>
  <si>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</si>
  <si>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SINIESTROS SEGÚN SEXO</t>
  </si>
  <si>
    <t>NUMERO DE SINIESTROS POR RANGO DE  EDAD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</si>
  <si>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</si>
  <si>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</si>
  <si>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</si>
  <si>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</si>
  <si>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</si>
  <si>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</si>
  <si>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</si>
  <si>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</si>
  <si>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 A MAS</t>
  </si>
  <si>
    <t>SINIESTROS DISTRIBUIDOS POR TIPO DE COBERTURA</t>
  </si>
  <si>
    <t xml:space="preserve"> CASOS</t>
  </si>
  <si>
    <t>COBERTURA</t>
  </si>
  <si>
    <t>( DEPARTAMENTO )</t>
  </si>
  <si>
    <t>NUMERO DE SINIESTROS SEGÚN MONTO COMPROMETIDO</t>
  </si>
  <si>
    <t>MONTOS</t>
  </si>
  <si>
    <t>MONTO</t>
  </si>
  <si>
    <t>&lt; 1,000</t>
  </si>
  <si>
    <t>1,000 - 5,000</t>
  </si>
  <si>
    <t>5,000 - 10,000</t>
  </si>
  <si>
    <t>10,000 - 15,000</t>
  </si>
  <si>
    <t>15,000 - 21,001</t>
  </si>
  <si>
    <t>21,000 - 25,000</t>
  </si>
  <si>
    <t>SINIESTROS SEGÚN ESTABLECIMIENTO DE ATENCION</t>
  </si>
  <si>
    <t>CASOS</t>
  </si>
  <si>
    <t>ESTABLECIMIENTO</t>
  </si>
  <si>
    <t>SINIESTROS SEGÚN DELEGACIÓN POLICIAL</t>
  </si>
  <si>
    <t>COMISARÍA</t>
  </si>
  <si>
    <t>PNP</t>
  </si>
  <si>
    <t>SINIESTROS DISTRIBUIDOS POR TIPO DE VEHÍCULO</t>
  </si>
  <si>
    <t>TIPO DE VEHÍCULO</t>
  </si>
  <si>
    <t>SINIESTROS DISTRIBUIDOS POR ESTADO ETÍLICO</t>
  </si>
  <si>
    <t>ESTADO ETÍLICO</t>
  </si>
  <si>
    <t>SINIESTROS SEGÚN DIAGNÓSTICO MÉDICO</t>
  </si>
  <si>
    <t xml:space="preserve"> </t>
  </si>
  <si>
    <t>DIAGNÓSTICO MÉDICO</t>
  </si>
  <si>
    <t>Año</t>
  </si>
  <si>
    <t>AMAZONAS</t>
  </si>
  <si>
    <t>CAJAMARCA</t>
  </si>
  <si>
    <t>HUANCAVELICA</t>
  </si>
  <si>
    <t>LORETO</t>
  </si>
  <si>
    <t>MADRE DE DIOS</t>
  </si>
  <si>
    <t>MOQUEGUA</t>
  </si>
  <si>
    <t>IF</t>
  </si>
  <si>
    <t>GM</t>
  </si>
  <si>
    <t>GS</t>
  </si>
  <si>
    <t>GM Y GS</t>
  </si>
  <si>
    <t>LESIONADO</t>
  </si>
  <si>
    <t>LESIONADOS</t>
  </si>
  <si>
    <t>FALLECIDOS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</si>
</sst>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(&quot;S/.&quot;\ * #,##0.00_);_(&quot;S/.&quot;\ * \(#,##0.00\);_(&quot;S/.&quot;\ * &quot;-&quot;??_);_(@_)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9"/>
      <name val="Arial"/>
      <family val="2"/>
    </font>
    <font>
      <b/>
      <u val="singleAccounting"/>
      <sz val="9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44" fontId="4" fillId="0" borderId="0" xfId="2" applyFont="1" applyAlignment="1">
      <alignment vertical="center"/>
    </xf>
    <xf numFmtId="44" fontId="4" fillId="0" borderId="0" xfId="2" applyFont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44" fontId="4" fillId="0" borderId="0" xfId="2" applyFont="1" applyFill="1" applyAlignment="1">
      <alignment horizontal="right" vertical="center"/>
    </xf>
    <xf numFmtId="44" fontId="4" fillId="0" borderId="0" xfId="2" applyFont="1" applyAlignment="1">
      <alignment horizontal="left" vertical="center"/>
    </xf>
    <xf numFmtId="44" fontId="7" fillId="2" borderId="1" xfId="2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/>
    </xf>
    <xf numFmtId="1" fontId="7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44" fontId="7" fillId="2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/>
    </xf>
    <xf numFmtId="44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left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44" fontId="4" fillId="0" borderId="1" xfId="2" applyFont="1" applyFill="1" applyBorder="1" applyAlignment="1">
      <alignment horizontal="left" vertical="center"/>
    </xf>
    <xf numFmtId="165" fontId="4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right" vertical="center"/>
    </xf>
    <xf numFmtId="44" fontId="1" fillId="0" borderId="0" xfId="2" applyAlignment="1">
      <alignment vertical="center"/>
    </xf>
    <xf numFmtId="1" fontId="3" fillId="0" borderId="0" xfId="2" applyNumberFormat="1" applyFont="1" applyAlignment="1">
      <alignment horizontal="center" vertical="center"/>
    </xf>
    <xf numFmtId="44" fontId="1" fillId="0" borderId="0" xfId="2" applyFill="1" applyAlignment="1">
      <alignment vertical="center"/>
    </xf>
    <xf numFmtId="49" fontId="1" fillId="0" borderId="0" xfId="2" applyNumberFormat="1" applyAlignment="1">
      <alignment vertical="center"/>
    </xf>
    <xf numFmtId="44" fontId="1" fillId="0" borderId="0" xfId="2" applyFill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6" xfId="0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1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6" xfId="0" applyNumberFormat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39" fontId="0" fillId="0" borderId="0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0" xfId="0" applyFont="1"/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0" fillId="0" borderId="1" xfId="0" applyBorder="1"/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5" xfId="0" applyBorder="1"/>
    <xf numFmtId="0" fontId="14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14" fillId="4" borderId="1" xfId="0" applyFont="1" applyFill="1" applyBorder="1"/>
    <xf numFmtId="49" fontId="4" fillId="0" borderId="1" xfId="2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1" fontId="4" fillId="0" borderId="1" xfId="2" applyNumberFormat="1" applyFont="1" applyFill="1" applyBorder="1" applyAlignment="1">
      <alignment horizontal="center" vertical="center"/>
    </xf>
    <xf numFmtId="0" fontId="18" fillId="0" borderId="0" xfId="0" applyFont="1"/>
    <xf numFmtId="14" fontId="18" fillId="0" borderId="1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44" fontId="18" fillId="0" borderId="1" xfId="2" applyFont="1" applyFill="1" applyBorder="1" applyAlignment="1">
      <alignment vertical="center"/>
    </xf>
    <xf numFmtId="44" fontId="1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" fontId="5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6" xfId="0" applyBorder="1"/>
    <xf numFmtId="0" fontId="0" fillId="0" borderId="17" xfId="0" applyBorder="1"/>
    <xf numFmtId="0" fontId="14" fillId="3" borderId="18" xfId="0" applyFont="1" applyFill="1" applyBorder="1" applyAlignment="1">
      <alignment horizontal="center"/>
    </xf>
    <xf numFmtId="0" fontId="14" fillId="4" borderId="19" xfId="0" applyFont="1" applyFill="1" applyBorder="1"/>
    <xf numFmtId="0" fontId="14" fillId="4" borderId="20" xfId="0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Meses!$D$15:$D$26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Meses!$E$15:$E$26</c:f>
              <c:numCache>
                <c:formatCode>General</c:formatCode>
                <c:ptCount val="12"/>
                <c:pt idx="0">
                  <c:v>16</c:v>
                </c:pt>
                <c:pt idx="1">
                  <c:v>33</c:v>
                </c:pt>
                <c:pt idx="2">
                  <c:v>24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30</c:v>
                </c:pt>
                <c:pt idx="9">
                  <c:v>26</c:v>
                </c:pt>
                <c:pt idx="10">
                  <c:v>30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9-4F18-842A-D5A64999F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234496"/>
        <c:axId val="162075376"/>
      </c:barChart>
      <c:catAx>
        <c:axId val="1642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075376"/>
        <c:crosses val="autoZero"/>
        <c:auto val="1"/>
        <c:lblAlgn val="ctr"/>
        <c:lblOffset val="100"/>
        <c:noMultiLvlLbl val="0"/>
      </c:catAx>
      <c:valAx>
        <c:axId val="1620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42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POR REGIÓN</a:t>
            </a:r>
          </a:p>
        </c:rich>
      </c:tx>
      <c:layout>
        <c:manualLayout>
          <c:xMode val="edge"/>
          <c:yMode val="edge"/>
          <c:x val="0.4256041032490579"/>
          <c:y val="3.0714702857395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Hoja14!$F$28:$F$52</c:f>
              <c:strCache>
                <c:ptCount val="25"/>
                <c:pt idx="0">
                  <c:v>AMAZONAS</c:v>
                </c:pt>
                <c:pt idx="1">
                  <c:v>ANCASH</c:v>
                </c:pt>
                <c:pt idx="2">
                  <c:v>APURIMAC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HUANUCO</c:v>
                </c:pt>
                <c:pt idx="10">
                  <c:v>ICA</c:v>
                </c:pt>
                <c:pt idx="11">
                  <c:v>JUNIN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MARTIN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Hoja14!$Z$28:$Z$52</c:f>
              <c:numCache>
                <c:formatCode>General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19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26</c:v>
                </c:pt>
                <c:pt idx="12">
                  <c:v>6</c:v>
                </c:pt>
                <c:pt idx="13">
                  <c:v>13</c:v>
                </c:pt>
                <c:pt idx="14">
                  <c:v>144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31</c:v>
                </c:pt>
                <c:pt idx="21">
                  <c:v>7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8-4EDC-9918-4B092452B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701248"/>
        <c:axId val="202702816"/>
      </c:barChart>
      <c:catAx>
        <c:axId val="20270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2702816"/>
        <c:crosses val="autoZero"/>
        <c:auto val="1"/>
        <c:lblAlgn val="ctr"/>
        <c:lblOffset val="100"/>
        <c:noMultiLvlLbl val="0"/>
      </c:catAx>
      <c:valAx>
        <c:axId val="20270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7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según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Sexo!$D$12:$D$13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Sexo!$E$12:$E$13</c:f>
              <c:numCache>
                <c:formatCode>General</c:formatCode>
                <c:ptCount val="2"/>
                <c:pt idx="0">
                  <c:v>57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F71-8B9D-25F8EB9C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331128"/>
        <c:axId val="164508568"/>
      </c:barChart>
      <c:catAx>
        <c:axId val="16433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4508568"/>
        <c:crosses val="autoZero"/>
        <c:auto val="1"/>
        <c:lblAlgn val="ctr"/>
        <c:lblOffset val="100"/>
        <c:noMultiLvlLbl val="0"/>
      </c:catAx>
      <c:valAx>
        <c:axId val="1645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433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</a:t>
            </a:r>
            <a:r>
              <a:rPr lang="es-PE" b="1" baseline="0"/>
              <a:t> según Edad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Edad!$D$13:$D$21</c:f>
              <c:strCache>
                <c:ptCount val="9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A MAS</c:v>
                </c:pt>
              </c:strCache>
            </c:strRef>
          </c:cat>
          <c:val>
            <c:numRef>
              <c:f>Edad!$E$13:$E$21</c:f>
              <c:numCache>
                <c:formatCode>General</c:formatCode>
                <c:ptCount val="9"/>
                <c:pt idx="0">
                  <c:v>9</c:v>
                </c:pt>
                <c:pt idx="1">
                  <c:v>20</c:v>
                </c:pt>
                <c:pt idx="2">
                  <c:v>47</c:v>
                </c:pt>
                <c:pt idx="3">
                  <c:v>55</c:v>
                </c:pt>
                <c:pt idx="4">
                  <c:v>47</c:v>
                </c:pt>
                <c:pt idx="5">
                  <c:v>42</c:v>
                </c:pt>
                <c:pt idx="6">
                  <c:v>34</c:v>
                </c:pt>
                <c:pt idx="7">
                  <c:v>26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9-472B-B1B8-0F443005A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444888"/>
        <c:axId val="162888320"/>
      </c:barChart>
      <c:catAx>
        <c:axId val="202444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88320"/>
        <c:crosses val="autoZero"/>
        <c:auto val="1"/>
        <c:lblAlgn val="ctr"/>
        <c:lblOffset val="100"/>
        <c:noMultiLvlLbl val="0"/>
      </c:catAx>
      <c:valAx>
        <c:axId val="16288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44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según Cobertura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Cobertura!$D$12:$D$13</c:f>
              <c:strCache>
                <c:ptCount val="2"/>
                <c:pt idx="0">
                  <c:v>LESIONADO</c:v>
                </c:pt>
                <c:pt idx="1">
                  <c:v>FALLECIDO</c:v>
                </c:pt>
              </c:strCache>
            </c:strRef>
          </c:cat>
          <c:val>
            <c:numRef>
              <c:f>Cobertura!$E$12:$E$13</c:f>
              <c:numCache>
                <c:formatCode>0</c:formatCode>
                <c:ptCount val="2"/>
                <c:pt idx="0">
                  <c:v>197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E-4B1F-923E-26EF162EA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893416"/>
        <c:axId val="162895768"/>
      </c:barChart>
      <c:catAx>
        <c:axId val="162893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95768"/>
        <c:crosses val="autoZero"/>
        <c:auto val="1"/>
        <c:lblAlgn val="ctr"/>
        <c:lblOffset val="100"/>
        <c:noMultiLvlLbl val="0"/>
      </c:catAx>
      <c:valAx>
        <c:axId val="16289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9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Dpto!$D$10:$D$28</c:f>
              <c:strCache>
                <c:ptCount val="19"/>
                <c:pt idx="0">
                  <c:v>ANCASH</c:v>
                </c:pt>
                <c:pt idx="1">
                  <c:v>APURIMAC</c:v>
                </c:pt>
                <c:pt idx="2">
                  <c:v>AREQUIPA</c:v>
                </c:pt>
                <c:pt idx="3">
                  <c:v>AYACUCHO</c:v>
                </c:pt>
                <c:pt idx="4">
                  <c:v>CUSCO</c:v>
                </c:pt>
                <c:pt idx="5">
                  <c:v>HUANUCO</c:v>
                </c:pt>
                <c:pt idx="6">
                  <c:v>ICA</c:v>
                </c:pt>
                <c:pt idx="7">
                  <c:v>JUNIN</c:v>
                </c:pt>
                <c:pt idx="8">
                  <c:v>LA LIBERTAD</c:v>
                </c:pt>
                <c:pt idx="9">
                  <c:v>LAMBAYEQUE</c:v>
                </c:pt>
                <c:pt idx="10">
                  <c:v>LIMA</c:v>
                </c:pt>
                <c:pt idx="11">
                  <c:v>PASCO</c:v>
                </c:pt>
                <c:pt idx="12">
                  <c:v>PIURA</c:v>
                </c:pt>
                <c:pt idx="13">
                  <c:v>CALLAO</c:v>
                </c:pt>
                <c:pt idx="14">
                  <c:v>PUNO</c:v>
                </c:pt>
                <c:pt idx="15">
                  <c:v>SAN MARTIN</c:v>
                </c:pt>
                <c:pt idx="16">
                  <c:v>TACNA</c:v>
                </c:pt>
                <c:pt idx="17">
                  <c:v>TUMBES</c:v>
                </c:pt>
                <c:pt idx="18">
                  <c:v>UCAYALI</c:v>
                </c:pt>
              </c:strCache>
            </c:strRef>
          </c:cat>
          <c:val>
            <c:numRef>
              <c:f>Dpto!$E$10:$E$28</c:f>
              <c:numCache>
                <c:formatCode>General</c:formatCode>
                <c:ptCount val="19"/>
                <c:pt idx="0">
                  <c:v>6</c:v>
                </c:pt>
                <c:pt idx="1">
                  <c:v>2</c:v>
                </c:pt>
                <c:pt idx="2">
                  <c:v>19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26</c:v>
                </c:pt>
                <c:pt idx="8">
                  <c:v>6</c:v>
                </c:pt>
                <c:pt idx="9">
                  <c:v>13</c:v>
                </c:pt>
                <c:pt idx="10">
                  <c:v>144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31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F-42B3-960F-5A660F2D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888712"/>
        <c:axId val="162889104"/>
      </c:barChart>
      <c:catAx>
        <c:axId val="16288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89104"/>
        <c:crosses val="autoZero"/>
        <c:auto val="1"/>
        <c:lblAlgn val="ctr"/>
        <c:lblOffset val="100"/>
        <c:noMultiLvlLbl val="0"/>
      </c:catAx>
      <c:valAx>
        <c:axId val="16288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88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según</a:t>
            </a:r>
            <a:r>
              <a:rPr lang="es-PE" b="1" baseline="0"/>
              <a:t> Monto Comprometido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'Monto Comprometido'!$D$12:$D$17</c:f>
              <c:strCache>
                <c:ptCount val="6"/>
                <c:pt idx="0">
                  <c:v>&lt; 1,000</c:v>
                </c:pt>
                <c:pt idx="1">
                  <c:v>1,000 - 5,000</c:v>
                </c:pt>
                <c:pt idx="2">
                  <c:v>5,000 - 10,000</c:v>
                </c:pt>
                <c:pt idx="3">
                  <c:v>10,000 - 15,000</c:v>
                </c:pt>
                <c:pt idx="4">
                  <c:v>15,000 - 21,001</c:v>
                </c:pt>
                <c:pt idx="5">
                  <c:v>21,000 - 25,000</c:v>
                </c:pt>
              </c:strCache>
            </c:strRef>
          </c:cat>
          <c:val>
            <c:numRef>
              <c:f>'Monto Comprometido'!$E$12:$E$17</c:f>
              <c:numCache>
                <c:formatCode>0</c:formatCode>
                <c:ptCount val="6"/>
                <c:pt idx="0">
                  <c:v>35</c:v>
                </c:pt>
                <c:pt idx="1">
                  <c:v>178</c:v>
                </c:pt>
                <c:pt idx="2">
                  <c:v>45</c:v>
                </c:pt>
                <c:pt idx="3">
                  <c:v>16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E-4E38-9FC8-BC230873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891064"/>
        <c:axId val="162892632"/>
      </c:barChart>
      <c:catAx>
        <c:axId val="162891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92632"/>
        <c:crosses val="autoZero"/>
        <c:auto val="1"/>
        <c:lblAlgn val="ctr"/>
        <c:lblOffset val="100"/>
        <c:noMultiLvlLbl val="0"/>
      </c:catAx>
      <c:valAx>
        <c:axId val="16289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91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por Tipo de Vehículo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Vehiculo!$D$11:$D$21</c:f>
              <c:strCache>
                <c:ptCount val="11"/>
                <c:pt idx="0">
                  <c:v>AUTOMOVIL</c:v>
                </c:pt>
                <c:pt idx="1">
                  <c:v>CAMION</c:v>
                </c:pt>
                <c:pt idx="2">
                  <c:v>CAMIONETA</c:v>
                </c:pt>
                <c:pt idx="3">
                  <c:v>COMBI</c:v>
                </c:pt>
                <c:pt idx="4">
                  <c:v>COUSTER</c:v>
                </c:pt>
                <c:pt idx="5">
                  <c:v>MOTO LINEAL</c:v>
                </c:pt>
                <c:pt idx="6">
                  <c:v>MOTOCICLETA</c:v>
                </c:pt>
                <c:pt idx="7">
                  <c:v>MOTOTAXI</c:v>
                </c:pt>
                <c:pt idx="8">
                  <c:v>NO IDENTIFICADO</c:v>
                </c:pt>
                <c:pt idx="9">
                  <c:v>OMNIBUS</c:v>
                </c:pt>
                <c:pt idx="10">
                  <c:v>TRAYLER</c:v>
                </c:pt>
              </c:strCache>
            </c:strRef>
          </c:cat>
          <c:val>
            <c:numRef>
              <c:f>Vehiculo!$E$11:$E$21</c:f>
              <c:numCache>
                <c:formatCode>General</c:formatCode>
                <c:ptCount val="11"/>
                <c:pt idx="0">
                  <c:v>38</c:v>
                </c:pt>
                <c:pt idx="1">
                  <c:v>8</c:v>
                </c:pt>
                <c:pt idx="2">
                  <c:v>23</c:v>
                </c:pt>
                <c:pt idx="3">
                  <c:v>3</c:v>
                </c:pt>
                <c:pt idx="4">
                  <c:v>1</c:v>
                </c:pt>
                <c:pt idx="5">
                  <c:v>45</c:v>
                </c:pt>
                <c:pt idx="6">
                  <c:v>1</c:v>
                </c:pt>
                <c:pt idx="7">
                  <c:v>25</c:v>
                </c:pt>
                <c:pt idx="8">
                  <c:v>139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B-4BCC-B919-90372E744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890672"/>
        <c:axId val="122182168"/>
      </c:barChart>
      <c:catAx>
        <c:axId val="16289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182168"/>
        <c:crosses val="autoZero"/>
        <c:auto val="1"/>
        <c:lblAlgn val="ctr"/>
        <c:lblOffset val="100"/>
        <c:noMultiLvlLbl val="0"/>
      </c:catAx>
      <c:valAx>
        <c:axId val="12218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289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por Estado Etílico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Etilismo!$D$12:$D$13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Etilismo!$E$12:$E$13</c:f>
              <c:numCache>
                <c:formatCode>General</c:formatCode>
                <c:ptCount val="2"/>
                <c:pt idx="0">
                  <c:v>5</c:v>
                </c:pt>
                <c:pt idx="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6-438E-9407-A0083A7B5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183344"/>
        <c:axId val="122180208"/>
      </c:barChart>
      <c:catAx>
        <c:axId val="12218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180208"/>
        <c:crosses val="autoZero"/>
        <c:auto val="1"/>
        <c:lblAlgn val="ctr"/>
        <c:lblOffset val="100"/>
        <c:noMultiLvlLbl val="0"/>
      </c:catAx>
      <c:valAx>
        <c:axId val="12218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18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Siniestro por Diagnóstico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Diagnostico!$C$11:$C$22</c:f>
              <c:strCache>
                <c:ptCount val="12"/>
                <c:pt idx="0">
                  <c:v>ATRICCION</c:v>
                </c:pt>
                <c:pt idx="1">
                  <c:v>CONTUSION</c:v>
                </c:pt>
                <c:pt idx="2">
                  <c:v>ESGUINCE</c:v>
                </c:pt>
                <c:pt idx="3">
                  <c:v>FALLECIDO</c:v>
                </c:pt>
                <c:pt idx="4">
                  <c:v>FRACTURA</c:v>
                </c:pt>
                <c:pt idx="5">
                  <c:v>FRACTURAS MULTIPLES DE PIERNA DERECHA</c:v>
                </c:pt>
                <c:pt idx="6">
                  <c:v>HERIDA</c:v>
                </c:pt>
                <c:pt idx="7">
                  <c:v>LUXACION</c:v>
                </c:pt>
                <c:pt idx="8">
                  <c:v>POLICONTUSO</c:v>
                </c:pt>
                <c:pt idx="9">
                  <c:v>POLITRAUMATIZADO</c:v>
                </c:pt>
                <c:pt idx="10">
                  <c:v>TEC</c:v>
                </c:pt>
                <c:pt idx="11">
                  <c:v>TRAUMATISMO</c:v>
                </c:pt>
              </c:strCache>
            </c:strRef>
          </c:cat>
          <c:val>
            <c:numRef>
              <c:f>Diagnostico!$D$11:$D$22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94</c:v>
                </c:pt>
                <c:pt idx="4">
                  <c:v>102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29</c:v>
                </c:pt>
                <c:pt idx="9">
                  <c:v>4</c:v>
                </c:pt>
                <c:pt idx="10">
                  <c:v>30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E-4961-836A-E27AC0B88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2701640"/>
        <c:axId val="202699680"/>
      </c:barChart>
      <c:catAx>
        <c:axId val="202701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699680"/>
        <c:crosses val="autoZero"/>
        <c:auto val="1"/>
        <c:lblAlgn val="ctr"/>
        <c:lblOffset val="100"/>
        <c:noMultiLvlLbl val="0"/>
      </c:catAx>
      <c:valAx>
        <c:axId val="20269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70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31</xdr:row>
      <xdr:rowOff>109537</xdr:rowOff>
    </xdr:from>
    <xdr:to>
      <xdr:col>5</xdr:col>
      <xdr:colOff>561975</xdr:colOff>
      <xdr:row>45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297657</xdr:colOff>
      <xdr:row>54</xdr:row>
      <xdr:rowOff>128586</xdr:rowOff>
    </xdr:from>
    <xdr:to>
      <xdr:col>21</xdr:col>
      <xdr:colOff>619125</xdr:colOff>
      <xdr:row>84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20</xdr:row>
      <xdr:rowOff>176212</xdr:rowOff>
    </xdr:from>
    <xdr:to>
      <xdr:col>5</xdr:col>
      <xdr:colOff>371475</xdr:colOff>
      <xdr:row>35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27</xdr:row>
      <xdr:rowOff>61912</xdr:rowOff>
    </xdr:from>
    <xdr:to>
      <xdr:col>5</xdr:col>
      <xdr:colOff>571500</xdr:colOff>
      <xdr:row>41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19</xdr:row>
      <xdr:rowOff>119062</xdr:rowOff>
    </xdr:from>
    <xdr:to>
      <xdr:col>5</xdr:col>
      <xdr:colOff>657224</xdr:colOff>
      <xdr:row>34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33</xdr:row>
      <xdr:rowOff>80962</xdr:rowOff>
    </xdr:from>
    <xdr:to>
      <xdr:col>6</xdr:col>
      <xdr:colOff>647700</xdr:colOff>
      <xdr:row>47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23</xdr:row>
      <xdr:rowOff>42861</xdr:rowOff>
    </xdr:from>
    <xdr:to>
      <xdr:col>6</xdr:col>
      <xdr:colOff>66675</xdr:colOff>
      <xdr:row>38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26</xdr:row>
      <xdr:rowOff>33337</xdr:rowOff>
    </xdr:from>
    <xdr:to>
      <xdr:col>5</xdr:col>
      <xdr:colOff>942974</xdr:colOff>
      <xdr:row>43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17</xdr:row>
      <xdr:rowOff>109537</xdr:rowOff>
    </xdr:from>
    <xdr:to>
      <xdr:col>5</xdr:col>
      <xdr:colOff>571500</xdr:colOff>
      <xdr:row>31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26</xdr:row>
      <xdr:rowOff>138112</xdr:rowOff>
    </xdr:from>
    <xdr:to>
      <xdr:col>4</xdr:col>
      <xdr:colOff>600074</xdr:colOff>
      <xdr:row>44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TC\SOAT\9%20%20SETIEMBRE%202020\ESTADISTICAS%20DE%20SINIESTROS%20POR%20PERSONA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Gastos Medicos y Sepelios"/>
      <sheetName val="Hoja2"/>
      <sheetName val="Distrito"/>
      <sheetName val="Meses"/>
      <sheetName val="Sexo"/>
      <sheetName val="Edad"/>
      <sheetName val="Cobertura"/>
      <sheetName val="Dpto"/>
      <sheetName val="Monto Comprometido"/>
      <sheetName val="Establecimiento"/>
      <sheetName val="Comisaria"/>
      <sheetName val="Vehiculo"/>
      <sheetName val="Etilismo"/>
      <sheetName val="Diagnostico"/>
      <sheetName val="Hoja1"/>
    </sheetNames>
    <sheetDataSet>
      <sheetData sheetId="0"/>
      <sheetData sheetId="1"/>
      <sheetData sheetId="2"/>
      <sheetData sheetId="3"/>
      <sheetData sheetId="4">
        <row r="4">
          <cell r="A4" t="str">
            <v>Siniestros Cubiertos por el Fondo</v>
          </cell>
        </row>
      </sheetData>
      <sheetData sheetId="5"/>
      <sheetData sheetId="6">
        <row r="4">
          <cell r="A4" t="str">
            <v>Siniestros Cubiertos por el Fondo</v>
          </cell>
        </row>
      </sheetData>
      <sheetData sheetId="7">
        <row r="2">
          <cell r="A2" t="str">
            <v>Siniestros Cubiertos por el Fondo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6"/>
  <sheetViews>
    <sheetView tabSelected="1" workbookViewId="0">
      <pane ySplit="3" topLeftCell="A196" activePane="bottomLeft" state="frozen"/>
      <selection activeCell="F1" sqref="F1"/>
      <selection pane="bottomLeft" activeCell="H209" sqref="H209:K209"/>
    </sheetView>
  </sheetViews>
  <sheetFormatPr baseColWidth="10" defaultRowHeight="15" x14ac:dyDescent="0.25"/>
  <cols>
    <col min="1" max="1" width="6.5703125" customWidth="1"/>
    <col min="4" max="4" width="6.140625" customWidth="1"/>
    <col min="5" max="5" width="14" customWidth="1"/>
    <col min="6" max="6" width="13.7109375" customWidth="1"/>
    <col min="7" max="7" width="13.5703125" customWidth="1"/>
    <col min="8" max="8" width="57" customWidth="1"/>
    <col min="9" max="9" width="12.5703125" customWidth="1"/>
    <col min="11" max="12" width="13.85546875" customWidth="1"/>
    <col min="13" max="13" width="29.7109375" customWidth="1"/>
    <col min="14" max="14" width="15.28515625" customWidth="1"/>
    <col min="15" max="15" width="35.7109375" style="54" customWidth="1"/>
    <col min="16" max="16" width="19.85546875" customWidth="1"/>
    <col min="18" max="18" width="88.5703125" customWidth="1"/>
    <col min="19" max="19" width="21" customWidth="1"/>
    <col min="20" max="20" width="46.85546875" customWidth="1"/>
    <col min="21" max="21" width="47.7109375" customWidth="1"/>
  </cols>
  <sheetData>
    <row r="1" spans="1:26" x14ac:dyDescent="0.25">
      <c r="A1" s="1"/>
      <c r="B1" s="2"/>
      <c r="C1" s="2"/>
      <c r="D1" s="2"/>
      <c r="E1" s="2"/>
      <c r="F1" s="2"/>
      <c r="G1" s="2"/>
      <c r="H1" s="1"/>
      <c r="I1" s="2"/>
      <c r="J1" s="3"/>
      <c r="K1" s="4"/>
      <c r="L1" s="4"/>
      <c r="M1" s="5"/>
      <c r="N1" s="5"/>
      <c r="O1" s="4"/>
      <c r="P1" s="2"/>
      <c r="Q1" s="2"/>
      <c r="R1" s="2"/>
      <c r="S1" s="6"/>
      <c r="T1" s="2"/>
      <c r="U1" s="7"/>
    </row>
    <row r="2" spans="1:26" ht="33.75" x14ac:dyDescent="0.25">
      <c r="A2" s="1"/>
      <c r="B2" s="106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6" ht="28.5" x14ac:dyDescent="0.25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0" t="s">
        <v>8</v>
      </c>
      <c r="I3" s="10" t="s">
        <v>9</v>
      </c>
      <c r="J3" s="11" t="s">
        <v>10</v>
      </c>
      <c r="K3" s="8" t="s">
        <v>11</v>
      </c>
      <c r="L3" s="8"/>
      <c r="M3" s="12" t="s">
        <v>12</v>
      </c>
      <c r="N3" s="12" t="s">
        <v>13</v>
      </c>
      <c r="O3" s="12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13" t="s">
        <v>20</v>
      </c>
    </row>
    <row r="4" spans="1:26" x14ac:dyDescent="0.25">
      <c r="A4" s="96">
        <v>1</v>
      </c>
      <c r="B4" s="14" t="s">
        <v>21</v>
      </c>
      <c r="C4" s="15">
        <v>2022</v>
      </c>
      <c r="D4" s="15">
        <f t="shared" ref="D4:D67" si="0">IF(ISBLANK(F4),0,MONTH(F4))</f>
        <v>1</v>
      </c>
      <c r="E4" s="16">
        <v>43990</v>
      </c>
      <c r="F4" s="16">
        <v>44589</v>
      </c>
      <c r="G4" s="97" t="s">
        <v>22</v>
      </c>
      <c r="H4" s="98" t="s">
        <v>23</v>
      </c>
      <c r="I4" s="20" t="s">
        <v>24</v>
      </c>
      <c r="J4" s="99">
        <v>40</v>
      </c>
      <c r="K4" s="17" t="s">
        <v>1116</v>
      </c>
      <c r="L4" s="17" t="s">
        <v>31</v>
      </c>
      <c r="M4" s="14" t="s">
        <v>25</v>
      </c>
      <c r="N4" s="14" t="s">
        <v>26</v>
      </c>
      <c r="O4" s="17" t="s">
        <v>27</v>
      </c>
      <c r="P4" s="17" t="s">
        <v>28</v>
      </c>
      <c r="Q4" s="17" t="s">
        <v>29</v>
      </c>
      <c r="R4" s="18" t="s">
        <v>30</v>
      </c>
      <c r="S4" s="19">
        <v>2000</v>
      </c>
      <c r="T4" s="20" t="s">
        <v>31</v>
      </c>
      <c r="U4" s="21" t="s">
        <v>31</v>
      </c>
      <c r="V4" s="100"/>
      <c r="W4" s="100"/>
      <c r="X4" s="100"/>
      <c r="Y4" s="100"/>
      <c r="Z4" s="100"/>
    </row>
    <row r="5" spans="1:26" x14ac:dyDescent="0.25">
      <c r="A5" s="96">
        <v>2</v>
      </c>
      <c r="B5" s="14" t="s">
        <v>32</v>
      </c>
      <c r="C5" s="15">
        <v>2022</v>
      </c>
      <c r="D5" s="15">
        <f t="shared" si="0"/>
        <v>2</v>
      </c>
      <c r="E5" s="16">
        <v>43868</v>
      </c>
      <c r="F5" s="16">
        <v>44609</v>
      </c>
      <c r="G5" s="97" t="s">
        <v>33</v>
      </c>
      <c r="H5" s="98" t="s">
        <v>34</v>
      </c>
      <c r="I5" s="20" t="s">
        <v>24</v>
      </c>
      <c r="J5" s="99">
        <v>88</v>
      </c>
      <c r="K5" s="17" t="s">
        <v>1115</v>
      </c>
      <c r="L5" s="17" t="s">
        <v>1118</v>
      </c>
      <c r="M5" s="14" t="s">
        <v>35</v>
      </c>
      <c r="N5" s="14" t="s">
        <v>36</v>
      </c>
      <c r="O5" s="17" t="s">
        <v>37</v>
      </c>
      <c r="P5" s="17" t="s">
        <v>28</v>
      </c>
      <c r="Q5" s="17" t="s">
        <v>29</v>
      </c>
      <c r="R5" s="18" t="s">
        <v>38</v>
      </c>
      <c r="S5" s="19">
        <v>8000</v>
      </c>
      <c r="T5" s="20" t="s">
        <v>39</v>
      </c>
      <c r="U5" s="21" t="s">
        <v>39</v>
      </c>
      <c r="V5" s="100"/>
      <c r="W5" s="100"/>
      <c r="X5" s="100"/>
      <c r="Y5" s="100"/>
      <c r="Z5" s="100"/>
    </row>
    <row r="6" spans="1:26" x14ac:dyDescent="0.25">
      <c r="A6" s="96">
        <v>3</v>
      </c>
      <c r="B6" s="14" t="s">
        <v>40</v>
      </c>
      <c r="C6" s="15">
        <v>2022</v>
      </c>
      <c r="D6" s="15">
        <f t="shared" si="0"/>
        <v>2</v>
      </c>
      <c r="E6" s="16">
        <v>43895</v>
      </c>
      <c r="F6" s="16">
        <v>44617</v>
      </c>
      <c r="G6" s="97" t="s">
        <v>41</v>
      </c>
      <c r="H6" s="98" t="s">
        <v>42</v>
      </c>
      <c r="I6" s="20" t="s">
        <v>24</v>
      </c>
      <c r="J6" s="99">
        <v>84</v>
      </c>
      <c r="K6" s="17" t="s">
        <v>1115</v>
      </c>
      <c r="L6" s="17" t="s">
        <v>1118</v>
      </c>
      <c r="M6" s="14" t="s">
        <v>43</v>
      </c>
      <c r="N6" s="14" t="s">
        <v>36</v>
      </c>
      <c r="O6" s="17" t="s">
        <v>44</v>
      </c>
      <c r="P6" s="17" t="s">
        <v>28</v>
      </c>
      <c r="Q6" s="17" t="s">
        <v>29</v>
      </c>
      <c r="R6" s="18" t="s">
        <v>45</v>
      </c>
      <c r="S6" s="19">
        <v>9000</v>
      </c>
      <c r="T6" s="20" t="s">
        <v>46</v>
      </c>
      <c r="U6" s="21" t="s">
        <v>47</v>
      </c>
      <c r="V6" s="100"/>
      <c r="W6" s="100"/>
      <c r="X6" s="100"/>
      <c r="Y6" s="100"/>
      <c r="Z6" s="100"/>
    </row>
    <row r="7" spans="1:26" x14ac:dyDescent="0.25">
      <c r="A7" s="96">
        <v>4</v>
      </c>
      <c r="B7" s="14" t="s">
        <v>48</v>
      </c>
      <c r="C7" s="15">
        <v>2022</v>
      </c>
      <c r="D7" s="15">
        <f t="shared" si="0"/>
        <v>4</v>
      </c>
      <c r="E7" s="16">
        <v>44079</v>
      </c>
      <c r="F7" s="16">
        <v>44658</v>
      </c>
      <c r="G7" s="97" t="s">
        <v>49</v>
      </c>
      <c r="H7" s="98" t="s">
        <v>50</v>
      </c>
      <c r="I7" s="20" t="s">
        <v>24</v>
      </c>
      <c r="J7" s="99">
        <v>60</v>
      </c>
      <c r="K7" s="17" t="s">
        <v>1116</v>
      </c>
      <c r="L7" s="17" t="s">
        <v>31</v>
      </c>
      <c r="M7" s="14" t="s">
        <v>51</v>
      </c>
      <c r="N7" s="14" t="s">
        <v>36</v>
      </c>
      <c r="O7" s="17" t="s">
        <v>51</v>
      </c>
      <c r="P7" s="17" t="s">
        <v>28</v>
      </c>
      <c r="Q7" s="17" t="s">
        <v>29</v>
      </c>
      <c r="R7" s="18" t="s">
        <v>30</v>
      </c>
      <c r="S7" s="19">
        <v>4300</v>
      </c>
      <c r="T7" s="20" t="s">
        <v>31</v>
      </c>
      <c r="U7" s="21" t="s">
        <v>31</v>
      </c>
      <c r="V7" s="100"/>
      <c r="W7" s="100"/>
      <c r="X7" s="100"/>
      <c r="Y7" s="100"/>
      <c r="Z7" s="100"/>
    </row>
    <row r="8" spans="1:26" x14ac:dyDescent="0.25">
      <c r="A8" s="96">
        <v>5</v>
      </c>
      <c r="B8" s="14" t="s">
        <v>52</v>
      </c>
      <c r="C8" s="15">
        <v>2022</v>
      </c>
      <c r="D8" s="15">
        <f t="shared" si="0"/>
        <v>5</v>
      </c>
      <c r="E8" s="16">
        <v>43887</v>
      </c>
      <c r="F8" s="16">
        <v>44685</v>
      </c>
      <c r="G8" s="97" t="s">
        <v>53</v>
      </c>
      <c r="H8" s="98" t="s">
        <v>54</v>
      </c>
      <c r="I8" s="20" t="s">
        <v>24</v>
      </c>
      <c r="J8" s="99">
        <v>72</v>
      </c>
      <c r="K8" s="17" t="s">
        <v>1115</v>
      </c>
      <c r="L8" s="17" t="s">
        <v>1118</v>
      </c>
      <c r="M8" s="14" t="s">
        <v>55</v>
      </c>
      <c r="N8" s="14" t="s">
        <v>36</v>
      </c>
      <c r="O8" s="17" t="s">
        <v>55</v>
      </c>
      <c r="P8" s="17" t="s">
        <v>56</v>
      </c>
      <c r="Q8" s="17" t="s">
        <v>29</v>
      </c>
      <c r="R8" s="18" t="s">
        <v>57</v>
      </c>
      <c r="S8" s="19">
        <v>300</v>
      </c>
      <c r="T8" s="20" t="s">
        <v>58</v>
      </c>
      <c r="U8" s="21" t="s">
        <v>59</v>
      </c>
      <c r="V8" s="100"/>
      <c r="W8" s="100"/>
      <c r="X8" s="100"/>
      <c r="Y8" s="100"/>
      <c r="Z8" s="100"/>
    </row>
    <row r="9" spans="1:26" x14ac:dyDescent="0.25">
      <c r="A9" s="96">
        <v>6</v>
      </c>
      <c r="B9" s="14" t="s">
        <v>60</v>
      </c>
      <c r="C9" s="15">
        <v>2022</v>
      </c>
      <c r="D9" s="15">
        <f t="shared" si="0"/>
        <v>5</v>
      </c>
      <c r="E9" s="16">
        <v>43901</v>
      </c>
      <c r="F9" s="16">
        <v>44690</v>
      </c>
      <c r="G9" s="97" t="s">
        <v>61</v>
      </c>
      <c r="H9" s="98" t="s">
        <v>62</v>
      </c>
      <c r="I9" s="20" t="s">
        <v>63</v>
      </c>
      <c r="J9" s="99">
        <v>51</v>
      </c>
      <c r="K9" s="17" t="s">
        <v>1116</v>
      </c>
      <c r="L9" s="17" t="s">
        <v>31</v>
      </c>
      <c r="M9" s="14" t="s">
        <v>64</v>
      </c>
      <c r="N9" s="14" t="s">
        <v>36</v>
      </c>
      <c r="O9" s="17" t="s">
        <v>65</v>
      </c>
      <c r="P9" s="17" t="s">
        <v>28</v>
      </c>
      <c r="Q9" s="17" t="s">
        <v>29</v>
      </c>
      <c r="R9" s="18" t="s">
        <v>30</v>
      </c>
      <c r="S9" s="19">
        <v>4300</v>
      </c>
      <c r="T9" s="20" t="s">
        <v>31</v>
      </c>
      <c r="U9" s="21" t="s">
        <v>31</v>
      </c>
      <c r="V9" s="100"/>
      <c r="W9" s="100"/>
      <c r="X9" s="100"/>
      <c r="Y9" s="100"/>
      <c r="Z9" s="100"/>
    </row>
    <row r="10" spans="1:26" x14ac:dyDescent="0.25">
      <c r="A10" s="96">
        <v>7</v>
      </c>
      <c r="B10" s="14" t="s">
        <v>66</v>
      </c>
      <c r="C10" s="15">
        <v>2022</v>
      </c>
      <c r="D10" s="15">
        <f t="shared" si="0"/>
        <v>5</v>
      </c>
      <c r="E10" s="16">
        <v>44336</v>
      </c>
      <c r="F10" s="16">
        <v>44698</v>
      </c>
      <c r="G10" s="97" t="s">
        <v>67</v>
      </c>
      <c r="H10" s="98" t="s">
        <v>68</v>
      </c>
      <c r="I10" s="20" t="s">
        <v>24</v>
      </c>
      <c r="J10" s="99">
        <v>48</v>
      </c>
      <c r="K10" s="17" t="s">
        <v>1115</v>
      </c>
      <c r="L10" s="17" t="s">
        <v>1118</v>
      </c>
      <c r="M10" s="14" t="s">
        <v>69</v>
      </c>
      <c r="N10" s="14" t="s">
        <v>36</v>
      </c>
      <c r="O10" s="17" t="s">
        <v>70</v>
      </c>
      <c r="P10" s="17" t="s">
        <v>71</v>
      </c>
      <c r="Q10" s="17" t="s">
        <v>29</v>
      </c>
      <c r="R10" s="18" t="s">
        <v>72</v>
      </c>
      <c r="S10" s="19">
        <v>300</v>
      </c>
      <c r="T10" s="20" t="s">
        <v>73</v>
      </c>
      <c r="U10" s="21" t="s">
        <v>74</v>
      </c>
      <c r="V10" s="100"/>
      <c r="W10" s="100"/>
      <c r="X10" s="100"/>
      <c r="Y10" s="100"/>
      <c r="Z10" s="100"/>
    </row>
    <row r="11" spans="1:26" x14ac:dyDescent="0.25">
      <c r="A11" s="96">
        <v>8</v>
      </c>
      <c r="B11" s="14" t="s">
        <v>75</v>
      </c>
      <c r="C11" s="15">
        <v>2022</v>
      </c>
      <c r="D11" s="15">
        <f t="shared" si="0"/>
        <v>5</v>
      </c>
      <c r="E11" s="16">
        <v>43893</v>
      </c>
      <c r="F11" s="16">
        <v>43968</v>
      </c>
      <c r="G11" s="97" t="s">
        <v>76</v>
      </c>
      <c r="H11" s="98" t="s">
        <v>77</v>
      </c>
      <c r="I11" s="20" t="s">
        <v>63</v>
      </c>
      <c r="J11" s="99">
        <v>28</v>
      </c>
      <c r="K11" s="17" t="s">
        <v>1115</v>
      </c>
      <c r="L11" s="17" t="s">
        <v>1118</v>
      </c>
      <c r="M11" s="14" t="s">
        <v>78</v>
      </c>
      <c r="N11" s="14" t="s">
        <v>36</v>
      </c>
      <c r="O11" s="17" t="s">
        <v>78</v>
      </c>
      <c r="P11" s="17" t="s">
        <v>56</v>
      </c>
      <c r="Q11" s="17" t="s">
        <v>29</v>
      </c>
      <c r="R11" s="17" t="s">
        <v>72</v>
      </c>
      <c r="S11" s="19">
        <v>20150</v>
      </c>
      <c r="T11" s="20" t="s">
        <v>73</v>
      </c>
      <c r="U11" s="21" t="s">
        <v>79</v>
      </c>
      <c r="V11" s="100"/>
      <c r="W11" s="100"/>
      <c r="X11" s="100"/>
      <c r="Y11" s="100"/>
      <c r="Z11" s="100"/>
    </row>
    <row r="12" spans="1:26" x14ac:dyDescent="0.25">
      <c r="A12" s="96">
        <v>9</v>
      </c>
      <c r="B12" s="14" t="s">
        <v>80</v>
      </c>
      <c r="C12" s="15">
        <v>2022</v>
      </c>
      <c r="D12" s="15">
        <f t="shared" si="0"/>
        <v>5</v>
      </c>
      <c r="E12" s="16">
        <v>43722</v>
      </c>
      <c r="F12" s="16">
        <v>44707</v>
      </c>
      <c r="G12" s="97" t="s">
        <v>81</v>
      </c>
      <c r="H12" s="98" t="s">
        <v>82</v>
      </c>
      <c r="I12" s="20" t="s">
        <v>24</v>
      </c>
      <c r="J12" s="99">
        <v>61</v>
      </c>
      <c r="K12" s="17" t="s">
        <v>1116</v>
      </c>
      <c r="L12" s="17" t="s">
        <v>31</v>
      </c>
      <c r="M12" s="14" t="s">
        <v>83</v>
      </c>
      <c r="N12" s="14" t="s">
        <v>36</v>
      </c>
      <c r="O12" s="17" t="s">
        <v>84</v>
      </c>
      <c r="P12" s="17" t="s">
        <v>28</v>
      </c>
      <c r="Q12" s="17" t="s">
        <v>29</v>
      </c>
      <c r="R12" s="18" t="s">
        <v>30</v>
      </c>
      <c r="S12" s="19">
        <v>4200</v>
      </c>
      <c r="T12" s="20" t="s">
        <v>31</v>
      </c>
      <c r="U12" s="21" t="s">
        <v>31</v>
      </c>
      <c r="V12" s="100"/>
      <c r="W12" s="100"/>
      <c r="X12" s="100"/>
      <c r="Y12" s="100"/>
      <c r="Z12" s="100"/>
    </row>
    <row r="13" spans="1:26" x14ac:dyDescent="0.25">
      <c r="A13" s="96">
        <v>10</v>
      </c>
      <c r="B13" s="14" t="s">
        <v>85</v>
      </c>
      <c r="C13" s="15">
        <v>2022</v>
      </c>
      <c r="D13" s="15">
        <f t="shared" si="0"/>
        <v>6</v>
      </c>
      <c r="E13" s="16">
        <v>43895</v>
      </c>
      <c r="F13" s="16">
        <v>44739</v>
      </c>
      <c r="G13" s="97" t="s">
        <v>86</v>
      </c>
      <c r="H13" s="98" t="s">
        <v>87</v>
      </c>
      <c r="I13" s="20" t="s">
        <v>63</v>
      </c>
      <c r="J13" s="99">
        <v>38</v>
      </c>
      <c r="K13" s="17" t="s">
        <v>1115</v>
      </c>
      <c r="L13" s="17" t="s">
        <v>1118</v>
      </c>
      <c r="M13" s="14" t="s">
        <v>65</v>
      </c>
      <c r="N13" s="14" t="s">
        <v>36</v>
      </c>
      <c r="O13" s="18" t="s">
        <v>88</v>
      </c>
      <c r="P13" s="17" t="s">
        <v>28</v>
      </c>
      <c r="Q13" s="17" t="s">
        <v>29</v>
      </c>
      <c r="R13" s="17" t="s">
        <v>89</v>
      </c>
      <c r="S13" s="19">
        <v>200</v>
      </c>
      <c r="T13" s="20" t="s">
        <v>90</v>
      </c>
      <c r="U13" s="21" t="s">
        <v>91</v>
      </c>
      <c r="V13" s="100"/>
      <c r="W13" s="100"/>
      <c r="X13" s="100"/>
      <c r="Y13" s="100"/>
      <c r="Z13" s="100"/>
    </row>
    <row r="14" spans="1:26" x14ac:dyDescent="0.25">
      <c r="A14" s="96">
        <v>11</v>
      </c>
      <c r="B14" s="14" t="s">
        <v>92</v>
      </c>
      <c r="C14" s="15">
        <v>2022</v>
      </c>
      <c r="D14" s="15">
        <f t="shared" si="0"/>
        <v>10</v>
      </c>
      <c r="E14" s="16">
        <v>43801</v>
      </c>
      <c r="F14" s="16">
        <v>44851</v>
      </c>
      <c r="G14" s="97" t="s">
        <v>93</v>
      </c>
      <c r="H14" s="98" t="s">
        <v>94</v>
      </c>
      <c r="I14" s="20" t="s">
        <v>24</v>
      </c>
      <c r="J14" s="99">
        <v>70</v>
      </c>
      <c r="K14" s="17" t="s">
        <v>1115</v>
      </c>
      <c r="L14" s="17" t="s">
        <v>1118</v>
      </c>
      <c r="M14" s="14" t="s">
        <v>95</v>
      </c>
      <c r="N14" s="14" t="s">
        <v>36</v>
      </c>
      <c r="O14" s="17" t="s">
        <v>95</v>
      </c>
      <c r="P14" s="17" t="s">
        <v>71</v>
      </c>
      <c r="Q14" s="17" t="s">
        <v>29</v>
      </c>
      <c r="R14" s="17" t="s">
        <v>96</v>
      </c>
      <c r="S14" s="19">
        <v>100</v>
      </c>
      <c r="T14" s="20" t="s">
        <v>97</v>
      </c>
      <c r="U14" s="21" t="s">
        <v>98</v>
      </c>
      <c r="V14" s="100"/>
      <c r="W14" s="100"/>
      <c r="X14" s="100"/>
      <c r="Y14" s="100"/>
      <c r="Z14" s="100"/>
    </row>
    <row r="15" spans="1:26" x14ac:dyDescent="0.25">
      <c r="A15" s="96">
        <v>12</v>
      </c>
      <c r="B15" s="14" t="s">
        <v>99</v>
      </c>
      <c r="C15" s="15">
        <v>2022</v>
      </c>
      <c r="D15" s="15">
        <f t="shared" si="0"/>
        <v>11</v>
      </c>
      <c r="E15" s="16">
        <v>44115</v>
      </c>
      <c r="F15" s="16">
        <v>44875</v>
      </c>
      <c r="G15" s="97" t="s">
        <v>100</v>
      </c>
      <c r="H15" s="98" t="s">
        <v>101</v>
      </c>
      <c r="I15" s="20" t="s">
        <v>24</v>
      </c>
      <c r="J15" s="99">
        <v>31</v>
      </c>
      <c r="K15" s="17" t="s">
        <v>1115</v>
      </c>
      <c r="L15" s="17" t="s">
        <v>1118</v>
      </c>
      <c r="M15" s="14" t="s">
        <v>102</v>
      </c>
      <c r="N15" s="14" t="s">
        <v>36</v>
      </c>
      <c r="O15" s="17" t="s">
        <v>103</v>
      </c>
      <c r="P15" s="17" t="s">
        <v>104</v>
      </c>
      <c r="Q15" s="17" t="s">
        <v>29</v>
      </c>
      <c r="R15" s="17" t="s">
        <v>96</v>
      </c>
      <c r="S15" s="19">
        <v>900</v>
      </c>
      <c r="T15" s="20" t="s">
        <v>97</v>
      </c>
      <c r="U15" s="21" t="s">
        <v>105</v>
      </c>
      <c r="V15" s="100"/>
      <c r="W15" s="100"/>
      <c r="X15" s="100"/>
      <c r="Y15" s="100"/>
      <c r="Z15" s="100"/>
    </row>
    <row r="16" spans="1:26" x14ac:dyDescent="0.25">
      <c r="A16" s="96">
        <v>13</v>
      </c>
      <c r="B16" s="15">
        <v>220001</v>
      </c>
      <c r="C16" s="15">
        <v>2022</v>
      </c>
      <c r="D16" s="15">
        <f t="shared" si="0"/>
        <v>3</v>
      </c>
      <c r="E16" s="16">
        <v>44558</v>
      </c>
      <c r="F16" s="24">
        <v>44638</v>
      </c>
      <c r="G16" s="14" t="s">
        <v>106</v>
      </c>
      <c r="H16" s="98" t="s">
        <v>107</v>
      </c>
      <c r="I16" s="97" t="s">
        <v>63</v>
      </c>
      <c r="J16" s="99">
        <v>49</v>
      </c>
      <c r="K16" s="17" t="s">
        <v>1115</v>
      </c>
      <c r="L16" s="17" t="s">
        <v>1118</v>
      </c>
      <c r="M16" s="14" t="s">
        <v>35</v>
      </c>
      <c r="N16" s="14" t="s">
        <v>36</v>
      </c>
      <c r="O16" s="17" t="s">
        <v>108</v>
      </c>
      <c r="P16" s="17" t="s">
        <v>28</v>
      </c>
      <c r="Q16" s="17" t="s">
        <v>29</v>
      </c>
      <c r="R16" s="17" t="s">
        <v>109</v>
      </c>
      <c r="S16" s="19">
        <v>6000</v>
      </c>
      <c r="T16" s="20" t="s">
        <v>58</v>
      </c>
      <c r="U16" s="21" t="s">
        <v>59</v>
      </c>
      <c r="V16" s="100"/>
      <c r="W16" s="100"/>
      <c r="X16" s="100"/>
      <c r="Y16" s="100"/>
      <c r="Z16" s="100"/>
    </row>
    <row r="17" spans="1:26" x14ac:dyDescent="0.25">
      <c r="A17" s="96">
        <v>14</v>
      </c>
      <c r="B17" s="15">
        <v>220004</v>
      </c>
      <c r="C17" s="15">
        <v>2022</v>
      </c>
      <c r="D17" s="15">
        <f t="shared" si="0"/>
        <v>3</v>
      </c>
      <c r="E17" s="22">
        <v>44499</v>
      </c>
      <c r="F17" s="24">
        <v>44623</v>
      </c>
      <c r="G17" s="14" t="s">
        <v>110</v>
      </c>
      <c r="H17" s="98" t="s">
        <v>111</v>
      </c>
      <c r="I17" s="20" t="s">
        <v>24</v>
      </c>
      <c r="J17" s="99">
        <v>58</v>
      </c>
      <c r="K17" s="17" t="s">
        <v>1115</v>
      </c>
      <c r="L17" s="17" t="s">
        <v>1118</v>
      </c>
      <c r="M17" s="14" t="s">
        <v>112</v>
      </c>
      <c r="N17" s="14" t="s">
        <v>113</v>
      </c>
      <c r="O17" s="17" t="s">
        <v>112</v>
      </c>
      <c r="P17" s="17" t="s">
        <v>28</v>
      </c>
      <c r="Q17" s="17" t="s">
        <v>29</v>
      </c>
      <c r="R17" s="17" t="s">
        <v>114</v>
      </c>
      <c r="S17" s="19">
        <v>22000</v>
      </c>
      <c r="T17" s="20" t="s">
        <v>46</v>
      </c>
      <c r="U17" s="23" t="s">
        <v>115</v>
      </c>
      <c r="V17" s="100"/>
      <c r="W17" s="100"/>
      <c r="X17" s="100"/>
      <c r="Y17" s="100"/>
      <c r="Z17" s="100"/>
    </row>
    <row r="18" spans="1:26" x14ac:dyDescent="0.25">
      <c r="A18" s="96">
        <v>15</v>
      </c>
      <c r="B18" s="15">
        <v>220007</v>
      </c>
      <c r="C18" s="15">
        <v>2022</v>
      </c>
      <c r="D18" s="15">
        <f t="shared" si="0"/>
        <v>3</v>
      </c>
      <c r="E18" s="22">
        <v>44281</v>
      </c>
      <c r="F18" s="24">
        <v>44623</v>
      </c>
      <c r="G18" s="14" t="s">
        <v>116</v>
      </c>
      <c r="H18" s="98" t="s">
        <v>117</v>
      </c>
      <c r="I18" s="20" t="s">
        <v>24</v>
      </c>
      <c r="J18" s="99">
        <v>75</v>
      </c>
      <c r="K18" s="17" t="s">
        <v>1115</v>
      </c>
      <c r="L18" s="17" t="s">
        <v>1118</v>
      </c>
      <c r="M18" s="14" t="s">
        <v>118</v>
      </c>
      <c r="N18" s="14" t="s">
        <v>36</v>
      </c>
      <c r="O18" s="17" t="s">
        <v>118</v>
      </c>
      <c r="P18" s="17" t="s">
        <v>56</v>
      </c>
      <c r="Q18" s="17" t="s">
        <v>29</v>
      </c>
      <c r="R18" s="17" t="s">
        <v>119</v>
      </c>
      <c r="S18" s="19">
        <v>200</v>
      </c>
      <c r="T18" s="20" t="s">
        <v>39</v>
      </c>
      <c r="U18" s="23" t="s">
        <v>39</v>
      </c>
      <c r="V18" s="100"/>
      <c r="W18" s="100"/>
      <c r="X18" s="100"/>
      <c r="Y18" s="100"/>
      <c r="Z18" s="100"/>
    </row>
    <row r="19" spans="1:26" x14ac:dyDescent="0.25">
      <c r="A19" s="96">
        <v>16</v>
      </c>
      <c r="B19" s="15">
        <v>220009</v>
      </c>
      <c r="C19" s="15">
        <v>2022</v>
      </c>
      <c r="D19" s="15">
        <f t="shared" si="0"/>
        <v>3</v>
      </c>
      <c r="E19" s="16">
        <v>44557</v>
      </c>
      <c r="F19" s="24">
        <v>44638</v>
      </c>
      <c r="G19" s="14" t="s">
        <v>120</v>
      </c>
      <c r="H19" s="98" t="s">
        <v>121</v>
      </c>
      <c r="I19" s="20" t="s">
        <v>24</v>
      </c>
      <c r="J19" s="99">
        <v>33</v>
      </c>
      <c r="K19" s="17" t="s">
        <v>1116</v>
      </c>
      <c r="L19" s="17" t="s">
        <v>31</v>
      </c>
      <c r="M19" s="14" t="s">
        <v>122</v>
      </c>
      <c r="N19" s="14" t="s">
        <v>123</v>
      </c>
      <c r="O19" s="17" t="s">
        <v>124</v>
      </c>
      <c r="P19" s="17" t="s">
        <v>28</v>
      </c>
      <c r="Q19" s="17" t="s">
        <v>29</v>
      </c>
      <c r="R19" s="18" t="s">
        <v>30</v>
      </c>
      <c r="S19" s="19">
        <v>4400</v>
      </c>
      <c r="T19" s="20" t="s">
        <v>31</v>
      </c>
      <c r="U19" s="23" t="s">
        <v>31</v>
      </c>
      <c r="V19" s="100"/>
      <c r="W19" s="100"/>
      <c r="X19" s="100"/>
      <c r="Y19" s="100"/>
      <c r="Z19" s="100"/>
    </row>
    <row r="20" spans="1:26" x14ac:dyDescent="0.25">
      <c r="A20" s="96">
        <v>17</v>
      </c>
      <c r="B20" s="15">
        <v>220011</v>
      </c>
      <c r="C20" s="15">
        <v>2022</v>
      </c>
      <c r="D20" s="15">
        <f t="shared" si="0"/>
        <v>4</v>
      </c>
      <c r="E20" s="16">
        <v>44562</v>
      </c>
      <c r="F20" s="24">
        <v>44677</v>
      </c>
      <c r="G20" s="14" t="s">
        <v>125</v>
      </c>
      <c r="H20" s="98" t="s">
        <v>126</v>
      </c>
      <c r="I20" s="20" t="s">
        <v>24</v>
      </c>
      <c r="J20" s="99">
        <v>26</v>
      </c>
      <c r="K20" s="17" t="s">
        <v>1116</v>
      </c>
      <c r="L20" s="17" t="s">
        <v>31</v>
      </c>
      <c r="M20" s="14" t="s">
        <v>127</v>
      </c>
      <c r="N20" s="14" t="s">
        <v>36</v>
      </c>
      <c r="O20" s="17" t="s">
        <v>128</v>
      </c>
      <c r="P20" s="17" t="s">
        <v>28</v>
      </c>
      <c r="Q20" s="17" t="s">
        <v>29</v>
      </c>
      <c r="R20" s="18" t="s">
        <v>30</v>
      </c>
      <c r="S20" s="19">
        <v>4400</v>
      </c>
      <c r="T20" s="20" t="s">
        <v>31</v>
      </c>
      <c r="U20" s="23" t="s">
        <v>31</v>
      </c>
      <c r="V20" s="100"/>
      <c r="W20" s="100"/>
      <c r="X20" s="100"/>
      <c r="Y20" s="100"/>
      <c r="Z20" s="100"/>
    </row>
    <row r="21" spans="1:26" x14ac:dyDescent="0.25">
      <c r="A21" s="96">
        <v>18</v>
      </c>
      <c r="B21" s="15">
        <v>220014</v>
      </c>
      <c r="C21" s="15">
        <v>2022</v>
      </c>
      <c r="D21" s="15">
        <f t="shared" si="0"/>
        <v>8</v>
      </c>
      <c r="E21" s="16">
        <v>44559</v>
      </c>
      <c r="F21" s="24">
        <v>44804</v>
      </c>
      <c r="G21" s="14" t="s">
        <v>129</v>
      </c>
      <c r="H21" s="98" t="s">
        <v>130</v>
      </c>
      <c r="I21" s="20" t="s">
        <v>24</v>
      </c>
      <c r="J21" s="99">
        <v>59</v>
      </c>
      <c r="K21" s="17" t="s">
        <v>1115</v>
      </c>
      <c r="L21" s="17" t="s">
        <v>1118</v>
      </c>
      <c r="M21" s="14" t="s">
        <v>25</v>
      </c>
      <c r="N21" s="14" t="s">
        <v>26</v>
      </c>
      <c r="O21" s="17" t="s">
        <v>25</v>
      </c>
      <c r="P21" s="17" t="s">
        <v>56</v>
      </c>
      <c r="Q21" s="17" t="s">
        <v>29</v>
      </c>
      <c r="R21" s="17" t="s">
        <v>131</v>
      </c>
      <c r="S21" s="19">
        <v>2000</v>
      </c>
      <c r="T21" s="20" t="s">
        <v>46</v>
      </c>
      <c r="U21" s="23" t="s">
        <v>46</v>
      </c>
      <c r="V21" s="100"/>
      <c r="W21" s="100"/>
      <c r="X21" s="100"/>
      <c r="Y21" s="100"/>
      <c r="Z21" s="100"/>
    </row>
    <row r="22" spans="1:26" x14ac:dyDescent="0.25">
      <c r="A22" s="96">
        <v>19</v>
      </c>
      <c r="B22" s="15">
        <v>220015</v>
      </c>
      <c r="C22" s="15">
        <v>2022</v>
      </c>
      <c r="D22" s="15">
        <f t="shared" si="0"/>
        <v>1</v>
      </c>
      <c r="E22" s="16">
        <v>44563</v>
      </c>
      <c r="F22" s="24">
        <v>44586</v>
      </c>
      <c r="G22" s="14" t="s">
        <v>132</v>
      </c>
      <c r="H22" s="98" t="s">
        <v>133</v>
      </c>
      <c r="I22" s="20" t="s">
        <v>24</v>
      </c>
      <c r="J22" s="99">
        <v>64</v>
      </c>
      <c r="K22" s="17" t="s">
        <v>1116</v>
      </c>
      <c r="L22" s="17" t="s">
        <v>31</v>
      </c>
      <c r="M22" s="14" t="s">
        <v>134</v>
      </c>
      <c r="N22" s="14" t="s">
        <v>135</v>
      </c>
      <c r="O22" s="17" t="s">
        <v>136</v>
      </c>
      <c r="P22" s="17" t="s">
        <v>28</v>
      </c>
      <c r="Q22" s="17" t="s">
        <v>29</v>
      </c>
      <c r="R22" s="18" t="s">
        <v>30</v>
      </c>
      <c r="S22" s="19">
        <v>4600</v>
      </c>
      <c r="T22" s="20" t="s">
        <v>31</v>
      </c>
      <c r="U22" s="21" t="s">
        <v>31</v>
      </c>
      <c r="V22" s="100"/>
      <c r="W22" s="100"/>
      <c r="X22" s="100"/>
      <c r="Y22" s="100"/>
      <c r="Z22" s="100"/>
    </row>
    <row r="23" spans="1:26" x14ac:dyDescent="0.25">
      <c r="A23" s="96">
        <v>20</v>
      </c>
      <c r="B23" s="15">
        <v>220016</v>
      </c>
      <c r="C23" s="15">
        <v>2022</v>
      </c>
      <c r="D23" s="15">
        <f t="shared" si="0"/>
        <v>2</v>
      </c>
      <c r="E23" s="16">
        <v>44565</v>
      </c>
      <c r="F23" s="24">
        <v>44609</v>
      </c>
      <c r="G23" s="14" t="s">
        <v>137</v>
      </c>
      <c r="H23" s="98" t="s">
        <v>138</v>
      </c>
      <c r="I23" s="20" t="s">
        <v>24</v>
      </c>
      <c r="J23" s="99">
        <v>74</v>
      </c>
      <c r="K23" s="17" t="s">
        <v>1115</v>
      </c>
      <c r="L23" s="17" t="s">
        <v>1118</v>
      </c>
      <c r="M23" s="14" t="s">
        <v>139</v>
      </c>
      <c r="N23" s="14" t="s">
        <v>36</v>
      </c>
      <c r="O23" s="17" t="s">
        <v>140</v>
      </c>
      <c r="P23" s="17" t="s">
        <v>104</v>
      </c>
      <c r="Q23" s="17" t="s">
        <v>29</v>
      </c>
      <c r="R23" s="17" t="s">
        <v>141</v>
      </c>
      <c r="S23" s="19">
        <v>14000</v>
      </c>
      <c r="T23" s="20" t="s">
        <v>58</v>
      </c>
      <c r="U23" s="23" t="s">
        <v>59</v>
      </c>
      <c r="V23" s="100"/>
      <c r="W23" s="100"/>
      <c r="X23" s="100"/>
      <c r="Y23" s="100"/>
      <c r="Z23" s="100"/>
    </row>
    <row r="24" spans="1:26" x14ac:dyDescent="0.25">
      <c r="A24" s="96">
        <v>21</v>
      </c>
      <c r="B24" s="15">
        <v>220017</v>
      </c>
      <c r="C24" s="15">
        <v>2022</v>
      </c>
      <c r="D24" s="15">
        <f t="shared" si="0"/>
        <v>2</v>
      </c>
      <c r="E24" s="16">
        <v>44563</v>
      </c>
      <c r="F24" s="24">
        <v>44595</v>
      </c>
      <c r="G24" s="14" t="s">
        <v>142</v>
      </c>
      <c r="H24" s="98" t="s">
        <v>143</v>
      </c>
      <c r="I24" s="20" t="s">
        <v>24</v>
      </c>
      <c r="J24" s="99">
        <v>21</v>
      </c>
      <c r="K24" s="17" t="s">
        <v>1115</v>
      </c>
      <c r="L24" s="17" t="s">
        <v>1118</v>
      </c>
      <c r="M24" s="14" t="s">
        <v>35</v>
      </c>
      <c r="N24" s="14" t="s">
        <v>36</v>
      </c>
      <c r="O24" s="17" t="s">
        <v>144</v>
      </c>
      <c r="P24" s="17" t="s">
        <v>28</v>
      </c>
      <c r="Q24" s="17" t="s">
        <v>29</v>
      </c>
      <c r="R24" s="17" t="s">
        <v>109</v>
      </c>
      <c r="S24" s="19">
        <v>20000</v>
      </c>
      <c r="T24" s="20" t="s">
        <v>58</v>
      </c>
      <c r="U24" s="23" t="s">
        <v>58</v>
      </c>
      <c r="V24" s="100"/>
      <c r="W24" s="100"/>
      <c r="X24" s="100"/>
      <c r="Y24" s="100"/>
      <c r="Z24" s="100"/>
    </row>
    <row r="25" spans="1:26" x14ac:dyDescent="0.25">
      <c r="A25" s="96">
        <v>22</v>
      </c>
      <c r="B25" s="15">
        <v>220018</v>
      </c>
      <c r="C25" s="15">
        <v>2022</v>
      </c>
      <c r="D25" s="15">
        <f t="shared" si="0"/>
        <v>5</v>
      </c>
      <c r="E25" s="16">
        <v>44563</v>
      </c>
      <c r="F25" s="24">
        <v>44686</v>
      </c>
      <c r="G25" s="14" t="s">
        <v>145</v>
      </c>
      <c r="H25" s="98" t="s">
        <v>146</v>
      </c>
      <c r="I25" s="20" t="s">
        <v>24</v>
      </c>
      <c r="J25" s="99">
        <v>18</v>
      </c>
      <c r="K25" s="17" t="s">
        <v>1116</v>
      </c>
      <c r="L25" s="17" t="s">
        <v>31</v>
      </c>
      <c r="M25" s="14" t="s">
        <v>147</v>
      </c>
      <c r="N25" s="14" t="s">
        <v>148</v>
      </c>
      <c r="O25" s="17" t="s">
        <v>149</v>
      </c>
      <c r="P25" s="17" t="s">
        <v>28</v>
      </c>
      <c r="Q25" s="17" t="s">
        <v>29</v>
      </c>
      <c r="R25" s="18" t="s">
        <v>30</v>
      </c>
      <c r="S25" s="19">
        <v>2700</v>
      </c>
      <c r="T25" s="20" t="s">
        <v>31</v>
      </c>
      <c r="U25" s="23" t="s">
        <v>31</v>
      </c>
      <c r="V25" s="100"/>
      <c r="W25" s="100"/>
      <c r="X25" s="100"/>
      <c r="Y25" s="100"/>
      <c r="Z25" s="100"/>
    </row>
    <row r="26" spans="1:26" x14ac:dyDescent="0.25">
      <c r="A26" s="96">
        <v>23</v>
      </c>
      <c r="B26" s="15">
        <v>220021</v>
      </c>
      <c r="C26" s="15">
        <v>2022</v>
      </c>
      <c r="D26" s="15">
        <f t="shared" si="0"/>
        <v>2</v>
      </c>
      <c r="E26" s="16">
        <v>44553</v>
      </c>
      <c r="F26" s="24">
        <v>44609</v>
      </c>
      <c r="G26" s="14" t="s">
        <v>150</v>
      </c>
      <c r="H26" s="98" t="s">
        <v>151</v>
      </c>
      <c r="I26" s="20" t="s">
        <v>24</v>
      </c>
      <c r="J26" s="99">
        <v>23</v>
      </c>
      <c r="K26" s="17" t="s">
        <v>1116</v>
      </c>
      <c r="L26" s="17" t="s">
        <v>31</v>
      </c>
      <c r="M26" s="14" t="s">
        <v>152</v>
      </c>
      <c r="N26" s="14" t="s">
        <v>153</v>
      </c>
      <c r="O26" s="17" t="s">
        <v>154</v>
      </c>
      <c r="P26" s="17" t="s">
        <v>28</v>
      </c>
      <c r="Q26" s="17" t="s">
        <v>29</v>
      </c>
      <c r="R26" s="18" t="s">
        <v>30</v>
      </c>
      <c r="S26" s="19">
        <v>4400</v>
      </c>
      <c r="T26" s="20" t="s">
        <v>31</v>
      </c>
      <c r="U26" s="23" t="s">
        <v>31</v>
      </c>
      <c r="V26" s="100"/>
      <c r="W26" s="100"/>
      <c r="X26" s="100"/>
      <c r="Y26" s="100"/>
      <c r="Z26" s="100"/>
    </row>
    <row r="27" spans="1:26" x14ac:dyDescent="0.25">
      <c r="A27" s="96">
        <v>24</v>
      </c>
      <c r="B27" s="15">
        <v>220022</v>
      </c>
      <c r="C27" s="15">
        <v>2022</v>
      </c>
      <c r="D27" s="15">
        <f t="shared" si="0"/>
        <v>2</v>
      </c>
      <c r="E27" s="16">
        <v>44511</v>
      </c>
      <c r="F27" s="24">
        <v>44593</v>
      </c>
      <c r="G27" s="14" t="s">
        <v>155</v>
      </c>
      <c r="H27" s="98" t="s">
        <v>156</v>
      </c>
      <c r="I27" s="20" t="s">
        <v>24</v>
      </c>
      <c r="J27" s="99">
        <v>39</v>
      </c>
      <c r="K27" s="17" t="s">
        <v>1115</v>
      </c>
      <c r="L27" s="17" t="s">
        <v>1118</v>
      </c>
      <c r="M27" s="14" t="s">
        <v>113</v>
      </c>
      <c r="N27" s="14" t="s">
        <v>113</v>
      </c>
      <c r="O27" s="17" t="s">
        <v>157</v>
      </c>
      <c r="P27" s="17" t="s">
        <v>56</v>
      </c>
      <c r="Q27" s="17" t="s">
        <v>29</v>
      </c>
      <c r="R27" s="17" t="s">
        <v>158</v>
      </c>
      <c r="S27" s="19">
        <v>6000</v>
      </c>
      <c r="T27" s="20" t="s">
        <v>39</v>
      </c>
      <c r="U27" s="23" t="s">
        <v>39</v>
      </c>
      <c r="V27" s="100"/>
      <c r="W27" s="100"/>
      <c r="X27" s="100"/>
      <c r="Y27" s="100"/>
      <c r="Z27" s="100"/>
    </row>
    <row r="28" spans="1:26" x14ac:dyDescent="0.25">
      <c r="A28" s="96">
        <v>25</v>
      </c>
      <c r="B28" s="15">
        <v>220024</v>
      </c>
      <c r="C28" s="15">
        <v>2022</v>
      </c>
      <c r="D28" s="15">
        <f t="shared" si="0"/>
        <v>6</v>
      </c>
      <c r="E28" s="16">
        <v>44569</v>
      </c>
      <c r="F28" s="24">
        <v>44713</v>
      </c>
      <c r="G28" s="14" t="s">
        <v>159</v>
      </c>
      <c r="H28" s="98" t="s">
        <v>160</v>
      </c>
      <c r="I28" s="20" t="s">
        <v>24</v>
      </c>
      <c r="J28" s="99">
        <v>67</v>
      </c>
      <c r="K28" s="17" t="s">
        <v>1115</v>
      </c>
      <c r="L28" s="17" t="s">
        <v>1118</v>
      </c>
      <c r="M28" s="14" t="s">
        <v>36</v>
      </c>
      <c r="N28" s="14" t="s">
        <v>36</v>
      </c>
      <c r="O28" s="17" t="s">
        <v>65</v>
      </c>
      <c r="P28" s="17" t="s">
        <v>161</v>
      </c>
      <c r="Q28" s="17" t="s">
        <v>29</v>
      </c>
      <c r="R28" s="17" t="s">
        <v>109</v>
      </c>
      <c r="S28" s="19">
        <v>6000</v>
      </c>
      <c r="T28" s="20" t="s">
        <v>162</v>
      </c>
      <c r="U28" s="23" t="s">
        <v>163</v>
      </c>
      <c r="V28" s="100"/>
      <c r="W28" s="100"/>
      <c r="X28" s="100"/>
      <c r="Y28" s="100"/>
      <c r="Z28" s="100"/>
    </row>
    <row r="29" spans="1:26" x14ac:dyDescent="0.25">
      <c r="A29" s="96">
        <v>26</v>
      </c>
      <c r="B29" s="15">
        <v>220025</v>
      </c>
      <c r="C29" s="15">
        <v>2022</v>
      </c>
      <c r="D29" s="15">
        <f t="shared" si="0"/>
        <v>3</v>
      </c>
      <c r="E29" s="16">
        <v>44506</v>
      </c>
      <c r="F29" s="24">
        <v>44623</v>
      </c>
      <c r="G29" s="14" t="s">
        <v>164</v>
      </c>
      <c r="H29" s="98" t="s">
        <v>165</v>
      </c>
      <c r="I29" s="20" t="s">
        <v>24</v>
      </c>
      <c r="J29" s="99">
        <v>45</v>
      </c>
      <c r="K29" s="17" t="s">
        <v>1116</v>
      </c>
      <c r="L29" s="17" t="s">
        <v>31</v>
      </c>
      <c r="M29" s="14" t="s">
        <v>166</v>
      </c>
      <c r="N29" s="14" t="s">
        <v>167</v>
      </c>
      <c r="O29" s="17" t="s">
        <v>168</v>
      </c>
      <c r="P29" s="17" t="s">
        <v>28</v>
      </c>
      <c r="Q29" s="17" t="s">
        <v>29</v>
      </c>
      <c r="R29" s="18" t="s">
        <v>30</v>
      </c>
      <c r="S29" s="19">
        <v>4400</v>
      </c>
      <c r="T29" s="20" t="s">
        <v>31</v>
      </c>
      <c r="U29" s="23" t="s">
        <v>31</v>
      </c>
      <c r="V29" s="100"/>
      <c r="W29" s="100"/>
      <c r="X29" s="100"/>
      <c r="Y29" s="100"/>
      <c r="Z29" s="100"/>
    </row>
    <row r="30" spans="1:26" x14ac:dyDescent="0.25">
      <c r="A30" s="96">
        <v>27</v>
      </c>
      <c r="B30" s="15">
        <v>220027</v>
      </c>
      <c r="C30" s="15">
        <v>2022</v>
      </c>
      <c r="D30" s="15">
        <f t="shared" si="0"/>
        <v>2</v>
      </c>
      <c r="E30" s="16">
        <v>44559</v>
      </c>
      <c r="F30" s="24">
        <v>44613</v>
      </c>
      <c r="G30" s="14" t="s">
        <v>169</v>
      </c>
      <c r="H30" s="98" t="s">
        <v>170</v>
      </c>
      <c r="I30" s="20" t="s">
        <v>24</v>
      </c>
      <c r="J30" s="99">
        <v>54</v>
      </c>
      <c r="K30" s="17" t="s">
        <v>1116</v>
      </c>
      <c r="L30" s="17" t="s">
        <v>31</v>
      </c>
      <c r="M30" s="14" t="s">
        <v>152</v>
      </c>
      <c r="N30" s="14" t="s">
        <v>153</v>
      </c>
      <c r="O30" s="17" t="s">
        <v>171</v>
      </c>
      <c r="P30" s="17" t="s">
        <v>28</v>
      </c>
      <c r="Q30" s="17" t="s">
        <v>29</v>
      </c>
      <c r="R30" s="18" t="s">
        <v>30</v>
      </c>
      <c r="S30" s="19">
        <v>4400</v>
      </c>
      <c r="T30" s="20" t="s">
        <v>31</v>
      </c>
      <c r="U30" s="23" t="s">
        <v>31</v>
      </c>
      <c r="V30" s="100"/>
      <c r="W30" s="100"/>
      <c r="X30" s="100"/>
      <c r="Y30" s="100"/>
      <c r="Z30" s="100"/>
    </row>
    <row r="31" spans="1:26" x14ac:dyDescent="0.25">
      <c r="A31" s="96">
        <v>28</v>
      </c>
      <c r="B31" s="15">
        <v>220029</v>
      </c>
      <c r="C31" s="15">
        <v>2022</v>
      </c>
      <c r="D31" s="15">
        <f t="shared" si="0"/>
        <v>2</v>
      </c>
      <c r="E31" s="16">
        <v>44571</v>
      </c>
      <c r="F31" s="24">
        <v>44609</v>
      </c>
      <c r="G31" s="14" t="s">
        <v>172</v>
      </c>
      <c r="H31" s="98" t="s">
        <v>173</v>
      </c>
      <c r="I31" s="20" t="s">
        <v>24</v>
      </c>
      <c r="J31" s="99">
        <v>22</v>
      </c>
      <c r="K31" s="17" t="s">
        <v>1115</v>
      </c>
      <c r="L31" s="17" t="s">
        <v>1118</v>
      </c>
      <c r="M31" s="14" t="s">
        <v>174</v>
      </c>
      <c r="N31" s="14" t="s">
        <v>36</v>
      </c>
      <c r="O31" s="17" t="s">
        <v>175</v>
      </c>
      <c r="P31" s="17" t="s">
        <v>176</v>
      </c>
      <c r="Q31" s="17" t="s">
        <v>29</v>
      </c>
      <c r="R31" s="17" t="s">
        <v>109</v>
      </c>
      <c r="S31" s="19">
        <v>2000</v>
      </c>
      <c r="T31" s="20" t="s">
        <v>58</v>
      </c>
      <c r="U31" s="23" t="s">
        <v>59</v>
      </c>
      <c r="V31" s="100"/>
      <c r="W31" s="100"/>
      <c r="X31" s="100"/>
      <c r="Y31" s="100"/>
      <c r="Z31" s="100"/>
    </row>
    <row r="32" spans="1:26" x14ac:dyDescent="0.25">
      <c r="A32" s="96">
        <v>29</v>
      </c>
      <c r="B32" s="15">
        <v>220030</v>
      </c>
      <c r="C32" s="15">
        <v>2022</v>
      </c>
      <c r="D32" s="15">
        <f t="shared" si="0"/>
        <v>2</v>
      </c>
      <c r="E32" s="16">
        <v>44560</v>
      </c>
      <c r="F32" s="24">
        <v>44601</v>
      </c>
      <c r="G32" s="14" t="s">
        <v>177</v>
      </c>
      <c r="H32" s="98" t="s">
        <v>178</v>
      </c>
      <c r="I32" s="20" t="s">
        <v>24</v>
      </c>
      <c r="J32" s="99">
        <v>66</v>
      </c>
      <c r="K32" s="17" t="s">
        <v>1117</v>
      </c>
      <c r="L32" s="17" t="s">
        <v>31</v>
      </c>
      <c r="M32" s="14" t="s">
        <v>179</v>
      </c>
      <c r="N32" s="14" t="s">
        <v>167</v>
      </c>
      <c r="O32" s="17" t="s">
        <v>180</v>
      </c>
      <c r="P32" s="17" t="s">
        <v>28</v>
      </c>
      <c r="Q32" s="17" t="s">
        <v>29</v>
      </c>
      <c r="R32" s="18" t="s">
        <v>30</v>
      </c>
      <c r="S32" s="19">
        <v>4400</v>
      </c>
      <c r="T32" s="20" t="s">
        <v>31</v>
      </c>
      <c r="U32" s="23" t="s">
        <v>181</v>
      </c>
      <c r="V32" s="100"/>
      <c r="W32" s="100"/>
      <c r="X32" s="100"/>
      <c r="Y32" s="100"/>
      <c r="Z32" s="100"/>
    </row>
    <row r="33" spans="1:26" x14ac:dyDescent="0.25">
      <c r="A33" s="96">
        <v>30</v>
      </c>
      <c r="B33" s="15">
        <v>220031</v>
      </c>
      <c r="C33" s="15">
        <v>2022</v>
      </c>
      <c r="D33" s="15">
        <f t="shared" si="0"/>
        <v>2</v>
      </c>
      <c r="E33" s="16">
        <v>44578</v>
      </c>
      <c r="F33" s="24">
        <v>44613</v>
      </c>
      <c r="G33" s="14" t="s">
        <v>182</v>
      </c>
      <c r="H33" s="98" t="s">
        <v>183</v>
      </c>
      <c r="I33" s="20" t="s">
        <v>24</v>
      </c>
      <c r="J33" s="99">
        <v>54</v>
      </c>
      <c r="K33" s="17" t="s">
        <v>1115</v>
      </c>
      <c r="L33" s="17" t="s">
        <v>1118</v>
      </c>
      <c r="M33" s="14" t="s">
        <v>184</v>
      </c>
      <c r="N33" s="14" t="s">
        <v>167</v>
      </c>
      <c r="O33" s="17" t="s">
        <v>184</v>
      </c>
      <c r="P33" s="17" t="s">
        <v>28</v>
      </c>
      <c r="Q33" s="17" t="s">
        <v>29</v>
      </c>
      <c r="R33" s="17" t="s">
        <v>185</v>
      </c>
      <c r="S33" s="19">
        <v>18000</v>
      </c>
      <c r="T33" s="20" t="s">
        <v>186</v>
      </c>
      <c r="U33" s="23" t="s">
        <v>186</v>
      </c>
      <c r="V33" s="100"/>
      <c r="W33" s="100"/>
      <c r="X33" s="100"/>
      <c r="Y33" s="100"/>
      <c r="Z33" s="100"/>
    </row>
    <row r="34" spans="1:26" x14ac:dyDescent="0.25">
      <c r="A34" s="96">
        <v>31</v>
      </c>
      <c r="B34" s="15">
        <v>220032</v>
      </c>
      <c r="C34" s="15">
        <v>2022</v>
      </c>
      <c r="D34" s="15">
        <f t="shared" si="0"/>
        <v>6</v>
      </c>
      <c r="E34" s="16">
        <v>44526</v>
      </c>
      <c r="F34" s="24">
        <v>44739</v>
      </c>
      <c r="G34" s="14" t="s">
        <v>187</v>
      </c>
      <c r="H34" s="98" t="s">
        <v>188</v>
      </c>
      <c r="I34" s="20" t="s">
        <v>24</v>
      </c>
      <c r="J34" s="99">
        <v>54</v>
      </c>
      <c r="K34" s="17" t="s">
        <v>1116</v>
      </c>
      <c r="L34" s="17" t="s">
        <v>31</v>
      </c>
      <c r="M34" s="14" t="s">
        <v>43</v>
      </c>
      <c r="N34" s="14" t="s">
        <v>36</v>
      </c>
      <c r="O34" s="17" t="s">
        <v>189</v>
      </c>
      <c r="P34" s="17" t="s">
        <v>190</v>
      </c>
      <c r="Q34" s="17" t="s">
        <v>29</v>
      </c>
      <c r="R34" s="18" t="s">
        <v>30</v>
      </c>
      <c r="S34" s="19">
        <v>4400</v>
      </c>
      <c r="T34" s="20" t="s">
        <v>31</v>
      </c>
      <c r="U34" s="23" t="s">
        <v>31</v>
      </c>
      <c r="V34" s="100"/>
      <c r="W34" s="100"/>
      <c r="X34" s="100"/>
      <c r="Y34" s="100"/>
      <c r="Z34" s="100"/>
    </row>
    <row r="35" spans="1:26" x14ac:dyDescent="0.25">
      <c r="A35" s="96">
        <v>32</v>
      </c>
      <c r="B35" s="15">
        <v>220036</v>
      </c>
      <c r="C35" s="15">
        <v>2022</v>
      </c>
      <c r="D35" s="15">
        <f t="shared" si="0"/>
        <v>5</v>
      </c>
      <c r="E35" s="16">
        <v>44577</v>
      </c>
      <c r="F35" s="24">
        <v>44705</v>
      </c>
      <c r="G35" s="14" t="s">
        <v>191</v>
      </c>
      <c r="H35" s="98" t="s">
        <v>192</v>
      </c>
      <c r="I35" s="20" t="s">
        <v>24</v>
      </c>
      <c r="J35" s="99">
        <v>71</v>
      </c>
      <c r="K35" s="17" t="s">
        <v>1117</v>
      </c>
      <c r="L35" s="17" t="s">
        <v>31</v>
      </c>
      <c r="M35" s="14" t="s">
        <v>153</v>
      </c>
      <c r="N35" s="14" t="s">
        <v>153</v>
      </c>
      <c r="O35" s="17" t="s">
        <v>193</v>
      </c>
      <c r="P35" s="17" t="s">
        <v>176</v>
      </c>
      <c r="Q35" s="17" t="s">
        <v>29</v>
      </c>
      <c r="R35" s="18" t="s">
        <v>30</v>
      </c>
      <c r="S35" s="19">
        <f>6304.46+1600</f>
        <v>7904.46</v>
      </c>
      <c r="T35" s="20" t="s">
        <v>31</v>
      </c>
      <c r="U35" s="23" t="s">
        <v>31</v>
      </c>
      <c r="V35" s="100"/>
      <c r="W35" s="100"/>
      <c r="X35" s="100"/>
      <c r="Y35" s="100"/>
      <c r="Z35" s="100"/>
    </row>
    <row r="36" spans="1:26" x14ac:dyDescent="0.25">
      <c r="A36" s="96">
        <v>33</v>
      </c>
      <c r="B36" s="15">
        <v>220037</v>
      </c>
      <c r="C36" s="15">
        <v>2022</v>
      </c>
      <c r="D36" s="15">
        <f t="shared" si="0"/>
        <v>6</v>
      </c>
      <c r="E36" s="16">
        <v>44485</v>
      </c>
      <c r="F36" s="24">
        <v>44733</v>
      </c>
      <c r="G36" s="14" t="s">
        <v>194</v>
      </c>
      <c r="H36" s="98" t="s">
        <v>195</v>
      </c>
      <c r="I36" s="20" t="s">
        <v>24</v>
      </c>
      <c r="J36" s="99">
        <v>45</v>
      </c>
      <c r="K36" s="17" t="s">
        <v>1116</v>
      </c>
      <c r="L36" s="17" t="s">
        <v>31</v>
      </c>
      <c r="M36" s="14" t="s">
        <v>196</v>
      </c>
      <c r="N36" s="14" t="s">
        <v>26</v>
      </c>
      <c r="O36" s="17" t="s">
        <v>196</v>
      </c>
      <c r="P36" s="17" t="s">
        <v>28</v>
      </c>
      <c r="Q36" s="17" t="s">
        <v>29</v>
      </c>
      <c r="R36" s="18" t="s">
        <v>30</v>
      </c>
      <c r="S36" s="19">
        <v>4400</v>
      </c>
      <c r="T36" s="20" t="s">
        <v>31</v>
      </c>
      <c r="U36" s="23" t="s">
        <v>31</v>
      </c>
      <c r="V36" s="100"/>
      <c r="W36" s="100"/>
      <c r="X36" s="100"/>
      <c r="Y36" s="100"/>
      <c r="Z36" s="100"/>
    </row>
    <row r="37" spans="1:26" x14ac:dyDescent="0.25">
      <c r="A37" s="96">
        <v>34</v>
      </c>
      <c r="B37" s="15">
        <v>220039</v>
      </c>
      <c r="C37" s="15">
        <v>2022</v>
      </c>
      <c r="D37" s="15">
        <f t="shared" si="0"/>
        <v>5</v>
      </c>
      <c r="E37" s="16">
        <v>44563</v>
      </c>
      <c r="F37" s="24">
        <v>44699</v>
      </c>
      <c r="G37" s="14" t="s">
        <v>197</v>
      </c>
      <c r="H37" s="98" t="s">
        <v>198</v>
      </c>
      <c r="I37" s="20" t="s">
        <v>24</v>
      </c>
      <c r="J37" s="99">
        <v>39</v>
      </c>
      <c r="K37" s="17" t="s">
        <v>1115</v>
      </c>
      <c r="L37" s="17" t="s">
        <v>1118</v>
      </c>
      <c r="M37" s="14" t="s">
        <v>35</v>
      </c>
      <c r="N37" s="14" t="s">
        <v>36</v>
      </c>
      <c r="O37" s="17" t="s">
        <v>37</v>
      </c>
      <c r="P37" s="17" t="s">
        <v>176</v>
      </c>
      <c r="Q37" s="17" t="s">
        <v>29</v>
      </c>
      <c r="R37" s="18" t="s">
        <v>199</v>
      </c>
      <c r="S37" s="19">
        <v>10000</v>
      </c>
      <c r="T37" s="20" t="s">
        <v>58</v>
      </c>
      <c r="U37" s="21" t="s">
        <v>200</v>
      </c>
      <c r="V37" s="100"/>
      <c r="W37" s="100"/>
      <c r="X37" s="100"/>
      <c r="Y37" s="100"/>
      <c r="Z37" s="100"/>
    </row>
    <row r="38" spans="1:26" x14ac:dyDescent="0.25">
      <c r="A38" s="96">
        <v>35</v>
      </c>
      <c r="B38" s="15">
        <v>220051</v>
      </c>
      <c r="C38" s="15">
        <v>2022</v>
      </c>
      <c r="D38" s="15">
        <f t="shared" si="0"/>
        <v>3</v>
      </c>
      <c r="E38" s="16">
        <v>44590</v>
      </c>
      <c r="F38" s="24">
        <v>44631</v>
      </c>
      <c r="G38" s="14" t="s">
        <v>201</v>
      </c>
      <c r="H38" s="98" t="s">
        <v>202</v>
      </c>
      <c r="I38" s="20" t="s">
        <v>24</v>
      </c>
      <c r="J38" s="99">
        <v>62</v>
      </c>
      <c r="K38" s="17" t="s">
        <v>1115</v>
      </c>
      <c r="L38" s="17" t="s">
        <v>1118</v>
      </c>
      <c r="M38" s="14" t="s">
        <v>203</v>
      </c>
      <c r="N38" s="14" t="s">
        <v>36</v>
      </c>
      <c r="O38" s="17" t="s">
        <v>203</v>
      </c>
      <c r="P38" s="17" t="s">
        <v>56</v>
      </c>
      <c r="Q38" s="17" t="s">
        <v>29</v>
      </c>
      <c r="R38" s="17" t="s">
        <v>204</v>
      </c>
      <c r="S38" s="19">
        <v>6000</v>
      </c>
      <c r="T38" s="20" t="s">
        <v>58</v>
      </c>
      <c r="U38" s="23" t="s">
        <v>205</v>
      </c>
      <c r="V38" s="100"/>
      <c r="W38" s="100"/>
      <c r="X38" s="100"/>
      <c r="Y38" s="100"/>
      <c r="Z38" s="100"/>
    </row>
    <row r="39" spans="1:26" x14ac:dyDescent="0.25">
      <c r="A39" s="96">
        <v>36</v>
      </c>
      <c r="B39" s="15">
        <v>220052</v>
      </c>
      <c r="C39" s="15">
        <v>2022</v>
      </c>
      <c r="D39" s="15">
        <f t="shared" si="0"/>
        <v>5</v>
      </c>
      <c r="E39" s="16">
        <v>44560</v>
      </c>
      <c r="F39" s="24">
        <v>44705</v>
      </c>
      <c r="G39" s="14" t="s">
        <v>206</v>
      </c>
      <c r="H39" s="98" t="s">
        <v>207</v>
      </c>
      <c r="I39" s="20" t="s">
        <v>24</v>
      </c>
      <c r="J39" s="99">
        <v>76</v>
      </c>
      <c r="K39" s="17" t="s">
        <v>1116</v>
      </c>
      <c r="L39" s="17" t="s">
        <v>31</v>
      </c>
      <c r="M39" s="14" t="s">
        <v>25</v>
      </c>
      <c r="N39" s="14" t="s">
        <v>26</v>
      </c>
      <c r="O39" s="17" t="s">
        <v>27</v>
      </c>
      <c r="P39" s="17" t="s">
        <v>28</v>
      </c>
      <c r="Q39" s="17" t="s">
        <v>29</v>
      </c>
      <c r="R39" s="18" t="s">
        <v>30</v>
      </c>
      <c r="S39" s="19">
        <v>4400</v>
      </c>
      <c r="T39" s="20" t="s">
        <v>31</v>
      </c>
      <c r="U39" s="23" t="s">
        <v>31</v>
      </c>
      <c r="V39" s="100"/>
      <c r="W39" s="100"/>
      <c r="X39" s="100"/>
      <c r="Y39" s="100"/>
      <c r="Z39" s="100"/>
    </row>
    <row r="40" spans="1:26" x14ac:dyDescent="0.25">
      <c r="A40" s="96">
        <v>37</v>
      </c>
      <c r="B40" s="15">
        <v>220054</v>
      </c>
      <c r="C40" s="15">
        <v>2022</v>
      </c>
      <c r="D40" s="15">
        <f t="shared" si="0"/>
        <v>9</v>
      </c>
      <c r="E40" s="16">
        <v>44578</v>
      </c>
      <c r="F40" s="24">
        <v>44824</v>
      </c>
      <c r="G40" s="14" t="s">
        <v>208</v>
      </c>
      <c r="H40" s="98" t="s">
        <v>209</v>
      </c>
      <c r="I40" s="97" t="s">
        <v>63</v>
      </c>
      <c r="J40" s="99">
        <v>39</v>
      </c>
      <c r="K40" s="17" t="s">
        <v>1115</v>
      </c>
      <c r="L40" s="17" t="s">
        <v>1118</v>
      </c>
      <c r="M40" s="14" t="s">
        <v>210</v>
      </c>
      <c r="N40" s="14" t="s">
        <v>36</v>
      </c>
      <c r="O40" s="17" t="s">
        <v>210</v>
      </c>
      <c r="P40" s="17" t="s">
        <v>28</v>
      </c>
      <c r="Q40" s="17" t="s">
        <v>29</v>
      </c>
      <c r="R40" s="17" t="s">
        <v>211</v>
      </c>
      <c r="S40" s="19">
        <v>10000</v>
      </c>
      <c r="T40" s="20" t="s">
        <v>212</v>
      </c>
      <c r="U40" s="23" t="s">
        <v>212</v>
      </c>
      <c r="V40" s="100"/>
      <c r="W40" s="100"/>
      <c r="X40" s="100"/>
      <c r="Y40" s="100"/>
      <c r="Z40" s="100"/>
    </row>
    <row r="41" spans="1:26" x14ac:dyDescent="0.25">
      <c r="A41" s="96">
        <v>38</v>
      </c>
      <c r="B41" s="15">
        <v>220056</v>
      </c>
      <c r="C41" s="15">
        <v>2022</v>
      </c>
      <c r="D41" s="15">
        <f t="shared" si="0"/>
        <v>3</v>
      </c>
      <c r="E41" s="16">
        <v>44589</v>
      </c>
      <c r="F41" s="24">
        <v>44636</v>
      </c>
      <c r="G41" s="14" t="s">
        <v>213</v>
      </c>
      <c r="H41" s="98" t="s">
        <v>214</v>
      </c>
      <c r="I41" s="97" t="s">
        <v>63</v>
      </c>
      <c r="J41" s="99">
        <v>7</v>
      </c>
      <c r="K41" s="17" t="s">
        <v>1115</v>
      </c>
      <c r="L41" s="17" t="s">
        <v>1118</v>
      </c>
      <c r="M41" s="14" t="s">
        <v>215</v>
      </c>
      <c r="N41" s="14" t="s">
        <v>215</v>
      </c>
      <c r="O41" s="17" t="s">
        <v>216</v>
      </c>
      <c r="P41" s="17" t="s">
        <v>56</v>
      </c>
      <c r="Q41" s="17" t="s">
        <v>29</v>
      </c>
      <c r="R41" s="17" t="s">
        <v>158</v>
      </c>
      <c r="S41" s="19">
        <v>9000</v>
      </c>
      <c r="T41" s="20" t="s">
        <v>46</v>
      </c>
      <c r="U41" s="23" t="s">
        <v>47</v>
      </c>
      <c r="V41" s="100"/>
      <c r="W41" s="100"/>
      <c r="X41" s="100"/>
      <c r="Y41" s="100"/>
      <c r="Z41" s="100"/>
    </row>
    <row r="42" spans="1:26" x14ac:dyDescent="0.25">
      <c r="A42" s="96">
        <v>39</v>
      </c>
      <c r="B42" s="15">
        <v>220058</v>
      </c>
      <c r="C42" s="15">
        <v>2022</v>
      </c>
      <c r="D42" s="15">
        <f t="shared" si="0"/>
        <v>2</v>
      </c>
      <c r="E42" s="16">
        <v>44577</v>
      </c>
      <c r="F42" s="24">
        <v>44609</v>
      </c>
      <c r="G42" s="14" t="s">
        <v>217</v>
      </c>
      <c r="H42" s="98" t="s">
        <v>218</v>
      </c>
      <c r="I42" s="20" t="s">
        <v>24</v>
      </c>
      <c r="J42" s="99">
        <v>51</v>
      </c>
      <c r="K42" s="17" t="s">
        <v>1115</v>
      </c>
      <c r="L42" s="17" t="s">
        <v>1118</v>
      </c>
      <c r="M42" s="14" t="s">
        <v>51</v>
      </c>
      <c r="N42" s="14" t="s">
        <v>36</v>
      </c>
      <c r="O42" s="17" t="s">
        <v>219</v>
      </c>
      <c r="P42" s="17" t="s">
        <v>28</v>
      </c>
      <c r="Q42" s="17" t="s">
        <v>220</v>
      </c>
      <c r="R42" s="17" t="s">
        <v>141</v>
      </c>
      <c r="S42" s="19">
        <v>500</v>
      </c>
      <c r="T42" s="20" t="s">
        <v>39</v>
      </c>
      <c r="U42" s="23" t="s">
        <v>39</v>
      </c>
      <c r="V42" s="100"/>
      <c r="W42" s="100"/>
      <c r="X42" s="100"/>
      <c r="Y42" s="100"/>
      <c r="Z42" s="100"/>
    </row>
    <row r="43" spans="1:26" x14ac:dyDescent="0.25">
      <c r="A43" s="96">
        <v>40</v>
      </c>
      <c r="B43" s="15">
        <v>220059</v>
      </c>
      <c r="C43" s="15">
        <v>2022</v>
      </c>
      <c r="D43" s="15">
        <f t="shared" si="0"/>
        <v>3</v>
      </c>
      <c r="E43" s="16">
        <v>44590</v>
      </c>
      <c r="F43" s="24">
        <v>44638</v>
      </c>
      <c r="G43" s="14" t="s">
        <v>221</v>
      </c>
      <c r="H43" s="98" t="s">
        <v>222</v>
      </c>
      <c r="I43" s="20" t="s">
        <v>24</v>
      </c>
      <c r="J43" s="99">
        <v>36</v>
      </c>
      <c r="K43" s="17" t="s">
        <v>1115</v>
      </c>
      <c r="L43" s="17" t="s">
        <v>1118</v>
      </c>
      <c r="M43" s="14" t="s">
        <v>223</v>
      </c>
      <c r="N43" s="14" t="s">
        <v>36</v>
      </c>
      <c r="O43" s="17" t="s">
        <v>224</v>
      </c>
      <c r="P43" s="17" t="s">
        <v>190</v>
      </c>
      <c r="Q43" s="17" t="s">
        <v>29</v>
      </c>
      <c r="R43" s="17" t="s">
        <v>225</v>
      </c>
      <c r="S43" s="19">
        <v>4000</v>
      </c>
      <c r="T43" s="20" t="s">
        <v>58</v>
      </c>
      <c r="U43" s="23" t="s">
        <v>226</v>
      </c>
      <c r="V43" s="100"/>
      <c r="W43" s="100"/>
      <c r="X43" s="100"/>
      <c r="Y43" s="100"/>
      <c r="Z43" s="100"/>
    </row>
    <row r="44" spans="1:26" x14ac:dyDescent="0.25">
      <c r="A44" s="96">
        <v>41</v>
      </c>
      <c r="B44" s="15">
        <v>220061</v>
      </c>
      <c r="C44" s="15">
        <v>2022</v>
      </c>
      <c r="D44" s="15">
        <f t="shared" si="0"/>
        <v>6</v>
      </c>
      <c r="E44" s="16">
        <v>44596</v>
      </c>
      <c r="F44" s="24">
        <v>44739</v>
      </c>
      <c r="G44" s="14" t="s">
        <v>227</v>
      </c>
      <c r="H44" s="98" t="s">
        <v>228</v>
      </c>
      <c r="I44" s="20" t="s">
        <v>24</v>
      </c>
      <c r="J44" s="99">
        <v>16</v>
      </c>
      <c r="K44" s="17" t="s">
        <v>1115</v>
      </c>
      <c r="L44" s="17" t="s">
        <v>1118</v>
      </c>
      <c r="M44" s="14" t="s">
        <v>229</v>
      </c>
      <c r="N44" s="14" t="s">
        <v>36</v>
      </c>
      <c r="O44" s="17" t="s">
        <v>229</v>
      </c>
      <c r="P44" s="17" t="s">
        <v>161</v>
      </c>
      <c r="Q44" s="17" t="s">
        <v>29</v>
      </c>
      <c r="R44" s="17" t="s">
        <v>230</v>
      </c>
      <c r="S44" s="19">
        <v>200</v>
      </c>
      <c r="T44" s="20" t="s">
        <v>90</v>
      </c>
      <c r="U44" s="23" t="s">
        <v>231</v>
      </c>
      <c r="V44" s="100"/>
      <c r="W44" s="100"/>
      <c r="X44" s="100"/>
      <c r="Y44" s="100"/>
      <c r="Z44" s="100"/>
    </row>
    <row r="45" spans="1:26" x14ac:dyDescent="0.25">
      <c r="A45" s="96">
        <v>42</v>
      </c>
      <c r="B45" s="15">
        <v>220066</v>
      </c>
      <c r="C45" s="15">
        <v>2022</v>
      </c>
      <c r="D45" s="15">
        <f t="shared" si="0"/>
        <v>3</v>
      </c>
      <c r="E45" s="16">
        <v>44512</v>
      </c>
      <c r="F45" s="24">
        <v>44621</v>
      </c>
      <c r="G45" s="14" t="s">
        <v>232</v>
      </c>
      <c r="H45" s="98" t="s">
        <v>233</v>
      </c>
      <c r="I45" s="20" t="s">
        <v>24</v>
      </c>
      <c r="J45" s="99">
        <v>72</v>
      </c>
      <c r="K45" s="17" t="s">
        <v>1116</v>
      </c>
      <c r="L45" s="17" t="s">
        <v>31</v>
      </c>
      <c r="M45" s="14" t="s">
        <v>78</v>
      </c>
      <c r="N45" s="14" t="s">
        <v>36</v>
      </c>
      <c r="O45" s="17" t="s">
        <v>78</v>
      </c>
      <c r="P45" s="17" t="s">
        <v>28</v>
      </c>
      <c r="Q45" s="17" t="s">
        <v>29</v>
      </c>
      <c r="R45" s="18" t="s">
        <v>30</v>
      </c>
      <c r="S45" s="19">
        <v>4400</v>
      </c>
      <c r="T45" s="20" t="s">
        <v>31</v>
      </c>
      <c r="U45" s="23" t="s">
        <v>31</v>
      </c>
      <c r="V45" s="100"/>
      <c r="W45" s="100"/>
      <c r="X45" s="100"/>
      <c r="Y45" s="100"/>
      <c r="Z45" s="100"/>
    </row>
    <row r="46" spans="1:26" x14ac:dyDescent="0.25">
      <c r="A46" s="96">
        <v>43</v>
      </c>
      <c r="B46" s="15">
        <v>220071</v>
      </c>
      <c r="C46" s="15">
        <v>2022</v>
      </c>
      <c r="D46" s="15">
        <f t="shared" si="0"/>
        <v>4</v>
      </c>
      <c r="E46" s="16">
        <v>44586</v>
      </c>
      <c r="F46" s="24">
        <v>44659</v>
      </c>
      <c r="G46" s="14" t="s">
        <v>234</v>
      </c>
      <c r="H46" s="98" t="s">
        <v>235</v>
      </c>
      <c r="I46" s="20" t="s">
        <v>24</v>
      </c>
      <c r="J46" s="99">
        <v>77</v>
      </c>
      <c r="K46" s="17" t="s">
        <v>1116</v>
      </c>
      <c r="L46" s="17" t="s">
        <v>31</v>
      </c>
      <c r="M46" s="14" t="s">
        <v>236</v>
      </c>
      <c r="N46" s="14" t="s">
        <v>167</v>
      </c>
      <c r="O46" s="17" t="s">
        <v>166</v>
      </c>
      <c r="P46" s="17" t="s">
        <v>28</v>
      </c>
      <c r="Q46" s="17" t="s">
        <v>29</v>
      </c>
      <c r="R46" s="18" t="s">
        <v>30</v>
      </c>
      <c r="S46" s="19">
        <v>4600</v>
      </c>
      <c r="T46" s="20" t="s">
        <v>31</v>
      </c>
      <c r="U46" s="21" t="s">
        <v>31</v>
      </c>
      <c r="V46" s="100"/>
      <c r="W46" s="100"/>
      <c r="X46" s="100"/>
      <c r="Y46" s="100"/>
      <c r="Z46" s="100"/>
    </row>
    <row r="47" spans="1:26" x14ac:dyDescent="0.25">
      <c r="A47" s="96">
        <v>44</v>
      </c>
      <c r="B47" s="15">
        <v>220079</v>
      </c>
      <c r="C47" s="15">
        <v>2022</v>
      </c>
      <c r="D47" s="15">
        <f t="shared" si="0"/>
        <v>3</v>
      </c>
      <c r="E47" s="16">
        <v>44448</v>
      </c>
      <c r="F47" s="24">
        <v>44621</v>
      </c>
      <c r="G47" s="14" t="s">
        <v>237</v>
      </c>
      <c r="H47" s="98" t="s">
        <v>238</v>
      </c>
      <c r="I47" s="97" t="s">
        <v>63</v>
      </c>
      <c r="J47" s="99">
        <v>64</v>
      </c>
      <c r="K47" s="17" t="s">
        <v>1115</v>
      </c>
      <c r="L47" s="17" t="s">
        <v>1118</v>
      </c>
      <c r="M47" s="14" t="s">
        <v>239</v>
      </c>
      <c r="N47" s="14" t="s">
        <v>36</v>
      </c>
      <c r="O47" s="17" t="s">
        <v>239</v>
      </c>
      <c r="P47" s="17" t="s">
        <v>28</v>
      </c>
      <c r="Q47" s="17" t="s">
        <v>29</v>
      </c>
      <c r="R47" s="17" t="s">
        <v>38</v>
      </c>
      <c r="S47" s="19">
        <v>400</v>
      </c>
      <c r="T47" s="20" t="s">
        <v>73</v>
      </c>
      <c r="U47" s="23" t="s">
        <v>74</v>
      </c>
      <c r="V47" s="100"/>
      <c r="W47" s="100"/>
      <c r="X47" s="100"/>
      <c r="Y47" s="100"/>
      <c r="Z47" s="100"/>
    </row>
    <row r="48" spans="1:26" x14ac:dyDescent="0.25">
      <c r="A48" s="96">
        <v>45</v>
      </c>
      <c r="B48" s="15">
        <v>220082</v>
      </c>
      <c r="C48" s="15">
        <v>2022</v>
      </c>
      <c r="D48" s="15">
        <f t="shared" si="0"/>
        <v>4</v>
      </c>
      <c r="E48" s="16">
        <v>44604</v>
      </c>
      <c r="F48" s="24">
        <v>44672</v>
      </c>
      <c r="G48" s="14" t="s">
        <v>240</v>
      </c>
      <c r="H48" s="98" t="s">
        <v>241</v>
      </c>
      <c r="I48" s="97" t="s">
        <v>63</v>
      </c>
      <c r="J48" s="99">
        <v>17</v>
      </c>
      <c r="K48" s="17" t="s">
        <v>1116</v>
      </c>
      <c r="L48" s="17" t="s">
        <v>31</v>
      </c>
      <c r="M48" s="14" t="s">
        <v>242</v>
      </c>
      <c r="N48" s="14" t="s">
        <v>36</v>
      </c>
      <c r="O48" s="17" t="s">
        <v>243</v>
      </c>
      <c r="P48" s="17" t="s">
        <v>28</v>
      </c>
      <c r="Q48" s="17" t="s">
        <v>29</v>
      </c>
      <c r="R48" s="18" t="s">
        <v>30</v>
      </c>
      <c r="S48" s="19">
        <v>4600</v>
      </c>
      <c r="T48" s="20" t="s">
        <v>31</v>
      </c>
      <c r="U48" s="21" t="s">
        <v>31</v>
      </c>
      <c r="V48" s="100"/>
      <c r="W48" s="100"/>
      <c r="X48" s="100"/>
      <c r="Y48" s="100"/>
      <c r="Z48" s="100"/>
    </row>
    <row r="49" spans="1:26" x14ac:dyDescent="0.25">
      <c r="A49" s="96">
        <v>46</v>
      </c>
      <c r="B49" s="15">
        <v>220084</v>
      </c>
      <c r="C49" s="15">
        <v>2022</v>
      </c>
      <c r="D49" s="15">
        <f t="shared" si="0"/>
        <v>5</v>
      </c>
      <c r="E49" s="16">
        <v>44479</v>
      </c>
      <c r="F49" s="24">
        <v>44698</v>
      </c>
      <c r="G49" s="14" t="s">
        <v>244</v>
      </c>
      <c r="H49" s="98" t="s">
        <v>245</v>
      </c>
      <c r="I49" s="20" t="s">
        <v>24</v>
      </c>
      <c r="J49" s="99">
        <v>25</v>
      </c>
      <c r="K49" s="17" t="s">
        <v>1116</v>
      </c>
      <c r="L49" s="17" t="s">
        <v>31</v>
      </c>
      <c r="M49" s="14" t="s">
        <v>246</v>
      </c>
      <c r="N49" s="14" t="s">
        <v>26</v>
      </c>
      <c r="O49" s="17" t="s">
        <v>246</v>
      </c>
      <c r="P49" s="17" t="s">
        <v>28</v>
      </c>
      <c r="Q49" s="17" t="s">
        <v>29</v>
      </c>
      <c r="R49" s="18" t="s">
        <v>30</v>
      </c>
      <c r="S49" s="19">
        <v>4400</v>
      </c>
      <c r="T49" s="20" t="s">
        <v>31</v>
      </c>
      <c r="U49" s="21" t="s">
        <v>247</v>
      </c>
      <c r="V49" s="100"/>
      <c r="W49" s="100"/>
      <c r="X49" s="100"/>
      <c r="Y49" s="100"/>
      <c r="Z49" s="100"/>
    </row>
    <row r="50" spans="1:26" x14ac:dyDescent="0.25">
      <c r="A50" s="96">
        <v>47</v>
      </c>
      <c r="B50" s="15">
        <v>220086</v>
      </c>
      <c r="C50" s="15">
        <v>2022</v>
      </c>
      <c r="D50" s="15">
        <f t="shared" si="0"/>
        <v>4</v>
      </c>
      <c r="E50" s="16">
        <v>44603</v>
      </c>
      <c r="F50" s="24">
        <v>44672</v>
      </c>
      <c r="G50" s="14" t="s">
        <v>248</v>
      </c>
      <c r="H50" s="98" t="s">
        <v>249</v>
      </c>
      <c r="I50" s="97" t="s">
        <v>63</v>
      </c>
      <c r="J50" s="99">
        <v>10</v>
      </c>
      <c r="K50" s="17" t="s">
        <v>1115</v>
      </c>
      <c r="L50" s="17" t="s">
        <v>1118</v>
      </c>
      <c r="M50" s="14" t="s">
        <v>242</v>
      </c>
      <c r="N50" s="14" t="s">
        <v>36</v>
      </c>
      <c r="O50" s="17" t="s">
        <v>250</v>
      </c>
      <c r="P50" s="17" t="s">
        <v>56</v>
      </c>
      <c r="Q50" s="17" t="s">
        <v>29</v>
      </c>
      <c r="R50" s="17" t="s">
        <v>251</v>
      </c>
      <c r="S50" s="19">
        <v>3000</v>
      </c>
      <c r="T50" s="20" t="s">
        <v>58</v>
      </c>
      <c r="U50" s="21" t="s">
        <v>252</v>
      </c>
      <c r="V50" s="100"/>
      <c r="W50" s="100"/>
      <c r="X50" s="100"/>
      <c r="Y50" s="100"/>
      <c r="Z50" s="100"/>
    </row>
    <row r="51" spans="1:26" x14ac:dyDescent="0.25">
      <c r="A51" s="96">
        <v>48</v>
      </c>
      <c r="B51" s="15">
        <v>220092</v>
      </c>
      <c r="C51" s="15">
        <v>2022</v>
      </c>
      <c r="D51" s="15">
        <f t="shared" si="0"/>
        <v>4</v>
      </c>
      <c r="E51" s="16">
        <v>44438</v>
      </c>
      <c r="F51" s="24">
        <v>44670</v>
      </c>
      <c r="G51" s="14" t="s">
        <v>253</v>
      </c>
      <c r="H51" s="98" t="s">
        <v>254</v>
      </c>
      <c r="I51" s="20" t="s">
        <v>24</v>
      </c>
      <c r="J51" s="99">
        <v>48</v>
      </c>
      <c r="K51" s="17" t="s">
        <v>1115</v>
      </c>
      <c r="L51" s="17" t="s">
        <v>1118</v>
      </c>
      <c r="M51" s="14" t="s">
        <v>255</v>
      </c>
      <c r="N51" s="14" t="s">
        <v>135</v>
      </c>
      <c r="O51" s="17" t="s">
        <v>256</v>
      </c>
      <c r="P51" s="17" t="s">
        <v>28</v>
      </c>
      <c r="Q51" s="17" t="s">
        <v>29</v>
      </c>
      <c r="R51" s="17" t="s">
        <v>257</v>
      </c>
      <c r="S51" s="19">
        <v>5000</v>
      </c>
      <c r="T51" s="20" t="s">
        <v>58</v>
      </c>
      <c r="U51" s="23" t="s">
        <v>258</v>
      </c>
      <c r="V51" s="100"/>
      <c r="W51" s="100"/>
      <c r="X51" s="100"/>
      <c r="Y51" s="100"/>
      <c r="Z51" s="100"/>
    </row>
    <row r="52" spans="1:26" x14ac:dyDescent="0.25">
      <c r="A52" s="96">
        <v>49</v>
      </c>
      <c r="B52" s="15">
        <v>220097</v>
      </c>
      <c r="C52" s="15">
        <v>2022</v>
      </c>
      <c r="D52" s="15">
        <f t="shared" si="0"/>
        <v>6</v>
      </c>
      <c r="E52" s="16">
        <v>44581</v>
      </c>
      <c r="F52" s="24">
        <v>44728</v>
      </c>
      <c r="G52" s="14" t="s">
        <v>259</v>
      </c>
      <c r="H52" s="98" t="s">
        <v>260</v>
      </c>
      <c r="I52" s="20" t="s">
        <v>24</v>
      </c>
      <c r="J52" s="99">
        <v>31</v>
      </c>
      <c r="K52" s="17" t="s">
        <v>1115</v>
      </c>
      <c r="L52" s="17" t="s">
        <v>1118</v>
      </c>
      <c r="M52" s="14" t="s">
        <v>261</v>
      </c>
      <c r="N52" s="14" t="s">
        <v>261</v>
      </c>
      <c r="O52" s="17" t="s">
        <v>262</v>
      </c>
      <c r="P52" s="17" t="s">
        <v>28</v>
      </c>
      <c r="Q52" s="17" t="s">
        <v>29</v>
      </c>
      <c r="R52" s="17" t="s">
        <v>263</v>
      </c>
      <c r="S52" s="19">
        <v>23000</v>
      </c>
      <c r="T52" s="20" t="s">
        <v>46</v>
      </c>
      <c r="U52" s="21" t="s">
        <v>115</v>
      </c>
      <c r="V52" s="100"/>
      <c r="W52" s="100"/>
      <c r="X52" s="100"/>
      <c r="Y52" s="100"/>
      <c r="Z52" s="100"/>
    </row>
    <row r="53" spans="1:26" x14ac:dyDescent="0.25">
      <c r="A53" s="96">
        <v>50</v>
      </c>
      <c r="B53" s="15">
        <v>220100</v>
      </c>
      <c r="C53" s="15">
        <v>2022</v>
      </c>
      <c r="D53" s="15">
        <f t="shared" si="0"/>
        <v>3</v>
      </c>
      <c r="E53" s="16">
        <v>44604</v>
      </c>
      <c r="F53" s="24">
        <v>44651</v>
      </c>
      <c r="G53" s="14" t="s">
        <v>264</v>
      </c>
      <c r="H53" s="98" t="s">
        <v>265</v>
      </c>
      <c r="I53" s="20" t="s">
        <v>24</v>
      </c>
      <c r="J53" s="99">
        <v>44</v>
      </c>
      <c r="K53" s="17" t="s">
        <v>1116</v>
      </c>
      <c r="L53" s="17" t="s">
        <v>31</v>
      </c>
      <c r="M53" s="14" t="s">
        <v>266</v>
      </c>
      <c r="N53" s="14" t="s">
        <v>167</v>
      </c>
      <c r="O53" s="17" t="s">
        <v>168</v>
      </c>
      <c r="P53" s="17" t="s">
        <v>28</v>
      </c>
      <c r="Q53" s="17" t="s">
        <v>29</v>
      </c>
      <c r="R53" s="18" t="s">
        <v>30</v>
      </c>
      <c r="S53" s="19">
        <v>4600</v>
      </c>
      <c r="T53" s="20" t="s">
        <v>31</v>
      </c>
      <c r="U53" s="21" t="s">
        <v>31</v>
      </c>
      <c r="V53" s="100"/>
      <c r="W53" s="100"/>
      <c r="X53" s="100"/>
      <c r="Y53" s="100"/>
      <c r="Z53" s="100"/>
    </row>
    <row r="54" spans="1:26" x14ac:dyDescent="0.25">
      <c r="A54" s="96">
        <v>51</v>
      </c>
      <c r="B54" s="15">
        <v>220105</v>
      </c>
      <c r="C54" s="15">
        <v>2022</v>
      </c>
      <c r="D54" s="15">
        <f t="shared" si="0"/>
        <v>4</v>
      </c>
      <c r="E54" s="16">
        <v>44439</v>
      </c>
      <c r="F54" s="24">
        <v>44659</v>
      </c>
      <c r="G54" s="14" t="s">
        <v>267</v>
      </c>
      <c r="H54" s="98" t="s">
        <v>268</v>
      </c>
      <c r="I54" s="20" t="s">
        <v>24</v>
      </c>
      <c r="J54" s="99">
        <v>25</v>
      </c>
      <c r="K54" s="17" t="s">
        <v>1116</v>
      </c>
      <c r="L54" s="17" t="s">
        <v>31</v>
      </c>
      <c r="M54" s="14" t="s">
        <v>261</v>
      </c>
      <c r="N54" s="14" t="s">
        <v>261</v>
      </c>
      <c r="O54" s="17" t="s">
        <v>269</v>
      </c>
      <c r="P54" s="17" t="s">
        <v>28</v>
      </c>
      <c r="Q54" s="17" t="s">
        <v>29</v>
      </c>
      <c r="R54" s="18" t="s">
        <v>30</v>
      </c>
      <c r="S54" s="19">
        <v>4400</v>
      </c>
      <c r="T54" s="20" t="s">
        <v>31</v>
      </c>
      <c r="U54" s="21" t="s">
        <v>31</v>
      </c>
      <c r="V54" s="100"/>
      <c r="W54" s="100"/>
      <c r="X54" s="100"/>
      <c r="Y54" s="100"/>
      <c r="Z54" s="100"/>
    </row>
    <row r="55" spans="1:26" x14ac:dyDescent="0.25">
      <c r="A55" s="96">
        <v>52</v>
      </c>
      <c r="B55" s="15">
        <v>220106</v>
      </c>
      <c r="C55" s="15">
        <v>2022</v>
      </c>
      <c r="D55" s="15">
        <f t="shared" si="0"/>
        <v>4</v>
      </c>
      <c r="E55" s="16">
        <v>44619</v>
      </c>
      <c r="F55" s="24">
        <v>44672</v>
      </c>
      <c r="G55" s="14" t="s">
        <v>270</v>
      </c>
      <c r="H55" s="98" t="s">
        <v>271</v>
      </c>
      <c r="I55" s="97" t="s">
        <v>63</v>
      </c>
      <c r="J55" s="99">
        <v>61</v>
      </c>
      <c r="K55" s="17" t="s">
        <v>1115</v>
      </c>
      <c r="L55" s="17" t="s">
        <v>1118</v>
      </c>
      <c r="M55" s="14" t="s">
        <v>174</v>
      </c>
      <c r="N55" s="14" t="s">
        <v>36</v>
      </c>
      <c r="O55" s="18" t="s">
        <v>272</v>
      </c>
      <c r="P55" s="17" t="s">
        <v>28</v>
      </c>
      <c r="Q55" s="17" t="s">
        <v>29</v>
      </c>
      <c r="R55" s="17" t="s">
        <v>109</v>
      </c>
      <c r="S55" s="19">
        <v>4800</v>
      </c>
      <c r="T55" s="20" t="s">
        <v>58</v>
      </c>
      <c r="U55" s="23" t="s">
        <v>273</v>
      </c>
      <c r="V55" s="100"/>
      <c r="W55" s="100"/>
      <c r="X55" s="100"/>
      <c r="Y55" s="100"/>
      <c r="Z55" s="100"/>
    </row>
    <row r="56" spans="1:26" x14ac:dyDescent="0.25">
      <c r="A56" s="96">
        <v>53</v>
      </c>
      <c r="B56" s="15">
        <v>220108</v>
      </c>
      <c r="C56" s="15">
        <v>2022</v>
      </c>
      <c r="D56" s="15">
        <f t="shared" si="0"/>
        <v>4</v>
      </c>
      <c r="E56" s="16">
        <v>44622</v>
      </c>
      <c r="F56" s="24">
        <v>44658</v>
      </c>
      <c r="G56" s="14" t="s">
        <v>274</v>
      </c>
      <c r="H56" s="98" t="s">
        <v>275</v>
      </c>
      <c r="I56" s="20" t="s">
        <v>24</v>
      </c>
      <c r="J56" s="99">
        <v>36</v>
      </c>
      <c r="K56" s="17" t="s">
        <v>1115</v>
      </c>
      <c r="L56" s="17" t="s">
        <v>1118</v>
      </c>
      <c r="M56" s="14" t="s">
        <v>276</v>
      </c>
      <c r="N56" s="14" t="s">
        <v>36</v>
      </c>
      <c r="O56" s="17" t="s">
        <v>277</v>
      </c>
      <c r="P56" s="17" t="s">
        <v>28</v>
      </c>
      <c r="Q56" s="17" t="s">
        <v>29</v>
      </c>
      <c r="R56" s="17" t="s">
        <v>72</v>
      </c>
      <c r="S56" s="19">
        <v>5000</v>
      </c>
      <c r="T56" s="20" t="s">
        <v>58</v>
      </c>
      <c r="U56" s="21" t="s">
        <v>226</v>
      </c>
      <c r="V56" s="100"/>
      <c r="W56" s="100"/>
      <c r="X56" s="100"/>
      <c r="Y56" s="100"/>
      <c r="Z56" s="100"/>
    </row>
    <row r="57" spans="1:26" x14ac:dyDescent="0.25">
      <c r="A57" s="96">
        <v>54</v>
      </c>
      <c r="B57" s="15">
        <v>220109</v>
      </c>
      <c r="C57" s="15">
        <v>2022</v>
      </c>
      <c r="D57" s="15">
        <f t="shared" si="0"/>
        <v>5</v>
      </c>
      <c r="E57" s="16">
        <v>44612</v>
      </c>
      <c r="F57" s="24">
        <v>44686</v>
      </c>
      <c r="G57" s="14" t="s">
        <v>278</v>
      </c>
      <c r="H57" s="98" t="s">
        <v>279</v>
      </c>
      <c r="I57" s="20" t="s">
        <v>24</v>
      </c>
      <c r="J57" s="99">
        <v>21</v>
      </c>
      <c r="K57" s="17" t="s">
        <v>1116</v>
      </c>
      <c r="L57" s="17" t="s">
        <v>31</v>
      </c>
      <c r="M57" s="14" t="s">
        <v>280</v>
      </c>
      <c r="N57" s="14" t="s">
        <v>280</v>
      </c>
      <c r="O57" s="17" t="s">
        <v>280</v>
      </c>
      <c r="P57" s="17" t="s">
        <v>28</v>
      </c>
      <c r="Q57" s="17" t="s">
        <v>29</v>
      </c>
      <c r="R57" s="18" t="s">
        <v>30</v>
      </c>
      <c r="S57" s="19">
        <v>4600</v>
      </c>
      <c r="T57" s="20" t="s">
        <v>31</v>
      </c>
      <c r="U57" s="21" t="s">
        <v>31</v>
      </c>
      <c r="V57" s="100"/>
      <c r="W57" s="100"/>
      <c r="X57" s="100"/>
      <c r="Y57" s="100"/>
      <c r="Z57" s="100"/>
    </row>
    <row r="58" spans="1:26" x14ac:dyDescent="0.25">
      <c r="A58" s="96">
        <v>55</v>
      </c>
      <c r="B58" s="15">
        <v>220114</v>
      </c>
      <c r="C58" s="15">
        <v>2022</v>
      </c>
      <c r="D58" s="15">
        <f t="shared" si="0"/>
        <v>5</v>
      </c>
      <c r="E58" s="16">
        <v>44619</v>
      </c>
      <c r="F58" s="24">
        <v>44684</v>
      </c>
      <c r="G58" s="14" t="s">
        <v>281</v>
      </c>
      <c r="H58" s="98" t="s">
        <v>282</v>
      </c>
      <c r="I58" s="20" t="s">
        <v>24</v>
      </c>
      <c r="J58" s="99">
        <v>70</v>
      </c>
      <c r="K58" s="17" t="s">
        <v>1115</v>
      </c>
      <c r="L58" s="17" t="s">
        <v>1118</v>
      </c>
      <c r="M58" s="14" t="s">
        <v>283</v>
      </c>
      <c r="N58" s="14" t="s">
        <v>284</v>
      </c>
      <c r="O58" s="17" t="s">
        <v>285</v>
      </c>
      <c r="P58" s="17" t="s">
        <v>104</v>
      </c>
      <c r="Q58" s="17" t="s">
        <v>29</v>
      </c>
      <c r="R58" s="17" t="s">
        <v>286</v>
      </c>
      <c r="S58" s="19">
        <v>2200</v>
      </c>
      <c r="T58" s="20" t="s">
        <v>46</v>
      </c>
      <c r="U58" s="21" t="s">
        <v>46</v>
      </c>
      <c r="V58" s="100"/>
      <c r="W58" s="100"/>
      <c r="X58" s="100"/>
      <c r="Y58" s="100"/>
      <c r="Z58" s="100"/>
    </row>
    <row r="59" spans="1:26" x14ac:dyDescent="0.25">
      <c r="A59" s="96">
        <v>56</v>
      </c>
      <c r="B59" s="15">
        <v>220115</v>
      </c>
      <c r="C59" s="15">
        <v>2022</v>
      </c>
      <c r="D59" s="15">
        <f t="shared" si="0"/>
        <v>3</v>
      </c>
      <c r="E59" s="16">
        <v>44621</v>
      </c>
      <c r="F59" s="24">
        <v>44648</v>
      </c>
      <c r="G59" s="14" t="s">
        <v>287</v>
      </c>
      <c r="H59" s="98" t="s">
        <v>288</v>
      </c>
      <c r="I59" s="20" t="s">
        <v>24</v>
      </c>
      <c r="J59" s="99">
        <v>21</v>
      </c>
      <c r="K59" s="17" t="s">
        <v>1115</v>
      </c>
      <c r="L59" s="17" t="s">
        <v>1118</v>
      </c>
      <c r="M59" s="14" t="s">
        <v>113</v>
      </c>
      <c r="N59" s="14" t="s">
        <v>113</v>
      </c>
      <c r="O59" s="17" t="s">
        <v>289</v>
      </c>
      <c r="P59" s="17" t="s">
        <v>104</v>
      </c>
      <c r="Q59" s="17" t="s">
        <v>29</v>
      </c>
      <c r="R59" s="17" t="s">
        <v>158</v>
      </c>
      <c r="S59" s="19">
        <v>1000</v>
      </c>
      <c r="T59" s="20" t="s">
        <v>58</v>
      </c>
      <c r="U59" s="21" t="s">
        <v>58</v>
      </c>
      <c r="V59" s="100"/>
      <c r="W59" s="100"/>
      <c r="X59" s="100"/>
      <c r="Y59" s="100"/>
      <c r="Z59" s="100"/>
    </row>
    <row r="60" spans="1:26" x14ac:dyDescent="0.25">
      <c r="A60" s="96">
        <v>57</v>
      </c>
      <c r="B60" s="15">
        <v>220116</v>
      </c>
      <c r="C60" s="15">
        <v>2022</v>
      </c>
      <c r="D60" s="15">
        <f t="shared" si="0"/>
        <v>10</v>
      </c>
      <c r="E60" s="16">
        <v>44297</v>
      </c>
      <c r="F60" s="24">
        <v>44848</v>
      </c>
      <c r="G60" s="14" t="s">
        <v>290</v>
      </c>
      <c r="H60" s="98" t="s">
        <v>291</v>
      </c>
      <c r="I60" s="20" t="s">
        <v>24</v>
      </c>
      <c r="J60" s="99">
        <v>3</v>
      </c>
      <c r="K60" s="17" t="s">
        <v>1115</v>
      </c>
      <c r="L60" s="17" t="s">
        <v>1118</v>
      </c>
      <c r="M60" s="14" t="s">
        <v>261</v>
      </c>
      <c r="N60" s="14" t="s">
        <v>261</v>
      </c>
      <c r="O60" s="17" t="s">
        <v>292</v>
      </c>
      <c r="P60" s="17" t="s">
        <v>293</v>
      </c>
      <c r="Q60" s="17" t="s">
        <v>29</v>
      </c>
      <c r="R60" s="17" t="s">
        <v>119</v>
      </c>
      <c r="S60" s="19">
        <v>300</v>
      </c>
      <c r="T60" s="20" t="s">
        <v>97</v>
      </c>
      <c r="U60" s="21" t="s">
        <v>294</v>
      </c>
      <c r="V60" s="100"/>
      <c r="W60" s="100"/>
      <c r="X60" s="100"/>
      <c r="Y60" s="100"/>
      <c r="Z60" s="100"/>
    </row>
    <row r="61" spans="1:26" x14ac:dyDescent="0.25">
      <c r="A61" s="96">
        <v>58</v>
      </c>
      <c r="B61" s="15">
        <v>220119</v>
      </c>
      <c r="C61" s="15">
        <v>2022</v>
      </c>
      <c r="D61" s="15">
        <f t="shared" si="0"/>
        <v>3</v>
      </c>
      <c r="E61" s="16">
        <v>44544</v>
      </c>
      <c r="F61" s="24">
        <v>44629</v>
      </c>
      <c r="G61" s="14" t="s">
        <v>295</v>
      </c>
      <c r="H61" s="98" t="s">
        <v>296</v>
      </c>
      <c r="I61" s="97" t="s">
        <v>63</v>
      </c>
      <c r="J61" s="99">
        <v>29</v>
      </c>
      <c r="K61" s="17" t="s">
        <v>1115</v>
      </c>
      <c r="L61" s="17" t="s">
        <v>1118</v>
      </c>
      <c r="M61" s="14" t="s">
        <v>139</v>
      </c>
      <c r="N61" s="14" t="s">
        <v>36</v>
      </c>
      <c r="O61" s="17" t="s">
        <v>297</v>
      </c>
      <c r="P61" s="17" t="s">
        <v>161</v>
      </c>
      <c r="Q61" s="17" t="s">
        <v>29</v>
      </c>
      <c r="R61" s="17" t="s">
        <v>298</v>
      </c>
      <c r="S61" s="19">
        <v>9800</v>
      </c>
      <c r="T61" s="20" t="s">
        <v>58</v>
      </c>
      <c r="U61" s="23" t="s">
        <v>226</v>
      </c>
      <c r="V61" s="100"/>
      <c r="W61" s="100"/>
      <c r="X61" s="100"/>
      <c r="Y61" s="100"/>
      <c r="Z61" s="100"/>
    </row>
    <row r="62" spans="1:26" x14ac:dyDescent="0.25">
      <c r="A62" s="96">
        <v>59</v>
      </c>
      <c r="B62" s="15">
        <v>220120</v>
      </c>
      <c r="C62" s="15">
        <v>2022</v>
      </c>
      <c r="D62" s="15">
        <f t="shared" si="0"/>
        <v>8</v>
      </c>
      <c r="E62" s="16">
        <v>44627</v>
      </c>
      <c r="F62" s="24">
        <v>44785</v>
      </c>
      <c r="G62" s="14" t="s">
        <v>299</v>
      </c>
      <c r="H62" s="98" t="s">
        <v>300</v>
      </c>
      <c r="I62" s="20" t="s">
        <v>24</v>
      </c>
      <c r="J62" s="99">
        <v>35</v>
      </c>
      <c r="K62" s="17" t="s">
        <v>1115</v>
      </c>
      <c r="L62" s="17" t="s">
        <v>1118</v>
      </c>
      <c r="M62" s="14" t="s">
        <v>25</v>
      </c>
      <c r="N62" s="14" t="s">
        <v>26</v>
      </c>
      <c r="O62" s="17" t="s">
        <v>246</v>
      </c>
      <c r="P62" s="17" t="s">
        <v>293</v>
      </c>
      <c r="Q62" s="17" t="s">
        <v>29</v>
      </c>
      <c r="R62" s="17" t="s">
        <v>301</v>
      </c>
      <c r="S62" s="19">
        <v>8000</v>
      </c>
      <c r="T62" s="20" t="s">
        <v>39</v>
      </c>
      <c r="U62" s="21" t="s">
        <v>39</v>
      </c>
      <c r="V62" s="100"/>
      <c r="W62" s="100"/>
      <c r="X62" s="100"/>
      <c r="Y62" s="100"/>
      <c r="Z62" s="100"/>
    </row>
    <row r="63" spans="1:26" x14ac:dyDescent="0.25">
      <c r="A63" s="96">
        <v>60</v>
      </c>
      <c r="B63" s="15">
        <v>220121</v>
      </c>
      <c r="C63" s="15">
        <v>2022</v>
      </c>
      <c r="D63" s="15">
        <f t="shared" si="0"/>
        <v>5</v>
      </c>
      <c r="E63" s="16">
        <v>44391</v>
      </c>
      <c r="F63" s="24">
        <v>44694</v>
      </c>
      <c r="G63" s="14" t="s">
        <v>302</v>
      </c>
      <c r="H63" s="98" t="s">
        <v>303</v>
      </c>
      <c r="I63" s="20" t="s">
        <v>24</v>
      </c>
      <c r="J63" s="99">
        <v>60</v>
      </c>
      <c r="K63" s="17" t="s">
        <v>1116</v>
      </c>
      <c r="L63" s="17" t="s">
        <v>31</v>
      </c>
      <c r="M63" s="14" t="s">
        <v>223</v>
      </c>
      <c r="N63" s="14" t="s">
        <v>36</v>
      </c>
      <c r="O63" s="17" t="s">
        <v>304</v>
      </c>
      <c r="P63" s="17" t="s">
        <v>28</v>
      </c>
      <c r="Q63" s="17" t="s">
        <v>29</v>
      </c>
      <c r="R63" s="18" t="s">
        <v>30</v>
      </c>
      <c r="S63" s="19">
        <v>4400</v>
      </c>
      <c r="T63" s="20" t="s">
        <v>31</v>
      </c>
      <c r="U63" s="21" t="s">
        <v>31</v>
      </c>
      <c r="V63" s="100"/>
      <c r="W63" s="100"/>
      <c r="X63" s="100"/>
      <c r="Y63" s="100"/>
      <c r="Z63" s="100"/>
    </row>
    <row r="64" spans="1:26" x14ac:dyDescent="0.25">
      <c r="A64" s="96">
        <v>61</v>
      </c>
      <c r="B64" s="15">
        <v>220126</v>
      </c>
      <c r="C64" s="15">
        <v>2022</v>
      </c>
      <c r="D64" s="15">
        <f t="shared" si="0"/>
        <v>4</v>
      </c>
      <c r="E64" s="16">
        <v>44600</v>
      </c>
      <c r="F64" s="24">
        <v>44663</v>
      </c>
      <c r="G64" s="14" t="s">
        <v>305</v>
      </c>
      <c r="H64" s="98" t="s">
        <v>306</v>
      </c>
      <c r="I64" s="20" t="s">
        <v>24</v>
      </c>
      <c r="J64" s="99">
        <v>24</v>
      </c>
      <c r="K64" s="17" t="s">
        <v>1116</v>
      </c>
      <c r="L64" s="17" t="s">
        <v>31</v>
      </c>
      <c r="M64" s="14" t="s">
        <v>266</v>
      </c>
      <c r="N64" s="14" t="s">
        <v>167</v>
      </c>
      <c r="O64" s="17" t="s">
        <v>307</v>
      </c>
      <c r="P64" s="17" t="s">
        <v>28</v>
      </c>
      <c r="Q64" s="17" t="s">
        <v>29</v>
      </c>
      <c r="R64" s="18" t="s">
        <v>30</v>
      </c>
      <c r="S64" s="19">
        <v>4600</v>
      </c>
      <c r="T64" s="20" t="s">
        <v>31</v>
      </c>
      <c r="U64" s="21" t="s">
        <v>31</v>
      </c>
      <c r="V64" s="100"/>
      <c r="W64" s="100"/>
      <c r="X64" s="100"/>
      <c r="Y64" s="100"/>
      <c r="Z64" s="100"/>
    </row>
    <row r="65" spans="1:26" x14ac:dyDescent="0.25">
      <c r="A65" s="96">
        <v>62</v>
      </c>
      <c r="B65" s="15">
        <v>220130</v>
      </c>
      <c r="C65" s="15">
        <v>2022</v>
      </c>
      <c r="D65" s="15">
        <f t="shared" si="0"/>
        <v>4</v>
      </c>
      <c r="E65" s="16">
        <v>44605</v>
      </c>
      <c r="F65" s="24">
        <v>44677</v>
      </c>
      <c r="G65" s="14" t="s">
        <v>308</v>
      </c>
      <c r="H65" s="98" t="s">
        <v>309</v>
      </c>
      <c r="I65" s="20" t="s">
        <v>24</v>
      </c>
      <c r="J65" s="99">
        <v>40</v>
      </c>
      <c r="K65" s="17" t="s">
        <v>1115</v>
      </c>
      <c r="L65" s="17" t="s">
        <v>1118</v>
      </c>
      <c r="M65" s="14" t="s">
        <v>310</v>
      </c>
      <c r="N65" s="14" t="s">
        <v>153</v>
      </c>
      <c r="O65" s="17" t="s">
        <v>311</v>
      </c>
      <c r="P65" s="17" t="s">
        <v>28</v>
      </c>
      <c r="Q65" s="17" t="s">
        <v>29</v>
      </c>
      <c r="R65" s="17" t="s">
        <v>312</v>
      </c>
      <c r="S65" s="19">
        <v>3200</v>
      </c>
      <c r="T65" s="20" t="s">
        <v>162</v>
      </c>
      <c r="U65" s="21" t="s">
        <v>313</v>
      </c>
      <c r="V65" s="100"/>
      <c r="W65" s="100"/>
      <c r="X65" s="100"/>
      <c r="Y65" s="100"/>
      <c r="Z65" s="100"/>
    </row>
    <row r="66" spans="1:26" x14ac:dyDescent="0.25">
      <c r="A66" s="96">
        <v>63</v>
      </c>
      <c r="B66" s="15">
        <v>220137</v>
      </c>
      <c r="C66" s="15">
        <v>2022</v>
      </c>
      <c r="D66" s="15">
        <f t="shared" si="0"/>
        <v>10</v>
      </c>
      <c r="E66" s="16">
        <v>44478</v>
      </c>
      <c r="F66" s="24">
        <v>44859</v>
      </c>
      <c r="G66" s="14" t="s">
        <v>314</v>
      </c>
      <c r="H66" s="98" t="s">
        <v>315</v>
      </c>
      <c r="I66" s="20" t="s">
        <v>24</v>
      </c>
      <c r="J66" s="99">
        <v>20</v>
      </c>
      <c r="K66" s="17" t="s">
        <v>1116</v>
      </c>
      <c r="L66" s="17" t="s">
        <v>31</v>
      </c>
      <c r="M66" s="14" t="s">
        <v>43</v>
      </c>
      <c r="N66" s="14" t="s">
        <v>36</v>
      </c>
      <c r="O66" s="17" t="s">
        <v>43</v>
      </c>
      <c r="P66" s="17" t="s">
        <v>28</v>
      </c>
      <c r="Q66" s="17" t="s">
        <v>29</v>
      </c>
      <c r="R66" s="18" t="s">
        <v>30</v>
      </c>
      <c r="S66" s="19">
        <v>1780</v>
      </c>
      <c r="T66" s="20" t="s">
        <v>31</v>
      </c>
      <c r="U66" s="23" t="s">
        <v>31</v>
      </c>
      <c r="V66" s="100"/>
      <c r="W66" s="100"/>
      <c r="X66" s="100"/>
      <c r="Y66" s="100"/>
      <c r="Z66" s="100"/>
    </row>
    <row r="67" spans="1:26" x14ac:dyDescent="0.25">
      <c r="A67" s="96">
        <v>64</v>
      </c>
      <c r="B67" s="15">
        <v>220139</v>
      </c>
      <c r="C67" s="15">
        <v>2022</v>
      </c>
      <c r="D67" s="15">
        <f t="shared" si="0"/>
        <v>5</v>
      </c>
      <c r="E67" s="16">
        <v>44632</v>
      </c>
      <c r="F67" s="24">
        <v>44694</v>
      </c>
      <c r="G67" s="14" t="s">
        <v>316</v>
      </c>
      <c r="H67" s="98" t="s">
        <v>317</v>
      </c>
      <c r="I67" s="20" t="s">
        <v>24</v>
      </c>
      <c r="J67" s="99">
        <v>54</v>
      </c>
      <c r="K67" s="17" t="s">
        <v>1115</v>
      </c>
      <c r="L67" s="17" t="s">
        <v>1118</v>
      </c>
      <c r="M67" s="14" t="s">
        <v>318</v>
      </c>
      <c r="N67" s="14" t="s">
        <v>36</v>
      </c>
      <c r="O67" s="17" t="s">
        <v>319</v>
      </c>
      <c r="P67" s="17" t="s">
        <v>161</v>
      </c>
      <c r="Q67" s="17" t="s">
        <v>29</v>
      </c>
      <c r="R67" s="17" t="s">
        <v>320</v>
      </c>
      <c r="S67" s="19">
        <v>1500</v>
      </c>
      <c r="T67" s="20" t="s">
        <v>73</v>
      </c>
      <c r="U67" s="21" t="s">
        <v>321</v>
      </c>
      <c r="V67" s="100"/>
      <c r="W67" s="100"/>
      <c r="X67" s="100"/>
      <c r="Y67" s="100"/>
      <c r="Z67" s="100"/>
    </row>
    <row r="68" spans="1:26" x14ac:dyDescent="0.25">
      <c r="A68" s="96">
        <v>65</v>
      </c>
      <c r="B68" s="15">
        <v>220141</v>
      </c>
      <c r="C68" s="15">
        <v>2022</v>
      </c>
      <c r="D68" s="15">
        <f t="shared" ref="D68:D131" si="1">IF(ISBLANK(F68),0,MONTH(F68))</f>
        <v>3</v>
      </c>
      <c r="E68" s="16">
        <v>44427</v>
      </c>
      <c r="F68" s="24">
        <v>44643</v>
      </c>
      <c r="G68" s="14" t="s">
        <v>322</v>
      </c>
      <c r="H68" s="98" t="s">
        <v>323</v>
      </c>
      <c r="I68" s="97" t="s">
        <v>63</v>
      </c>
      <c r="J68" s="99">
        <v>41</v>
      </c>
      <c r="K68" s="17" t="s">
        <v>1115</v>
      </c>
      <c r="L68" s="17" t="s">
        <v>1118</v>
      </c>
      <c r="M68" s="14" t="s">
        <v>171</v>
      </c>
      <c r="N68" s="14" t="s">
        <v>36</v>
      </c>
      <c r="O68" s="17" t="s">
        <v>324</v>
      </c>
      <c r="P68" s="17" t="s">
        <v>56</v>
      </c>
      <c r="Q68" s="17" t="s">
        <v>29</v>
      </c>
      <c r="R68" s="17" t="s">
        <v>89</v>
      </c>
      <c r="S68" s="19">
        <v>1000</v>
      </c>
      <c r="T68" s="20" t="s">
        <v>58</v>
      </c>
      <c r="U68" s="23" t="s">
        <v>325</v>
      </c>
      <c r="V68" s="100"/>
      <c r="W68" s="100"/>
      <c r="X68" s="100"/>
      <c r="Y68" s="100"/>
      <c r="Z68" s="100"/>
    </row>
    <row r="69" spans="1:26" x14ac:dyDescent="0.25">
      <c r="A69" s="96">
        <v>66</v>
      </c>
      <c r="B69" s="15">
        <v>220146</v>
      </c>
      <c r="C69" s="15">
        <v>2022</v>
      </c>
      <c r="D69" s="15">
        <f t="shared" si="1"/>
        <v>11</v>
      </c>
      <c r="E69" s="16">
        <v>44605</v>
      </c>
      <c r="F69" s="24">
        <v>44893</v>
      </c>
      <c r="G69" s="14" t="s">
        <v>326</v>
      </c>
      <c r="H69" s="98" t="s">
        <v>327</v>
      </c>
      <c r="I69" s="20" t="s">
        <v>24</v>
      </c>
      <c r="J69" s="99">
        <v>34</v>
      </c>
      <c r="K69" s="17" t="s">
        <v>1115</v>
      </c>
      <c r="L69" s="17" t="s">
        <v>1118</v>
      </c>
      <c r="M69" s="14" t="s">
        <v>328</v>
      </c>
      <c r="N69" s="14" t="s">
        <v>148</v>
      </c>
      <c r="O69" s="17" t="s">
        <v>328</v>
      </c>
      <c r="P69" s="17" t="s">
        <v>56</v>
      </c>
      <c r="Q69" s="17" t="s">
        <v>29</v>
      </c>
      <c r="R69" s="17" t="s">
        <v>329</v>
      </c>
      <c r="S69" s="19">
        <v>1500</v>
      </c>
      <c r="T69" s="20" t="s">
        <v>58</v>
      </c>
      <c r="U69" s="21" t="s">
        <v>330</v>
      </c>
      <c r="V69" s="100"/>
      <c r="W69" s="100"/>
      <c r="X69" s="100"/>
      <c r="Y69" s="100"/>
      <c r="Z69" s="100"/>
    </row>
    <row r="70" spans="1:26" x14ac:dyDescent="0.25">
      <c r="A70" s="96">
        <v>67</v>
      </c>
      <c r="B70" s="15">
        <v>220148</v>
      </c>
      <c r="C70" s="15">
        <v>2022</v>
      </c>
      <c r="D70" s="15">
        <f t="shared" si="1"/>
        <v>6</v>
      </c>
      <c r="E70" s="16">
        <v>44640</v>
      </c>
      <c r="F70" s="24">
        <v>44718</v>
      </c>
      <c r="G70" s="14" t="s">
        <v>331</v>
      </c>
      <c r="H70" s="98" t="s">
        <v>332</v>
      </c>
      <c r="I70" s="20" t="s">
        <v>24</v>
      </c>
      <c r="J70" s="99">
        <v>55</v>
      </c>
      <c r="K70" s="17" t="s">
        <v>1116</v>
      </c>
      <c r="L70" s="17" t="s">
        <v>31</v>
      </c>
      <c r="M70" s="14" t="s">
        <v>127</v>
      </c>
      <c r="N70" s="14" t="s">
        <v>36</v>
      </c>
      <c r="O70" s="17" t="s">
        <v>333</v>
      </c>
      <c r="P70" s="17" t="s">
        <v>28</v>
      </c>
      <c r="Q70" s="17" t="s">
        <v>29</v>
      </c>
      <c r="R70" s="18" t="s">
        <v>30</v>
      </c>
      <c r="S70" s="19">
        <v>4600</v>
      </c>
      <c r="T70" s="20" t="s">
        <v>31</v>
      </c>
      <c r="U70" s="21" t="s">
        <v>31</v>
      </c>
      <c r="V70" s="100"/>
      <c r="W70" s="100"/>
      <c r="X70" s="100"/>
      <c r="Y70" s="100"/>
      <c r="Z70" s="100"/>
    </row>
    <row r="71" spans="1:26" x14ac:dyDescent="0.25">
      <c r="A71" s="96">
        <v>68</v>
      </c>
      <c r="B71" s="15">
        <v>220154</v>
      </c>
      <c r="C71" s="15">
        <v>2022</v>
      </c>
      <c r="D71" s="15">
        <f t="shared" si="1"/>
        <v>6</v>
      </c>
      <c r="E71" s="16">
        <v>44543</v>
      </c>
      <c r="F71" s="24">
        <v>44727</v>
      </c>
      <c r="G71" s="14" t="s">
        <v>334</v>
      </c>
      <c r="H71" s="98" t="s">
        <v>335</v>
      </c>
      <c r="I71" s="97" t="s">
        <v>63</v>
      </c>
      <c r="J71" s="99">
        <v>18</v>
      </c>
      <c r="K71" s="17" t="s">
        <v>1116</v>
      </c>
      <c r="L71" s="17" t="s">
        <v>31</v>
      </c>
      <c r="M71" s="14" t="s">
        <v>336</v>
      </c>
      <c r="N71" s="14" t="s">
        <v>336</v>
      </c>
      <c r="O71" s="17" t="s">
        <v>337</v>
      </c>
      <c r="P71" s="17" t="s">
        <v>28</v>
      </c>
      <c r="Q71" s="17" t="s">
        <v>29</v>
      </c>
      <c r="R71" s="18" t="s">
        <v>30</v>
      </c>
      <c r="S71" s="19">
        <v>4000</v>
      </c>
      <c r="T71" s="20" t="s">
        <v>31</v>
      </c>
      <c r="U71" s="21" t="s">
        <v>31</v>
      </c>
      <c r="V71" s="100"/>
      <c r="W71" s="100"/>
      <c r="X71" s="100"/>
      <c r="Y71" s="100"/>
      <c r="Z71" s="100"/>
    </row>
    <row r="72" spans="1:26" x14ac:dyDescent="0.25">
      <c r="A72" s="96">
        <v>69</v>
      </c>
      <c r="B72" s="15">
        <v>220159</v>
      </c>
      <c r="C72" s="15">
        <v>2022</v>
      </c>
      <c r="D72" s="15">
        <f t="shared" si="1"/>
        <v>6</v>
      </c>
      <c r="E72" s="16">
        <v>44611</v>
      </c>
      <c r="F72" s="24">
        <v>44742</v>
      </c>
      <c r="G72" s="14" t="s">
        <v>338</v>
      </c>
      <c r="H72" s="98" t="s">
        <v>339</v>
      </c>
      <c r="I72" s="20" t="s">
        <v>24</v>
      </c>
      <c r="J72" s="99">
        <v>47</v>
      </c>
      <c r="K72" s="17" t="s">
        <v>1116</v>
      </c>
      <c r="L72" s="17" t="s">
        <v>31</v>
      </c>
      <c r="M72" s="14" t="s">
        <v>340</v>
      </c>
      <c r="N72" s="14" t="s">
        <v>36</v>
      </c>
      <c r="O72" s="17" t="s">
        <v>340</v>
      </c>
      <c r="P72" s="17" t="s">
        <v>28</v>
      </c>
      <c r="Q72" s="17" t="s">
        <v>29</v>
      </c>
      <c r="R72" s="18" t="s">
        <v>30</v>
      </c>
      <c r="S72" s="19">
        <v>4600</v>
      </c>
      <c r="T72" s="20" t="s">
        <v>31</v>
      </c>
      <c r="U72" s="21" t="s">
        <v>181</v>
      </c>
      <c r="V72" s="100"/>
      <c r="W72" s="100"/>
      <c r="X72" s="100"/>
      <c r="Y72" s="100"/>
      <c r="Z72" s="100"/>
    </row>
    <row r="73" spans="1:26" x14ac:dyDescent="0.25">
      <c r="A73" s="96">
        <v>70</v>
      </c>
      <c r="B73" s="15">
        <v>220161</v>
      </c>
      <c r="C73" s="15">
        <v>2022</v>
      </c>
      <c r="D73" s="15">
        <f t="shared" si="1"/>
        <v>11</v>
      </c>
      <c r="E73" s="16">
        <v>44625</v>
      </c>
      <c r="F73" s="24">
        <v>44882</v>
      </c>
      <c r="G73" s="14" t="s">
        <v>341</v>
      </c>
      <c r="H73" s="98" t="s">
        <v>342</v>
      </c>
      <c r="I73" s="20" t="s">
        <v>24</v>
      </c>
      <c r="J73" s="99">
        <v>34</v>
      </c>
      <c r="K73" s="17" t="s">
        <v>1115</v>
      </c>
      <c r="L73" s="17" t="s">
        <v>1118</v>
      </c>
      <c r="M73" s="14" t="s">
        <v>51</v>
      </c>
      <c r="N73" s="14" t="s">
        <v>36</v>
      </c>
      <c r="O73" s="17" t="s">
        <v>343</v>
      </c>
      <c r="P73" s="17" t="s">
        <v>28</v>
      </c>
      <c r="Q73" s="17" t="s">
        <v>29</v>
      </c>
      <c r="R73" s="17" t="s">
        <v>344</v>
      </c>
      <c r="S73" s="19">
        <v>4000</v>
      </c>
      <c r="T73" s="20" t="s">
        <v>73</v>
      </c>
      <c r="U73" s="23" t="s">
        <v>345</v>
      </c>
      <c r="V73" s="100"/>
      <c r="W73" s="100"/>
      <c r="X73" s="100"/>
      <c r="Y73" s="100"/>
      <c r="Z73" s="100"/>
    </row>
    <row r="74" spans="1:26" x14ac:dyDescent="0.25">
      <c r="A74" s="96">
        <v>71</v>
      </c>
      <c r="B74" s="15">
        <v>220162</v>
      </c>
      <c r="C74" s="15">
        <v>2022</v>
      </c>
      <c r="D74" s="15">
        <f t="shared" si="1"/>
        <v>7</v>
      </c>
      <c r="E74" s="16">
        <v>44650</v>
      </c>
      <c r="F74" s="24">
        <v>44761</v>
      </c>
      <c r="G74" s="14" t="s">
        <v>346</v>
      </c>
      <c r="H74" s="98" t="s">
        <v>347</v>
      </c>
      <c r="I74" s="20" t="s">
        <v>24</v>
      </c>
      <c r="J74" s="99">
        <v>25</v>
      </c>
      <c r="K74" s="17" t="s">
        <v>1115</v>
      </c>
      <c r="L74" s="17" t="s">
        <v>1118</v>
      </c>
      <c r="M74" s="14" t="s">
        <v>51</v>
      </c>
      <c r="N74" s="14" t="s">
        <v>36</v>
      </c>
      <c r="O74" s="17" t="s">
        <v>348</v>
      </c>
      <c r="P74" s="17" t="s">
        <v>28</v>
      </c>
      <c r="Q74" s="17" t="s">
        <v>29</v>
      </c>
      <c r="R74" s="17" t="s">
        <v>141</v>
      </c>
      <c r="S74" s="19">
        <v>3000</v>
      </c>
      <c r="T74" s="20" t="s">
        <v>46</v>
      </c>
      <c r="U74" s="21" t="s">
        <v>115</v>
      </c>
      <c r="V74" s="100"/>
      <c r="W74" s="100"/>
      <c r="X74" s="100"/>
      <c r="Y74" s="100"/>
      <c r="Z74" s="100"/>
    </row>
    <row r="75" spans="1:26" x14ac:dyDescent="0.25">
      <c r="A75" s="96">
        <v>72</v>
      </c>
      <c r="B75" s="15">
        <v>220167</v>
      </c>
      <c r="C75" s="15">
        <v>2022</v>
      </c>
      <c r="D75" s="15">
        <f t="shared" si="1"/>
        <v>6</v>
      </c>
      <c r="E75" s="16">
        <v>44565</v>
      </c>
      <c r="F75" s="24">
        <v>44722</v>
      </c>
      <c r="G75" s="14" t="s">
        <v>349</v>
      </c>
      <c r="H75" s="98" t="s">
        <v>350</v>
      </c>
      <c r="I75" s="97" t="s">
        <v>63</v>
      </c>
      <c r="J75" s="99">
        <v>69</v>
      </c>
      <c r="K75" s="17" t="s">
        <v>1115</v>
      </c>
      <c r="L75" s="17" t="s">
        <v>1118</v>
      </c>
      <c r="M75" s="14" t="s">
        <v>351</v>
      </c>
      <c r="N75" s="14" t="s">
        <v>36</v>
      </c>
      <c r="O75" s="17" t="s">
        <v>352</v>
      </c>
      <c r="P75" s="17" t="s">
        <v>28</v>
      </c>
      <c r="Q75" s="17" t="s">
        <v>29</v>
      </c>
      <c r="R75" s="17" t="s">
        <v>353</v>
      </c>
      <c r="S75" s="19">
        <v>2000</v>
      </c>
      <c r="T75" s="20" t="s">
        <v>46</v>
      </c>
      <c r="U75" s="23" t="s">
        <v>46</v>
      </c>
      <c r="V75" s="100"/>
      <c r="W75" s="100"/>
      <c r="X75" s="100"/>
      <c r="Y75" s="100"/>
      <c r="Z75" s="100"/>
    </row>
    <row r="76" spans="1:26" x14ac:dyDescent="0.25">
      <c r="A76" s="96">
        <v>73</v>
      </c>
      <c r="B76" s="15">
        <v>220169</v>
      </c>
      <c r="C76" s="15">
        <v>2022</v>
      </c>
      <c r="D76" s="15">
        <f t="shared" si="1"/>
        <v>4</v>
      </c>
      <c r="E76" s="16">
        <v>44621</v>
      </c>
      <c r="F76" s="24">
        <v>44659</v>
      </c>
      <c r="G76" s="14" t="s">
        <v>354</v>
      </c>
      <c r="H76" s="98" t="s">
        <v>355</v>
      </c>
      <c r="I76" s="20" t="s">
        <v>24</v>
      </c>
      <c r="J76" s="99">
        <v>63</v>
      </c>
      <c r="K76" s="17" t="s">
        <v>1115</v>
      </c>
      <c r="L76" s="17" t="s">
        <v>1118</v>
      </c>
      <c r="M76" s="17" t="s">
        <v>36</v>
      </c>
      <c r="N76" s="14" t="s">
        <v>36</v>
      </c>
      <c r="O76" s="14" t="s">
        <v>356</v>
      </c>
      <c r="P76" s="17" t="s">
        <v>56</v>
      </c>
      <c r="Q76" s="17" t="s">
        <v>29</v>
      </c>
      <c r="R76" s="17" t="s">
        <v>38</v>
      </c>
      <c r="S76" s="19">
        <v>400</v>
      </c>
      <c r="T76" s="20" t="s">
        <v>97</v>
      </c>
      <c r="U76" s="21" t="s">
        <v>357</v>
      </c>
      <c r="V76" s="100"/>
      <c r="W76" s="100"/>
      <c r="X76" s="100"/>
      <c r="Y76" s="100"/>
      <c r="Z76" s="100"/>
    </row>
    <row r="77" spans="1:26" x14ac:dyDescent="0.25">
      <c r="A77" s="96">
        <v>74</v>
      </c>
      <c r="B77" s="15">
        <v>220173</v>
      </c>
      <c r="C77" s="15">
        <v>2022</v>
      </c>
      <c r="D77" s="15">
        <f t="shared" si="1"/>
        <v>5</v>
      </c>
      <c r="E77" s="16">
        <v>44606</v>
      </c>
      <c r="F77" s="24">
        <v>44690</v>
      </c>
      <c r="G77" s="14" t="s">
        <v>358</v>
      </c>
      <c r="H77" s="98" t="s">
        <v>359</v>
      </c>
      <c r="I77" s="20" t="s">
        <v>24</v>
      </c>
      <c r="J77" s="99">
        <v>49</v>
      </c>
      <c r="K77" s="17" t="s">
        <v>1115</v>
      </c>
      <c r="L77" s="17" t="s">
        <v>1118</v>
      </c>
      <c r="M77" s="14" t="s">
        <v>25</v>
      </c>
      <c r="N77" s="14" t="s">
        <v>26</v>
      </c>
      <c r="O77" s="17" t="s">
        <v>333</v>
      </c>
      <c r="P77" s="17" t="s">
        <v>176</v>
      </c>
      <c r="Q77" s="17" t="s">
        <v>29</v>
      </c>
      <c r="R77" s="17" t="s">
        <v>360</v>
      </c>
      <c r="S77" s="19">
        <v>5000</v>
      </c>
      <c r="T77" s="20" t="s">
        <v>46</v>
      </c>
      <c r="U77" s="21" t="s">
        <v>46</v>
      </c>
      <c r="V77" s="100"/>
      <c r="W77" s="100"/>
      <c r="X77" s="100"/>
      <c r="Y77" s="100"/>
      <c r="Z77" s="100"/>
    </row>
    <row r="78" spans="1:26" x14ac:dyDescent="0.25">
      <c r="A78" s="96">
        <v>75</v>
      </c>
      <c r="B78" s="15">
        <v>220179</v>
      </c>
      <c r="C78" s="15">
        <v>2022</v>
      </c>
      <c r="D78" s="15">
        <f t="shared" si="1"/>
        <v>5</v>
      </c>
      <c r="E78" s="16">
        <v>44654</v>
      </c>
      <c r="F78" s="24">
        <v>44706</v>
      </c>
      <c r="G78" s="14" t="s">
        <v>361</v>
      </c>
      <c r="H78" s="98" t="s">
        <v>362</v>
      </c>
      <c r="I78" s="20" t="s">
        <v>24</v>
      </c>
      <c r="J78" s="99">
        <v>68</v>
      </c>
      <c r="K78" s="17" t="s">
        <v>1115</v>
      </c>
      <c r="L78" s="17" t="s">
        <v>1118</v>
      </c>
      <c r="M78" s="14" t="s">
        <v>363</v>
      </c>
      <c r="N78" s="14" t="s">
        <v>113</v>
      </c>
      <c r="O78" s="17" t="s">
        <v>363</v>
      </c>
      <c r="P78" s="17" t="s">
        <v>28</v>
      </c>
      <c r="Q78" s="17" t="s">
        <v>29</v>
      </c>
      <c r="R78" s="17" t="s">
        <v>364</v>
      </c>
      <c r="S78" s="19">
        <v>13500</v>
      </c>
      <c r="T78" s="20" t="s">
        <v>58</v>
      </c>
      <c r="U78" s="21" t="s">
        <v>365</v>
      </c>
      <c r="V78" s="100"/>
      <c r="W78" s="100"/>
      <c r="X78" s="100"/>
      <c r="Y78" s="100"/>
      <c r="Z78" s="100"/>
    </row>
    <row r="79" spans="1:26" x14ac:dyDescent="0.25">
      <c r="A79" s="96">
        <v>76</v>
      </c>
      <c r="B79" s="15">
        <v>220181</v>
      </c>
      <c r="C79" s="15">
        <v>2022</v>
      </c>
      <c r="D79" s="15">
        <f t="shared" si="1"/>
        <v>6</v>
      </c>
      <c r="E79" s="16">
        <v>44601</v>
      </c>
      <c r="F79" s="24">
        <v>44739</v>
      </c>
      <c r="G79" s="14" t="s">
        <v>366</v>
      </c>
      <c r="H79" s="98" t="s">
        <v>367</v>
      </c>
      <c r="I79" s="20" t="s">
        <v>24</v>
      </c>
      <c r="J79" s="99">
        <v>66</v>
      </c>
      <c r="K79" s="17" t="s">
        <v>1115</v>
      </c>
      <c r="L79" s="17" t="s">
        <v>1118</v>
      </c>
      <c r="M79" s="14" t="s">
        <v>36</v>
      </c>
      <c r="N79" s="14" t="s">
        <v>36</v>
      </c>
      <c r="O79" s="17" t="s">
        <v>343</v>
      </c>
      <c r="P79" s="17" t="s">
        <v>56</v>
      </c>
      <c r="Q79" s="17" t="s">
        <v>29</v>
      </c>
      <c r="R79" s="17" t="s">
        <v>89</v>
      </c>
      <c r="S79" s="19">
        <v>4000</v>
      </c>
      <c r="T79" s="20" t="s">
        <v>212</v>
      </c>
      <c r="U79" s="21" t="s">
        <v>212</v>
      </c>
      <c r="V79" s="100"/>
      <c r="W79" s="100"/>
      <c r="X79" s="100"/>
      <c r="Y79" s="100"/>
      <c r="Z79" s="100"/>
    </row>
    <row r="80" spans="1:26" x14ac:dyDescent="0.25">
      <c r="A80" s="96">
        <v>77</v>
      </c>
      <c r="B80" s="15">
        <v>220182</v>
      </c>
      <c r="C80" s="15">
        <v>2022</v>
      </c>
      <c r="D80" s="15">
        <f t="shared" si="1"/>
        <v>4</v>
      </c>
      <c r="E80" s="16">
        <v>44652</v>
      </c>
      <c r="F80" s="24">
        <v>44677</v>
      </c>
      <c r="G80" s="14" t="s">
        <v>368</v>
      </c>
      <c r="H80" s="98" t="s">
        <v>369</v>
      </c>
      <c r="I80" s="20" t="s">
        <v>24</v>
      </c>
      <c r="J80" s="99">
        <v>74</v>
      </c>
      <c r="K80" s="17" t="s">
        <v>1116</v>
      </c>
      <c r="L80" s="17" t="s">
        <v>31</v>
      </c>
      <c r="M80" s="14" t="s">
        <v>51</v>
      </c>
      <c r="N80" s="14" t="s">
        <v>36</v>
      </c>
      <c r="O80" s="17" t="s">
        <v>370</v>
      </c>
      <c r="P80" s="17" t="s">
        <v>104</v>
      </c>
      <c r="Q80" s="17" t="s">
        <v>29</v>
      </c>
      <c r="R80" s="18" t="s">
        <v>30</v>
      </c>
      <c r="S80" s="19">
        <v>4400</v>
      </c>
      <c r="T80" s="20" t="s">
        <v>31</v>
      </c>
      <c r="U80" s="21" t="s">
        <v>181</v>
      </c>
      <c r="V80" s="100"/>
      <c r="W80" s="100"/>
      <c r="X80" s="100"/>
      <c r="Y80" s="100"/>
      <c r="Z80" s="100"/>
    </row>
    <row r="81" spans="1:26" x14ac:dyDescent="0.25">
      <c r="A81" s="96">
        <v>78</v>
      </c>
      <c r="B81" s="15">
        <v>220188</v>
      </c>
      <c r="C81" s="15">
        <v>2022</v>
      </c>
      <c r="D81" s="15">
        <f t="shared" si="1"/>
        <v>7</v>
      </c>
      <c r="E81" s="16">
        <v>44658</v>
      </c>
      <c r="F81" s="24">
        <v>44764</v>
      </c>
      <c r="G81" s="14" t="s">
        <v>371</v>
      </c>
      <c r="H81" s="98" t="s">
        <v>372</v>
      </c>
      <c r="I81" s="20" t="s">
        <v>24</v>
      </c>
      <c r="J81" s="99">
        <v>37</v>
      </c>
      <c r="K81" s="17" t="s">
        <v>1115</v>
      </c>
      <c r="L81" s="17" t="s">
        <v>1118</v>
      </c>
      <c r="M81" s="14" t="s">
        <v>318</v>
      </c>
      <c r="N81" s="14" t="s">
        <v>36</v>
      </c>
      <c r="O81" s="17" t="s">
        <v>318</v>
      </c>
      <c r="P81" s="17" t="s">
        <v>104</v>
      </c>
      <c r="Q81" s="17" t="s">
        <v>29</v>
      </c>
      <c r="R81" s="17" t="s">
        <v>320</v>
      </c>
      <c r="S81" s="19">
        <v>4000</v>
      </c>
      <c r="T81" s="20" t="s">
        <v>212</v>
      </c>
      <c r="U81" s="21" t="s">
        <v>373</v>
      </c>
      <c r="V81" s="100"/>
      <c r="W81" s="100"/>
      <c r="X81" s="100"/>
      <c r="Y81" s="100"/>
      <c r="Z81" s="100"/>
    </row>
    <row r="82" spans="1:26" x14ac:dyDescent="0.25">
      <c r="A82" s="96">
        <v>79</v>
      </c>
      <c r="B82" s="15">
        <v>220192</v>
      </c>
      <c r="C82" s="15">
        <v>2022</v>
      </c>
      <c r="D82" s="15">
        <f t="shared" si="1"/>
        <v>6</v>
      </c>
      <c r="E82" s="16">
        <v>44279</v>
      </c>
      <c r="F82" s="24">
        <v>44728</v>
      </c>
      <c r="G82" s="14" t="s">
        <v>374</v>
      </c>
      <c r="H82" s="98" t="s">
        <v>375</v>
      </c>
      <c r="I82" s="20" t="s">
        <v>24</v>
      </c>
      <c r="J82" s="99">
        <v>35</v>
      </c>
      <c r="K82" s="17" t="s">
        <v>1116</v>
      </c>
      <c r="L82" s="17" t="s">
        <v>31</v>
      </c>
      <c r="M82" s="14" t="s">
        <v>166</v>
      </c>
      <c r="N82" s="14" t="s">
        <v>167</v>
      </c>
      <c r="O82" s="17" t="s">
        <v>376</v>
      </c>
      <c r="P82" s="17" t="s">
        <v>161</v>
      </c>
      <c r="Q82" s="17" t="s">
        <v>29</v>
      </c>
      <c r="R82" s="18" t="s">
        <v>30</v>
      </c>
      <c r="S82" s="19">
        <v>4400</v>
      </c>
      <c r="T82" s="20" t="s">
        <v>31</v>
      </c>
      <c r="U82" s="21" t="s">
        <v>31</v>
      </c>
      <c r="V82" s="100"/>
      <c r="W82" s="100"/>
      <c r="X82" s="100"/>
      <c r="Y82" s="100"/>
      <c r="Z82" s="100"/>
    </row>
    <row r="83" spans="1:26" x14ac:dyDescent="0.25">
      <c r="A83" s="96">
        <v>80</v>
      </c>
      <c r="B83" s="15">
        <v>220194</v>
      </c>
      <c r="C83" s="15">
        <v>2022</v>
      </c>
      <c r="D83" s="15">
        <f t="shared" si="1"/>
        <v>6</v>
      </c>
      <c r="E83" s="16">
        <v>44661</v>
      </c>
      <c r="F83" s="24">
        <v>44742</v>
      </c>
      <c r="G83" s="14" t="s">
        <v>377</v>
      </c>
      <c r="H83" s="98" t="s">
        <v>378</v>
      </c>
      <c r="I83" s="97" t="s">
        <v>63</v>
      </c>
      <c r="J83" s="99">
        <v>64</v>
      </c>
      <c r="K83" s="17" t="s">
        <v>1115</v>
      </c>
      <c r="L83" s="17" t="s">
        <v>1118</v>
      </c>
      <c r="M83" s="14" t="s">
        <v>65</v>
      </c>
      <c r="N83" s="14" t="s">
        <v>36</v>
      </c>
      <c r="O83" s="17" t="s">
        <v>65</v>
      </c>
      <c r="P83" s="17" t="s">
        <v>56</v>
      </c>
      <c r="Q83" s="17" t="s">
        <v>29</v>
      </c>
      <c r="R83" s="17" t="s">
        <v>109</v>
      </c>
      <c r="S83" s="19">
        <v>1000</v>
      </c>
      <c r="T83" s="20" t="s">
        <v>212</v>
      </c>
      <c r="U83" s="21" t="s">
        <v>379</v>
      </c>
      <c r="V83" s="100"/>
      <c r="W83" s="100"/>
      <c r="X83" s="100"/>
      <c r="Y83" s="100"/>
      <c r="Z83" s="100"/>
    </row>
    <row r="84" spans="1:26" x14ac:dyDescent="0.25">
      <c r="A84" s="96">
        <v>81</v>
      </c>
      <c r="B84" s="15">
        <v>220196</v>
      </c>
      <c r="C84" s="15">
        <v>2022</v>
      </c>
      <c r="D84" s="15">
        <f t="shared" si="1"/>
        <v>8</v>
      </c>
      <c r="E84" s="16">
        <v>44663</v>
      </c>
      <c r="F84" s="24">
        <v>44777</v>
      </c>
      <c r="G84" s="14" t="s">
        <v>380</v>
      </c>
      <c r="H84" s="98" t="s">
        <v>381</v>
      </c>
      <c r="I84" s="20" t="s">
        <v>24</v>
      </c>
      <c r="J84" s="99">
        <v>62</v>
      </c>
      <c r="K84" s="17" t="s">
        <v>1115</v>
      </c>
      <c r="L84" s="17" t="s">
        <v>1118</v>
      </c>
      <c r="M84" s="14" t="s">
        <v>382</v>
      </c>
      <c r="N84" s="14" t="s">
        <v>148</v>
      </c>
      <c r="O84" s="17" t="s">
        <v>382</v>
      </c>
      <c r="P84" s="17" t="s">
        <v>383</v>
      </c>
      <c r="Q84" s="17" t="s">
        <v>29</v>
      </c>
      <c r="R84" s="17" t="s">
        <v>384</v>
      </c>
      <c r="S84" s="19">
        <v>3400</v>
      </c>
      <c r="T84" s="20" t="s">
        <v>212</v>
      </c>
      <c r="U84" s="21" t="s">
        <v>385</v>
      </c>
      <c r="V84" s="100"/>
      <c r="W84" s="100"/>
      <c r="X84" s="100"/>
      <c r="Y84" s="100"/>
      <c r="Z84" s="100"/>
    </row>
    <row r="85" spans="1:26" x14ac:dyDescent="0.25">
      <c r="A85" s="96">
        <v>82</v>
      </c>
      <c r="B85" s="15">
        <v>220197</v>
      </c>
      <c r="C85" s="15">
        <v>2022</v>
      </c>
      <c r="D85" s="15">
        <f t="shared" si="1"/>
        <v>9</v>
      </c>
      <c r="E85" s="16">
        <v>44662</v>
      </c>
      <c r="F85" s="24">
        <v>44825</v>
      </c>
      <c r="G85" s="14" t="s">
        <v>386</v>
      </c>
      <c r="H85" s="98" t="s">
        <v>387</v>
      </c>
      <c r="I85" s="20" t="s">
        <v>24</v>
      </c>
      <c r="J85" s="99">
        <v>28</v>
      </c>
      <c r="K85" s="17" t="s">
        <v>1115</v>
      </c>
      <c r="L85" s="17" t="s">
        <v>1118</v>
      </c>
      <c r="M85" s="14" t="s">
        <v>388</v>
      </c>
      <c r="N85" s="14" t="s">
        <v>389</v>
      </c>
      <c r="O85" s="17" t="s">
        <v>390</v>
      </c>
      <c r="P85" s="17" t="s">
        <v>176</v>
      </c>
      <c r="Q85" s="17" t="s">
        <v>29</v>
      </c>
      <c r="R85" s="17" t="s">
        <v>391</v>
      </c>
      <c r="S85" s="19">
        <v>4000</v>
      </c>
      <c r="T85" s="20" t="s">
        <v>97</v>
      </c>
      <c r="U85" s="21" t="s">
        <v>357</v>
      </c>
      <c r="V85" s="100"/>
      <c r="W85" s="100"/>
      <c r="X85" s="100"/>
      <c r="Y85" s="100"/>
      <c r="Z85" s="100"/>
    </row>
    <row r="86" spans="1:26" x14ac:dyDescent="0.25">
      <c r="A86" s="96">
        <v>83</v>
      </c>
      <c r="B86" s="15">
        <v>220206</v>
      </c>
      <c r="C86" s="15">
        <v>2022</v>
      </c>
      <c r="D86" s="15">
        <f t="shared" si="1"/>
        <v>5</v>
      </c>
      <c r="E86" s="16">
        <v>44639</v>
      </c>
      <c r="F86" s="24">
        <v>44705</v>
      </c>
      <c r="G86" s="14" t="s">
        <v>392</v>
      </c>
      <c r="H86" s="98" t="s">
        <v>393</v>
      </c>
      <c r="I86" s="20" t="s">
        <v>24</v>
      </c>
      <c r="J86" s="99">
        <v>38</v>
      </c>
      <c r="K86" s="17" t="s">
        <v>1116</v>
      </c>
      <c r="L86" s="17" t="s">
        <v>31</v>
      </c>
      <c r="M86" s="14" t="s">
        <v>166</v>
      </c>
      <c r="N86" s="14" t="s">
        <v>167</v>
      </c>
      <c r="O86" s="17" t="s">
        <v>394</v>
      </c>
      <c r="P86" s="17" t="s">
        <v>28</v>
      </c>
      <c r="Q86" s="17" t="s">
        <v>29</v>
      </c>
      <c r="R86" s="18" t="s">
        <v>30</v>
      </c>
      <c r="S86" s="19">
        <v>4600</v>
      </c>
      <c r="T86" s="20" t="s">
        <v>31</v>
      </c>
      <c r="U86" s="21" t="s">
        <v>31</v>
      </c>
      <c r="V86" s="100"/>
      <c r="W86" s="100"/>
      <c r="X86" s="100"/>
      <c r="Y86" s="100"/>
      <c r="Z86" s="100"/>
    </row>
    <row r="87" spans="1:26" x14ac:dyDescent="0.25">
      <c r="A87" s="96">
        <v>84</v>
      </c>
      <c r="B87" s="15">
        <v>220208</v>
      </c>
      <c r="C87" s="15">
        <v>2022</v>
      </c>
      <c r="D87" s="15">
        <f t="shared" si="1"/>
        <v>5</v>
      </c>
      <c r="E87" s="16">
        <v>44665</v>
      </c>
      <c r="F87" s="24">
        <v>44690</v>
      </c>
      <c r="G87" s="14" t="s">
        <v>395</v>
      </c>
      <c r="H87" s="98" t="s">
        <v>396</v>
      </c>
      <c r="I87" s="20" t="s">
        <v>24</v>
      </c>
      <c r="J87" s="99">
        <v>56</v>
      </c>
      <c r="K87" s="17" t="s">
        <v>1115</v>
      </c>
      <c r="L87" s="17" t="s">
        <v>1118</v>
      </c>
      <c r="M87" s="14" t="s">
        <v>153</v>
      </c>
      <c r="N87" s="14" t="s">
        <v>153</v>
      </c>
      <c r="O87" s="17" t="s">
        <v>397</v>
      </c>
      <c r="P87" s="17" t="s">
        <v>161</v>
      </c>
      <c r="Q87" s="17" t="s">
        <v>29</v>
      </c>
      <c r="R87" s="17" t="s">
        <v>398</v>
      </c>
      <c r="S87" s="19">
        <v>3500</v>
      </c>
      <c r="T87" s="20" t="s">
        <v>46</v>
      </c>
      <c r="U87" s="21" t="s">
        <v>46</v>
      </c>
      <c r="V87" s="100"/>
      <c r="W87" s="100"/>
      <c r="X87" s="100"/>
      <c r="Y87" s="100"/>
      <c r="Z87" s="100"/>
    </row>
    <row r="88" spans="1:26" x14ac:dyDescent="0.25">
      <c r="A88" s="96">
        <v>85</v>
      </c>
      <c r="B88" s="15">
        <v>220210</v>
      </c>
      <c r="C88" s="15">
        <v>2022</v>
      </c>
      <c r="D88" s="15">
        <f t="shared" si="1"/>
        <v>5</v>
      </c>
      <c r="E88" s="16">
        <v>44671</v>
      </c>
      <c r="F88" s="24">
        <v>44706</v>
      </c>
      <c r="G88" s="14" t="s">
        <v>399</v>
      </c>
      <c r="H88" s="98" t="s">
        <v>400</v>
      </c>
      <c r="I88" s="20" t="s">
        <v>24</v>
      </c>
      <c r="J88" s="99">
        <v>33</v>
      </c>
      <c r="K88" s="17" t="s">
        <v>1115</v>
      </c>
      <c r="L88" s="17" t="s">
        <v>1118</v>
      </c>
      <c r="M88" s="14" t="s">
        <v>280</v>
      </c>
      <c r="N88" s="14" t="s">
        <v>280</v>
      </c>
      <c r="O88" s="17" t="s">
        <v>401</v>
      </c>
      <c r="P88" s="17" t="s">
        <v>28</v>
      </c>
      <c r="Q88" s="17" t="s">
        <v>29</v>
      </c>
      <c r="R88" s="17" t="s">
        <v>109</v>
      </c>
      <c r="S88" s="19">
        <v>600</v>
      </c>
      <c r="T88" s="20" t="s">
        <v>58</v>
      </c>
      <c r="U88" s="21" t="s">
        <v>58</v>
      </c>
      <c r="V88" s="100"/>
      <c r="W88" s="100"/>
      <c r="X88" s="100"/>
      <c r="Y88" s="100"/>
      <c r="Z88" s="100"/>
    </row>
    <row r="89" spans="1:26" x14ac:dyDescent="0.25">
      <c r="A89" s="96">
        <v>86</v>
      </c>
      <c r="B89" s="15">
        <v>220215</v>
      </c>
      <c r="C89" s="15">
        <v>2022</v>
      </c>
      <c r="D89" s="15">
        <f t="shared" si="1"/>
        <v>10</v>
      </c>
      <c r="E89" s="16">
        <v>44672</v>
      </c>
      <c r="F89" s="24">
        <v>44862</v>
      </c>
      <c r="G89" s="14" t="s">
        <v>402</v>
      </c>
      <c r="H89" s="98" t="s">
        <v>403</v>
      </c>
      <c r="I89" s="97" t="s">
        <v>63</v>
      </c>
      <c r="J89" s="99">
        <v>20</v>
      </c>
      <c r="K89" s="17" t="s">
        <v>1115</v>
      </c>
      <c r="L89" s="17" t="s">
        <v>1118</v>
      </c>
      <c r="M89" s="14" t="s">
        <v>134</v>
      </c>
      <c r="N89" s="14" t="s">
        <v>135</v>
      </c>
      <c r="O89" s="17" t="s">
        <v>404</v>
      </c>
      <c r="P89" s="17" t="s">
        <v>56</v>
      </c>
      <c r="Q89" s="17" t="s">
        <v>29</v>
      </c>
      <c r="R89" s="17" t="s">
        <v>405</v>
      </c>
      <c r="S89" s="19">
        <v>12000</v>
      </c>
      <c r="T89" s="20" t="s">
        <v>46</v>
      </c>
      <c r="U89" s="21" t="s">
        <v>406</v>
      </c>
      <c r="V89" s="100"/>
      <c r="W89" s="100"/>
      <c r="X89" s="100"/>
      <c r="Y89" s="100"/>
      <c r="Z89" s="100"/>
    </row>
    <row r="90" spans="1:26" x14ac:dyDescent="0.25">
      <c r="A90" s="96">
        <v>87</v>
      </c>
      <c r="B90" s="15">
        <v>220217</v>
      </c>
      <c r="C90" s="15">
        <v>2022</v>
      </c>
      <c r="D90" s="15">
        <f t="shared" si="1"/>
        <v>7</v>
      </c>
      <c r="E90" s="16">
        <v>44315</v>
      </c>
      <c r="F90" s="24">
        <v>44756</v>
      </c>
      <c r="G90" s="14" t="s">
        <v>407</v>
      </c>
      <c r="H90" s="98" t="s">
        <v>408</v>
      </c>
      <c r="I90" s="20" t="s">
        <v>24</v>
      </c>
      <c r="J90" s="99">
        <v>36</v>
      </c>
      <c r="K90" s="17" t="s">
        <v>1116</v>
      </c>
      <c r="L90" s="17" t="s">
        <v>31</v>
      </c>
      <c r="M90" s="14" t="s">
        <v>409</v>
      </c>
      <c r="N90" s="14" t="s">
        <v>148</v>
      </c>
      <c r="O90" s="18" t="s">
        <v>410</v>
      </c>
      <c r="P90" s="17" t="s">
        <v>28</v>
      </c>
      <c r="Q90" s="17" t="s">
        <v>29</v>
      </c>
      <c r="R90" s="18" t="s">
        <v>30</v>
      </c>
      <c r="S90" s="19">
        <v>4200</v>
      </c>
      <c r="T90" s="20" t="s">
        <v>31</v>
      </c>
      <c r="U90" s="23" t="s">
        <v>31</v>
      </c>
      <c r="V90" s="100"/>
      <c r="W90" s="100"/>
      <c r="X90" s="100"/>
      <c r="Y90" s="100"/>
      <c r="Z90" s="100"/>
    </row>
    <row r="91" spans="1:26" x14ac:dyDescent="0.25">
      <c r="A91" s="96">
        <v>88</v>
      </c>
      <c r="B91" s="15">
        <v>220231</v>
      </c>
      <c r="C91" s="15">
        <v>2022</v>
      </c>
      <c r="D91" s="15">
        <f t="shared" si="1"/>
        <v>8</v>
      </c>
      <c r="E91" s="16">
        <v>44676</v>
      </c>
      <c r="F91" s="24">
        <v>44804</v>
      </c>
      <c r="G91" s="14" t="s">
        <v>411</v>
      </c>
      <c r="H91" s="98" t="s">
        <v>412</v>
      </c>
      <c r="I91" s="20" t="s">
        <v>24</v>
      </c>
      <c r="J91" s="99">
        <v>29</v>
      </c>
      <c r="K91" s="17" t="s">
        <v>1115</v>
      </c>
      <c r="L91" s="17" t="s">
        <v>1118</v>
      </c>
      <c r="M91" s="14" t="s">
        <v>25</v>
      </c>
      <c r="N91" s="14" t="s">
        <v>26</v>
      </c>
      <c r="O91" s="17" t="s">
        <v>413</v>
      </c>
      <c r="P91" s="17" t="s">
        <v>28</v>
      </c>
      <c r="Q91" s="17" t="s">
        <v>29</v>
      </c>
      <c r="R91" s="17" t="s">
        <v>131</v>
      </c>
      <c r="S91" s="19">
        <v>6000</v>
      </c>
      <c r="T91" s="20" t="s">
        <v>58</v>
      </c>
      <c r="U91" s="21" t="s">
        <v>58</v>
      </c>
      <c r="V91" s="100"/>
      <c r="W91" s="100"/>
      <c r="X91" s="100"/>
      <c r="Y91" s="100"/>
      <c r="Z91" s="100"/>
    </row>
    <row r="92" spans="1:26" x14ac:dyDescent="0.25">
      <c r="A92" s="96">
        <v>89</v>
      </c>
      <c r="B92" s="15">
        <v>220234</v>
      </c>
      <c r="C92" s="15">
        <v>2022</v>
      </c>
      <c r="D92" s="15">
        <f t="shared" si="1"/>
        <v>8</v>
      </c>
      <c r="E92" s="16">
        <v>44677</v>
      </c>
      <c r="F92" s="24">
        <v>44774</v>
      </c>
      <c r="G92" s="14" t="s">
        <v>414</v>
      </c>
      <c r="H92" s="98" t="s">
        <v>415</v>
      </c>
      <c r="I92" s="20" t="s">
        <v>24</v>
      </c>
      <c r="J92" s="99">
        <v>30</v>
      </c>
      <c r="K92" s="17" t="s">
        <v>1115</v>
      </c>
      <c r="L92" s="17" t="s">
        <v>1118</v>
      </c>
      <c r="M92" s="14" t="s">
        <v>83</v>
      </c>
      <c r="N92" s="14" t="s">
        <v>36</v>
      </c>
      <c r="O92" s="17" t="s">
        <v>416</v>
      </c>
      <c r="P92" s="17" t="s">
        <v>176</v>
      </c>
      <c r="Q92" s="17" t="s">
        <v>29</v>
      </c>
      <c r="R92" s="17" t="s">
        <v>417</v>
      </c>
      <c r="S92" s="19">
        <v>5000</v>
      </c>
      <c r="T92" s="20" t="s">
        <v>212</v>
      </c>
      <c r="U92" s="21" t="s">
        <v>418</v>
      </c>
      <c r="V92" s="100"/>
      <c r="W92" s="100"/>
      <c r="X92" s="100"/>
      <c r="Y92" s="100"/>
      <c r="Z92" s="100"/>
    </row>
    <row r="93" spans="1:26" x14ac:dyDescent="0.25">
      <c r="A93" s="96">
        <v>90</v>
      </c>
      <c r="B93" s="15">
        <v>220235</v>
      </c>
      <c r="C93" s="15">
        <v>2022</v>
      </c>
      <c r="D93" s="15">
        <f t="shared" si="1"/>
        <v>5</v>
      </c>
      <c r="E93" s="16">
        <v>44671</v>
      </c>
      <c r="F93" s="24">
        <v>44706</v>
      </c>
      <c r="G93" s="14" t="s">
        <v>419</v>
      </c>
      <c r="H93" s="98" t="s">
        <v>420</v>
      </c>
      <c r="I93" s="20" t="s">
        <v>24</v>
      </c>
      <c r="J93" s="99">
        <v>41</v>
      </c>
      <c r="K93" s="17" t="s">
        <v>1115</v>
      </c>
      <c r="L93" s="17" t="s">
        <v>1118</v>
      </c>
      <c r="M93" s="14" t="s">
        <v>51</v>
      </c>
      <c r="N93" s="14" t="s">
        <v>36</v>
      </c>
      <c r="O93" s="17" t="s">
        <v>370</v>
      </c>
      <c r="P93" s="17" t="s">
        <v>293</v>
      </c>
      <c r="Q93" s="17" t="s">
        <v>29</v>
      </c>
      <c r="R93" s="17" t="s">
        <v>141</v>
      </c>
      <c r="S93" s="19">
        <v>2100</v>
      </c>
      <c r="T93" s="20" t="s">
        <v>58</v>
      </c>
      <c r="U93" s="21" t="s">
        <v>58</v>
      </c>
      <c r="V93" s="100"/>
      <c r="W93" s="100"/>
      <c r="X93" s="100"/>
      <c r="Y93" s="100"/>
      <c r="Z93" s="100"/>
    </row>
    <row r="94" spans="1:26" x14ac:dyDescent="0.25">
      <c r="A94" s="96">
        <v>91</v>
      </c>
      <c r="B94" s="15">
        <v>220252</v>
      </c>
      <c r="C94" s="15">
        <v>2022</v>
      </c>
      <c r="D94" s="15">
        <f t="shared" si="1"/>
        <v>8</v>
      </c>
      <c r="E94" s="16">
        <v>44682</v>
      </c>
      <c r="F94" s="24">
        <v>44778</v>
      </c>
      <c r="G94" s="14" t="s">
        <v>421</v>
      </c>
      <c r="H94" s="98" t="s">
        <v>422</v>
      </c>
      <c r="I94" s="20" t="s">
        <v>24</v>
      </c>
      <c r="J94" s="99">
        <v>70</v>
      </c>
      <c r="K94" s="17" t="s">
        <v>1117</v>
      </c>
      <c r="L94" s="17" t="s">
        <v>31</v>
      </c>
      <c r="M94" s="14" t="s">
        <v>167</v>
      </c>
      <c r="N94" s="14" t="s">
        <v>167</v>
      </c>
      <c r="O94" s="17" t="s">
        <v>167</v>
      </c>
      <c r="P94" s="17" t="s">
        <v>56</v>
      </c>
      <c r="Q94" s="17" t="s">
        <v>29</v>
      </c>
      <c r="R94" s="18" t="s">
        <v>30</v>
      </c>
      <c r="S94" s="19">
        <v>4000</v>
      </c>
      <c r="T94" s="20" t="s">
        <v>31</v>
      </c>
      <c r="U94" s="21" t="s">
        <v>31</v>
      </c>
      <c r="V94" s="100"/>
      <c r="W94" s="100"/>
      <c r="X94" s="100"/>
      <c r="Y94" s="100"/>
      <c r="Z94" s="100"/>
    </row>
    <row r="95" spans="1:26" x14ac:dyDescent="0.25">
      <c r="A95" s="96">
        <v>92</v>
      </c>
      <c r="B95" s="15">
        <v>220255</v>
      </c>
      <c r="C95" s="15">
        <v>2022</v>
      </c>
      <c r="D95" s="15">
        <f t="shared" si="1"/>
        <v>7</v>
      </c>
      <c r="E95" s="16">
        <v>44676</v>
      </c>
      <c r="F95" s="24">
        <v>44763</v>
      </c>
      <c r="G95" s="14" t="s">
        <v>423</v>
      </c>
      <c r="H95" s="98" t="s">
        <v>424</v>
      </c>
      <c r="I95" s="20" t="s">
        <v>24</v>
      </c>
      <c r="J95" s="99">
        <v>74</v>
      </c>
      <c r="K95" s="17" t="s">
        <v>1116</v>
      </c>
      <c r="L95" s="17" t="s">
        <v>31</v>
      </c>
      <c r="M95" s="14" t="s">
        <v>152</v>
      </c>
      <c r="N95" s="14" t="s">
        <v>153</v>
      </c>
      <c r="O95" s="17" t="s">
        <v>425</v>
      </c>
      <c r="P95" s="17" t="s">
        <v>28</v>
      </c>
      <c r="Q95" s="17" t="s">
        <v>29</v>
      </c>
      <c r="R95" s="18" t="s">
        <v>30</v>
      </c>
      <c r="S95" s="19">
        <v>4600</v>
      </c>
      <c r="T95" s="20" t="s">
        <v>31</v>
      </c>
      <c r="U95" s="21" t="s">
        <v>31</v>
      </c>
      <c r="V95" s="100"/>
      <c r="W95" s="100"/>
      <c r="X95" s="100"/>
      <c r="Y95" s="100"/>
      <c r="Z95" s="100"/>
    </row>
    <row r="96" spans="1:26" x14ac:dyDescent="0.25">
      <c r="A96" s="96">
        <v>93</v>
      </c>
      <c r="B96" s="15">
        <v>220258</v>
      </c>
      <c r="C96" s="15">
        <v>2022</v>
      </c>
      <c r="D96" s="15">
        <f t="shared" si="1"/>
        <v>6</v>
      </c>
      <c r="E96" s="16">
        <v>44568</v>
      </c>
      <c r="F96" s="24">
        <v>44729</v>
      </c>
      <c r="G96" s="14" t="s">
        <v>426</v>
      </c>
      <c r="H96" s="98" t="s">
        <v>427</v>
      </c>
      <c r="I96" s="20" t="s">
        <v>24</v>
      </c>
      <c r="J96" s="99">
        <v>32</v>
      </c>
      <c r="K96" s="17" t="s">
        <v>1115</v>
      </c>
      <c r="L96" s="17" t="s">
        <v>1118</v>
      </c>
      <c r="M96" s="14" t="s">
        <v>51</v>
      </c>
      <c r="N96" s="14" t="s">
        <v>36</v>
      </c>
      <c r="O96" s="17" t="s">
        <v>210</v>
      </c>
      <c r="P96" s="17" t="s">
        <v>71</v>
      </c>
      <c r="Q96" s="17" t="s">
        <v>29</v>
      </c>
      <c r="R96" s="17" t="s">
        <v>353</v>
      </c>
      <c r="S96" s="19">
        <v>3000</v>
      </c>
      <c r="T96" s="20" t="s">
        <v>162</v>
      </c>
      <c r="U96" s="21" t="s">
        <v>163</v>
      </c>
      <c r="V96" s="100"/>
      <c r="W96" s="100"/>
      <c r="X96" s="100"/>
      <c r="Y96" s="100"/>
      <c r="Z96" s="100"/>
    </row>
    <row r="97" spans="1:26" x14ac:dyDescent="0.25">
      <c r="A97" s="96">
        <v>94</v>
      </c>
      <c r="B97" s="15">
        <v>220263</v>
      </c>
      <c r="C97" s="15">
        <v>2022</v>
      </c>
      <c r="D97" s="15">
        <f t="shared" si="1"/>
        <v>6</v>
      </c>
      <c r="E97" s="16">
        <v>44689</v>
      </c>
      <c r="F97" s="24">
        <v>44733</v>
      </c>
      <c r="G97" s="14" t="s">
        <v>428</v>
      </c>
      <c r="H97" s="98" t="s">
        <v>429</v>
      </c>
      <c r="I97" s="20" t="s">
        <v>24</v>
      </c>
      <c r="J97" s="99">
        <v>19</v>
      </c>
      <c r="K97" s="17" t="s">
        <v>1115</v>
      </c>
      <c r="L97" s="17" t="s">
        <v>1118</v>
      </c>
      <c r="M97" s="14" t="s">
        <v>430</v>
      </c>
      <c r="N97" s="14" t="s">
        <v>36</v>
      </c>
      <c r="O97" s="17" t="s">
        <v>65</v>
      </c>
      <c r="P97" s="17" t="s">
        <v>104</v>
      </c>
      <c r="Q97" s="17" t="s">
        <v>29</v>
      </c>
      <c r="R97" s="17" t="s">
        <v>109</v>
      </c>
      <c r="S97" s="19">
        <v>11000</v>
      </c>
      <c r="T97" s="20" t="s">
        <v>58</v>
      </c>
      <c r="U97" s="21" t="s">
        <v>431</v>
      </c>
      <c r="V97" s="100"/>
      <c r="W97" s="100"/>
      <c r="X97" s="100"/>
      <c r="Y97" s="100"/>
      <c r="Z97" s="100"/>
    </row>
    <row r="98" spans="1:26" x14ac:dyDescent="0.25">
      <c r="A98" s="96">
        <v>95</v>
      </c>
      <c r="B98" s="15">
        <v>220277</v>
      </c>
      <c r="C98" s="15">
        <v>2022</v>
      </c>
      <c r="D98" s="15">
        <f t="shared" si="1"/>
        <v>7</v>
      </c>
      <c r="E98" s="16">
        <v>44693</v>
      </c>
      <c r="F98" s="24">
        <v>44749</v>
      </c>
      <c r="G98" s="14" t="s">
        <v>432</v>
      </c>
      <c r="H98" s="98" t="s">
        <v>433</v>
      </c>
      <c r="I98" s="97" t="s">
        <v>63</v>
      </c>
      <c r="J98" s="99">
        <v>67</v>
      </c>
      <c r="K98" s="17" t="s">
        <v>1115</v>
      </c>
      <c r="L98" s="17" t="s">
        <v>1118</v>
      </c>
      <c r="M98" s="14" t="s">
        <v>434</v>
      </c>
      <c r="N98" s="14" t="s">
        <v>123</v>
      </c>
      <c r="O98" s="17" t="s">
        <v>435</v>
      </c>
      <c r="P98" s="17" t="s">
        <v>104</v>
      </c>
      <c r="Q98" s="17" t="s">
        <v>29</v>
      </c>
      <c r="R98" s="17" t="s">
        <v>436</v>
      </c>
      <c r="S98" s="19">
        <v>2000</v>
      </c>
      <c r="T98" s="20" t="s">
        <v>212</v>
      </c>
      <c r="U98" s="21" t="s">
        <v>437</v>
      </c>
      <c r="V98" s="100"/>
      <c r="W98" s="100"/>
      <c r="X98" s="100"/>
      <c r="Y98" s="100"/>
      <c r="Z98" s="100"/>
    </row>
    <row r="99" spans="1:26" x14ac:dyDescent="0.25">
      <c r="A99" s="96">
        <v>96</v>
      </c>
      <c r="B99" s="15">
        <v>220279</v>
      </c>
      <c r="C99" s="15">
        <v>2022</v>
      </c>
      <c r="D99" s="15">
        <f t="shared" si="1"/>
        <v>6</v>
      </c>
      <c r="E99" s="16">
        <v>44689</v>
      </c>
      <c r="F99" s="24">
        <v>44727</v>
      </c>
      <c r="G99" s="14" t="s">
        <v>438</v>
      </c>
      <c r="H99" s="98" t="s">
        <v>439</v>
      </c>
      <c r="I99" s="20" t="s">
        <v>24</v>
      </c>
      <c r="J99" s="99">
        <v>28</v>
      </c>
      <c r="K99" s="17" t="s">
        <v>1115</v>
      </c>
      <c r="L99" s="17" t="s">
        <v>1118</v>
      </c>
      <c r="M99" s="14" t="s">
        <v>283</v>
      </c>
      <c r="N99" s="14" t="s">
        <v>284</v>
      </c>
      <c r="O99" s="17" t="s">
        <v>283</v>
      </c>
      <c r="P99" s="17" t="s">
        <v>28</v>
      </c>
      <c r="Q99" s="17" t="s">
        <v>29</v>
      </c>
      <c r="R99" s="17" t="s">
        <v>286</v>
      </c>
      <c r="S99" s="19">
        <v>1000</v>
      </c>
      <c r="T99" s="20" t="s">
        <v>58</v>
      </c>
      <c r="U99" s="21" t="s">
        <v>440</v>
      </c>
      <c r="V99" s="100"/>
      <c r="W99" s="100"/>
      <c r="X99" s="100"/>
      <c r="Y99" s="100"/>
      <c r="Z99" s="100"/>
    </row>
    <row r="100" spans="1:26" x14ac:dyDescent="0.25">
      <c r="A100" s="96">
        <v>97</v>
      </c>
      <c r="B100" s="15">
        <v>220280</v>
      </c>
      <c r="C100" s="15">
        <v>2022</v>
      </c>
      <c r="D100" s="15">
        <f t="shared" si="1"/>
        <v>7</v>
      </c>
      <c r="E100" s="16">
        <v>44683</v>
      </c>
      <c r="F100" s="24">
        <v>44761</v>
      </c>
      <c r="G100" s="14" t="s">
        <v>441</v>
      </c>
      <c r="H100" s="98" t="s">
        <v>442</v>
      </c>
      <c r="I100" s="97" t="s">
        <v>63</v>
      </c>
      <c r="J100" s="99">
        <v>40</v>
      </c>
      <c r="K100" s="17" t="s">
        <v>1115</v>
      </c>
      <c r="L100" s="17" t="s">
        <v>1118</v>
      </c>
      <c r="M100" s="14" t="s">
        <v>51</v>
      </c>
      <c r="N100" s="14" t="s">
        <v>36</v>
      </c>
      <c r="O100" s="17" t="s">
        <v>443</v>
      </c>
      <c r="P100" s="17" t="s">
        <v>176</v>
      </c>
      <c r="Q100" s="17" t="s">
        <v>29</v>
      </c>
      <c r="R100" s="17" t="s">
        <v>141</v>
      </c>
      <c r="S100" s="19">
        <v>1000</v>
      </c>
      <c r="T100" s="20" t="s">
        <v>58</v>
      </c>
      <c r="U100" s="21" t="s">
        <v>444</v>
      </c>
      <c r="V100" s="100"/>
      <c r="W100" s="100"/>
      <c r="X100" s="100"/>
      <c r="Y100" s="100"/>
      <c r="Z100" s="100"/>
    </row>
    <row r="101" spans="1:26" x14ac:dyDescent="0.25">
      <c r="A101" s="96">
        <v>98</v>
      </c>
      <c r="B101" s="15">
        <v>220286</v>
      </c>
      <c r="C101" s="15">
        <v>2022</v>
      </c>
      <c r="D101" s="15">
        <f t="shared" si="1"/>
        <v>6</v>
      </c>
      <c r="E101" s="16">
        <v>44697</v>
      </c>
      <c r="F101" s="24">
        <v>44727</v>
      </c>
      <c r="G101" s="14" t="s">
        <v>445</v>
      </c>
      <c r="H101" s="98" t="s">
        <v>446</v>
      </c>
      <c r="I101" s="20" t="s">
        <v>24</v>
      </c>
      <c r="J101" s="99">
        <v>76</v>
      </c>
      <c r="K101" s="17" t="s">
        <v>1115</v>
      </c>
      <c r="L101" s="17" t="s">
        <v>1118</v>
      </c>
      <c r="M101" s="25" t="s">
        <v>447</v>
      </c>
      <c r="N101" s="25" t="s">
        <v>36</v>
      </c>
      <c r="O101" s="20" t="s">
        <v>447</v>
      </c>
      <c r="P101" s="17" t="s">
        <v>104</v>
      </c>
      <c r="Q101" s="20" t="s">
        <v>29</v>
      </c>
      <c r="R101" s="17" t="s">
        <v>204</v>
      </c>
      <c r="S101" s="26">
        <v>1000</v>
      </c>
      <c r="T101" s="20" t="s">
        <v>58</v>
      </c>
      <c r="U101" s="23" t="s">
        <v>448</v>
      </c>
      <c r="V101" s="100"/>
      <c r="W101" s="100"/>
      <c r="X101" s="100"/>
      <c r="Y101" s="100"/>
      <c r="Z101" s="100"/>
    </row>
    <row r="102" spans="1:26" x14ac:dyDescent="0.25">
      <c r="A102" s="96">
        <v>99</v>
      </c>
      <c r="B102" s="15">
        <v>220288</v>
      </c>
      <c r="C102" s="15">
        <v>2022</v>
      </c>
      <c r="D102" s="15">
        <f t="shared" si="1"/>
        <v>7</v>
      </c>
      <c r="E102" s="16">
        <v>44683</v>
      </c>
      <c r="F102" s="24">
        <v>44769</v>
      </c>
      <c r="G102" s="14" t="s">
        <v>449</v>
      </c>
      <c r="H102" s="98" t="s">
        <v>450</v>
      </c>
      <c r="I102" s="20" t="s">
        <v>24</v>
      </c>
      <c r="J102" s="99">
        <v>32</v>
      </c>
      <c r="K102" s="17" t="s">
        <v>1116</v>
      </c>
      <c r="L102" s="17" t="s">
        <v>31</v>
      </c>
      <c r="M102" s="25" t="s">
        <v>266</v>
      </c>
      <c r="N102" s="14" t="s">
        <v>167</v>
      </c>
      <c r="O102" s="20" t="s">
        <v>168</v>
      </c>
      <c r="P102" s="17" t="s">
        <v>28</v>
      </c>
      <c r="Q102" s="20" t="s">
        <v>29</v>
      </c>
      <c r="R102" s="18" t="s">
        <v>30</v>
      </c>
      <c r="S102" s="26">
        <v>4600</v>
      </c>
      <c r="T102" s="20" t="s">
        <v>31</v>
      </c>
      <c r="U102" s="23" t="s">
        <v>181</v>
      </c>
      <c r="V102" s="100"/>
      <c r="W102" s="100"/>
      <c r="X102" s="100"/>
      <c r="Y102" s="100"/>
      <c r="Z102" s="100"/>
    </row>
    <row r="103" spans="1:26" x14ac:dyDescent="0.25">
      <c r="A103" s="96">
        <v>100</v>
      </c>
      <c r="B103" s="15">
        <v>220289</v>
      </c>
      <c r="C103" s="15">
        <v>2022</v>
      </c>
      <c r="D103" s="15">
        <f t="shared" si="1"/>
        <v>8</v>
      </c>
      <c r="E103" s="16">
        <v>44623</v>
      </c>
      <c r="F103" s="24">
        <v>44792</v>
      </c>
      <c r="G103" s="14" t="s">
        <v>451</v>
      </c>
      <c r="H103" s="98" t="s">
        <v>452</v>
      </c>
      <c r="I103" s="20" t="s">
        <v>24</v>
      </c>
      <c r="J103" s="99">
        <v>51</v>
      </c>
      <c r="K103" s="17" t="s">
        <v>1116</v>
      </c>
      <c r="L103" s="17" t="s">
        <v>31</v>
      </c>
      <c r="M103" s="25" t="s">
        <v>453</v>
      </c>
      <c r="N103" s="14" t="s">
        <v>167</v>
      </c>
      <c r="O103" s="20" t="s">
        <v>454</v>
      </c>
      <c r="P103" s="20" t="s">
        <v>161</v>
      </c>
      <c r="Q103" s="20" t="s">
        <v>29</v>
      </c>
      <c r="R103" s="18" t="s">
        <v>30</v>
      </c>
      <c r="S103" s="26">
        <v>4600</v>
      </c>
      <c r="T103" s="20" t="s">
        <v>31</v>
      </c>
      <c r="U103" s="23" t="s">
        <v>181</v>
      </c>
      <c r="V103" s="100"/>
      <c r="W103" s="100"/>
      <c r="X103" s="100"/>
      <c r="Y103" s="100"/>
      <c r="Z103" s="100"/>
    </row>
    <row r="104" spans="1:26" x14ac:dyDescent="0.25">
      <c r="A104" s="96">
        <v>101</v>
      </c>
      <c r="B104" s="15">
        <v>220291</v>
      </c>
      <c r="C104" s="15">
        <v>2022</v>
      </c>
      <c r="D104" s="15">
        <f t="shared" si="1"/>
        <v>7</v>
      </c>
      <c r="E104" s="16">
        <v>44703</v>
      </c>
      <c r="F104" s="24">
        <v>44754</v>
      </c>
      <c r="G104" s="14" t="s">
        <v>455</v>
      </c>
      <c r="H104" s="98" t="s">
        <v>456</v>
      </c>
      <c r="I104" s="20" t="s">
        <v>63</v>
      </c>
      <c r="J104" s="99">
        <v>68</v>
      </c>
      <c r="K104" s="17" t="s">
        <v>1115</v>
      </c>
      <c r="L104" s="17" t="s">
        <v>1118</v>
      </c>
      <c r="M104" s="25" t="s">
        <v>304</v>
      </c>
      <c r="N104" s="14" t="s">
        <v>36</v>
      </c>
      <c r="O104" s="20" t="s">
        <v>304</v>
      </c>
      <c r="P104" s="17" t="s">
        <v>104</v>
      </c>
      <c r="Q104" s="20" t="s">
        <v>29</v>
      </c>
      <c r="R104" s="17" t="s">
        <v>457</v>
      </c>
      <c r="S104" s="26">
        <v>300</v>
      </c>
      <c r="T104" s="20" t="s">
        <v>58</v>
      </c>
      <c r="U104" s="23" t="s">
        <v>458</v>
      </c>
      <c r="V104" s="100"/>
      <c r="W104" s="100"/>
      <c r="X104" s="100"/>
      <c r="Y104" s="100"/>
      <c r="Z104" s="100"/>
    </row>
    <row r="105" spans="1:26" x14ac:dyDescent="0.25">
      <c r="A105" s="96">
        <v>102</v>
      </c>
      <c r="B105" s="15">
        <v>220295</v>
      </c>
      <c r="C105" s="15">
        <v>2022</v>
      </c>
      <c r="D105" s="15">
        <f t="shared" si="1"/>
        <v>6</v>
      </c>
      <c r="E105" s="16">
        <v>44584</v>
      </c>
      <c r="F105" s="24">
        <v>44728</v>
      </c>
      <c r="G105" s="14" t="s">
        <v>459</v>
      </c>
      <c r="H105" s="98" t="s">
        <v>460</v>
      </c>
      <c r="I105" s="20" t="s">
        <v>24</v>
      </c>
      <c r="J105" s="99">
        <v>33</v>
      </c>
      <c r="K105" s="17" t="s">
        <v>1116</v>
      </c>
      <c r="L105" s="17" t="s">
        <v>31</v>
      </c>
      <c r="M105" s="14" t="s">
        <v>152</v>
      </c>
      <c r="N105" s="14" t="s">
        <v>153</v>
      </c>
      <c r="O105" s="17" t="s">
        <v>461</v>
      </c>
      <c r="P105" s="17" t="s">
        <v>28</v>
      </c>
      <c r="Q105" s="17" t="s">
        <v>29</v>
      </c>
      <c r="R105" s="18" t="s">
        <v>30</v>
      </c>
      <c r="S105" s="19">
        <v>4600</v>
      </c>
      <c r="T105" s="20" t="s">
        <v>31</v>
      </c>
      <c r="U105" s="21" t="s">
        <v>31</v>
      </c>
      <c r="V105" s="100"/>
      <c r="W105" s="100"/>
      <c r="X105" s="100"/>
      <c r="Y105" s="100"/>
      <c r="Z105" s="100"/>
    </row>
    <row r="106" spans="1:26" x14ac:dyDescent="0.25">
      <c r="A106" s="96">
        <v>103</v>
      </c>
      <c r="B106" s="15">
        <v>220297</v>
      </c>
      <c r="C106" s="15">
        <v>2022</v>
      </c>
      <c r="D106" s="15">
        <f t="shared" si="1"/>
        <v>11</v>
      </c>
      <c r="E106" s="16">
        <v>44704</v>
      </c>
      <c r="F106" s="24">
        <v>44876</v>
      </c>
      <c r="G106" s="14" t="s">
        <v>462</v>
      </c>
      <c r="H106" s="98" t="s">
        <v>463</v>
      </c>
      <c r="I106" s="20" t="s">
        <v>24</v>
      </c>
      <c r="J106" s="99">
        <v>21</v>
      </c>
      <c r="K106" s="17" t="s">
        <v>1115</v>
      </c>
      <c r="L106" s="17" t="s">
        <v>1118</v>
      </c>
      <c r="M106" s="25" t="s">
        <v>464</v>
      </c>
      <c r="N106" s="25" t="s">
        <v>26</v>
      </c>
      <c r="O106" s="20" t="s">
        <v>464</v>
      </c>
      <c r="P106" s="17" t="s">
        <v>56</v>
      </c>
      <c r="Q106" s="20" t="s">
        <v>29</v>
      </c>
      <c r="R106" s="20" t="s">
        <v>465</v>
      </c>
      <c r="S106" s="26">
        <v>19000</v>
      </c>
      <c r="T106" s="20" t="s">
        <v>58</v>
      </c>
      <c r="U106" s="23" t="s">
        <v>466</v>
      </c>
      <c r="V106" s="100"/>
      <c r="W106" s="100"/>
      <c r="X106" s="100"/>
      <c r="Y106" s="100"/>
      <c r="Z106" s="100"/>
    </row>
    <row r="107" spans="1:26" x14ac:dyDescent="0.25">
      <c r="A107" s="96">
        <v>104</v>
      </c>
      <c r="B107" s="15">
        <v>220302</v>
      </c>
      <c r="C107" s="15">
        <v>2022</v>
      </c>
      <c r="D107" s="15">
        <f t="shared" si="1"/>
        <v>11</v>
      </c>
      <c r="E107" s="16">
        <v>44683</v>
      </c>
      <c r="F107" s="24">
        <v>44874</v>
      </c>
      <c r="G107" s="14" t="s">
        <v>467</v>
      </c>
      <c r="H107" s="98" t="s">
        <v>468</v>
      </c>
      <c r="I107" s="20" t="s">
        <v>24</v>
      </c>
      <c r="J107" s="99">
        <v>36</v>
      </c>
      <c r="K107" s="17" t="s">
        <v>1115</v>
      </c>
      <c r="L107" s="17" t="s">
        <v>1118</v>
      </c>
      <c r="M107" s="14" t="s">
        <v>174</v>
      </c>
      <c r="N107" s="25" t="s">
        <v>36</v>
      </c>
      <c r="O107" s="18" t="s">
        <v>272</v>
      </c>
      <c r="P107" s="17" t="s">
        <v>56</v>
      </c>
      <c r="Q107" s="20" t="s">
        <v>29</v>
      </c>
      <c r="R107" s="18" t="s">
        <v>38</v>
      </c>
      <c r="S107" s="26">
        <v>300</v>
      </c>
      <c r="T107" s="20" t="s">
        <v>58</v>
      </c>
      <c r="U107" s="23" t="s">
        <v>469</v>
      </c>
      <c r="V107" s="100"/>
      <c r="W107" s="100"/>
      <c r="X107" s="100"/>
      <c r="Y107" s="100"/>
      <c r="Z107" s="100"/>
    </row>
    <row r="108" spans="1:26" x14ac:dyDescent="0.25">
      <c r="A108" s="96">
        <v>105</v>
      </c>
      <c r="B108" s="15">
        <v>220308</v>
      </c>
      <c r="C108" s="15">
        <v>2022</v>
      </c>
      <c r="D108" s="15">
        <f t="shared" si="1"/>
        <v>7</v>
      </c>
      <c r="E108" s="16">
        <v>44707</v>
      </c>
      <c r="F108" s="24">
        <v>44753</v>
      </c>
      <c r="G108" s="14" t="s">
        <v>470</v>
      </c>
      <c r="H108" s="98" t="s">
        <v>471</v>
      </c>
      <c r="I108" s="20" t="s">
        <v>63</v>
      </c>
      <c r="J108" s="99">
        <v>23</v>
      </c>
      <c r="K108" s="17" t="s">
        <v>1115</v>
      </c>
      <c r="L108" s="17" t="s">
        <v>1118</v>
      </c>
      <c r="M108" s="25" t="s">
        <v>64</v>
      </c>
      <c r="N108" s="25" t="s">
        <v>36</v>
      </c>
      <c r="O108" s="17" t="s">
        <v>65</v>
      </c>
      <c r="P108" s="17" t="s">
        <v>176</v>
      </c>
      <c r="Q108" s="20" t="s">
        <v>29</v>
      </c>
      <c r="R108" s="17" t="s">
        <v>109</v>
      </c>
      <c r="S108" s="26">
        <v>6000</v>
      </c>
      <c r="T108" s="20" t="s">
        <v>58</v>
      </c>
      <c r="U108" s="23" t="s">
        <v>472</v>
      </c>
      <c r="V108" s="100"/>
      <c r="W108" s="100"/>
      <c r="X108" s="100"/>
      <c r="Y108" s="100"/>
      <c r="Z108" s="100"/>
    </row>
    <row r="109" spans="1:26" x14ac:dyDescent="0.25">
      <c r="A109" s="96">
        <v>106</v>
      </c>
      <c r="B109" s="15">
        <v>220318</v>
      </c>
      <c r="C109" s="15">
        <v>2022</v>
      </c>
      <c r="D109" s="15">
        <f t="shared" si="1"/>
        <v>10</v>
      </c>
      <c r="E109" s="16">
        <v>44667</v>
      </c>
      <c r="F109" s="24">
        <v>44840</v>
      </c>
      <c r="G109" s="14" t="s">
        <v>473</v>
      </c>
      <c r="H109" s="98" t="s">
        <v>474</v>
      </c>
      <c r="I109" s="20" t="s">
        <v>24</v>
      </c>
      <c r="J109" s="99">
        <v>65</v>
      </c>
      <c r="K109" s="17" t="s">
        <v>1115</v>
      </c>
      <c r="L109" s="17" t="s">
        <v>1118</v>
      </c>
      <c r="M109" s="25" t="s">
        <v>152</v>
      </c>
      <c r="N109" s="25" t="s">
        <v>153</v>
      </c>
      <c r="O109" s="20" t="s">
        <v>475</v>
      </c>
      <c r="P109" s="20" t="s">
        <v>383</v>
      </c>
      <c r="Q109" s="20" t="s">
        <v>29</v>
      </c>
      <c r="R109" s="17" t="s">
        <v>312</v>
      </c>
      <c r="S109" s="26">
        <v>4000</v>
      </c>
      <c r="T109" s="20" t="s">
        <v>97</v>
      </c>
      <c r="U109" s="23" t="s">
        <v>476</v>
      </c>
      <c r="V109" s="100"/>
      <c r="W109" s="100"/>
      <c r="X109" s="100"/>
      <c r="Y109" s="100"/>
      <c r="Z109" s="100"/>
    </row>
    <row r="110" spans="1:26" x14ac:dyDescent="0.25">
      <c r="A110" s="96">
        <v>107</v>
      </c>
      <c r="B110" s="15">
        <v>220327</v>
      </c>
      <c r="C110" s="15">
        <v>2022</v>
      </c>
      <c r="D110" s="15">
        <f t="shared" si="1"/>
        <v>9</v>
      </c>
      <c r="E110" s="16">
        <v>44750</v>
      </c>
      <c r="F110" s="24">
        <v>44810</v>
      </c>
      <c r="G110" s="14" t="s">
        <v>477</v>
      </c>
      <c r="H110" s="98" t="s">
        <v>478</v>
      </c>
      <c r="I110" s="20" t="s">
        <v>24</v>
      </c>
      <c r="J110" s="99">
        <v>65</v>
      </c>
      <c r="K110" s="17" t="s">
        <v>1115</v>
      </c>
      <c r="L110" s="17" t="s">
        <v>1118</v>
      </c>
      <c r="M110" s="14" t="s">
        <v>35</v>
      </c>
      <c r="N110" s="14" t="s">
        <v>36</v>
      </c>
      <c r="O110" s="17" t="s">
        <v>108</v>
      </c>
      <c r="P110" s="17" t="s">
        <v>161</v>
      </c>
      <c r="Q110" s="17" t="s">
        <v>29</v>
      </c>
      <c r="R110" s="17" t="s">
        <v>479</v>
      </c>
      <c r="S110" s="19">
        <v>19500</v>
      </c>
      <c r="T110" s="20" t="s">
        <v>39</v>
      </c>
      <c r="U110" s="21" t="s">
        <v>39</v>
      </c>
      <c r="V110" s="100"/>
      <c r="W110" s="100"/>
      <c r="X110" s="100"/>
      <c r="Y110" s="100"/>
      <c r="Z110" s="100"/>
    </row>
    <row r="111" spans="1:26" x14ac:dyDescent="0.25">
      <c r="A111" s="96">
        <v>108</v>
      </c>
      <c r="B111" s="15">
        <v>220333</v>
      </c>
      <c r="C111" s="15">
        <v>2022</v>
      </c>
      <c r="D111" s="15">
        <f t="shared" si="1"/>
        <v>9</v>
      </c>
      <c r="E111" s="16">
        <v>44738</v>
      </c>
      <c r="F111" s="24">
        <v>44806</v>
      </c>
      <c r="G111" s="14" t="s">
        <v>480</v>
      </c>
      <c r="H111" s="98" t="s">
        <v>481</v>
      </c>
      <c r="I111" s="20" t="s">
        <v>24</v>
      </c>
      <c r="J111" s="99">
        <v>38</v>
      </c>
      <c r="K111" s="17" t="s">
        <v>1115</v>
      </c>
      <c r="L111" s="17" t="s">
        <v>1118</v>
      </c>
      <c r="M111" s="14" t="s">
        <v>36</v>
      </c>
      <c r="N111" s="14" t="s">
        <v>36</v>
      </c>
      <c r="O111" s="18" t="s">
        <v>410</v>
      </c>
      <c r="P111" s="17" t="s">
        <v>28</v>
      </c>
      <c r="Q111" s="17" t="s">
        <v>220</v>
      </c>
      <c r="R111" s="17" t="s">
        <v>479</v>
      </c>
      <c r="S111" s="19">
        <v>3000</v>
      </c>
      <c r="T111" s="20" t="s">
        <v>58</v>
      </c>
      <c r="U111" s="21" t="s">
        <v>58</v>
      </c>
      <c r="V111" s="100"/>
      <c r="W111" s="100"/>
      <c r="X111" s="100"/>
      <c r="Y111" s="100"/>
      <c r="Z111" s="100"/>
    </row>
    <row r="112" spans="1:26" x14ac:dyDescent="0.25">
      <c r="A112" s="96">
        <v>109</v>
      </c>
      <c r="B112" s="15">
        <v>220334</v>
      </c>
      <c r="C112" s="15">
        <v>2022</v>
      </c>
      <c r="D112" s="15">
        <f t="shared" si="1"/>
        <v>7</v>
      </c>
      <c r="E112" s="16">
        <v>44658</v>
      </c>
      <c r="F112" s="24">
        <v>44753</v>
      </c>
      <c r="G112" s="14" t="s">
        <v>482</v>
      </c>
      <c r="H112" s="98" t="s">
        <v>483</v>
      </c>
      <c r="I112" s="20" t="s">
        <v>24</v>
      </c>
      <c r="J112" s="99">
        <v>71</v>
      </c>
      <c r="K112" s="17" t="s">
        <v>1116</v>
      </c>
      <c r="L112" s="17" t="s">
        <v>31</v>
      </c>
      <c r="M112" s="14" t="s">
        <v>65</v>
      </c>
      <c r="N112" s="14" t="s">
        <v>36</v>
      </c>
      <c r="O112" s="17" t="s">
        <v>484</v>
      </c>
      <c r="P112" s="17" t="s">
        <v>56</v>
      </c>
      <c r="Q112" s="17" t="s">
        <v>29</v>
      </c>
      <c r="R112" s="18" t="s">
        <v>30</v>
      </c>
      <c r="S112" s="19">
        <v>4500</v>
      </c>
      <c r="T112" s="20" t="s">
        <v>31</v>
      </c>
      <c r="U112" s="21" t="s">
        <v>181</v>
      </c>
      <c r="V112" s="100"/>
      <c r="W112" s="100"/>
      <c r="X112" s="100"/>
      <c r="Y112" s="100"/>
      <c r="Z112" s="100"/>
    </row>
    <row r="113" spans="1:26" x14ac:dyDescent="0.25">
      <c r="A113" s="96">
        <v>110</v>
      </c>
      <c r="B113" s="15">
        <v>220337</v>
      </c>
      <c r="C113" s="15">
        <v>2022</v>
      </c>
      <c r="D113" s="15">
        <f t="shared" si="1"/>
        <v>8</v>
      </c>
      <c r="E113" s="16">
        <v>44705</v>
      </c>
      <c r="F113" s="24">
        <v>44774</v>
      </c>
      <c r="G113" s="14" t="s">
        <v>485</v>
      </c>
      <c r="H113" s="98" t="s">
        <v>486</v>
      </c>
      <c r="I113" s="20" t="s">
        <v>63</v>
      </c>
      <c r="J113" s="99">
        <v>79</v>
      </c>
      <c r="K113" s="17" t="s">
        <v>1116</v>
      </c>
      <c r="L113" s="17" t="s">
        <v>31</v>
      </c>
      <c r="M113" s="14" t="s">
        <v>236</v>
      </c>
      <c r="N113" s="14" t="s">
        <v>167</v>
      </c>
      <c r="O113" s="17" t="s">
        <v>487</v>
      </c>
      <c r="P113" s="17" t="s">
        <v>383</v>
      </c>
      <c r="Q113" s="17" t="s">
        <v>29</v>
      </c>
      <c r="R113" s="18" t="s">
        <v>30</v>
      </c>
      <c r="S113" s="19">
        <v>4600</v>
      </c>
      <c r="T113" s="20" t="s">
        <v>31</v>
      </c>
      <c r="U113" s="21" t="s">
        <v>181</v>
      </c>
      <c r="V113" s="100"/>
      <c r="W113" s="100"/>
      <c r="X113" s="100"/>
      <c r="Y113" s="100"/>
      <c r="Z113" s="100"/>
    </row>
    <row r="114" spans="1:26" x14ac:dyDescent="0.25">
      <c r="A114" s="96">
        <v>111</v>
      </c>
      <c r="B114" s="15">
        <v>220338</v>
      </c>
      <c r="C114" s="15">
        <v>2022</v>
      </c>
      <c r="D114" s="15">
        <f t="shared" si="1"/>
        <v>7</v>
      </c>
      <c r="E114" s="16">
        <v>44690</v>
      </c>
      <c r="F114" s="24">
        <v>44769</v>
      </c>
      <c r="G114" s="14" t="s">
        <v>488</v>
      </c>
      <c r="H114" s="98" t="s">
        <v>489</v>
      </c>
      <c r="I114" s="20" t="s">
        <v>24</v>
      </c>
      <c r="J114" s="99">
        <v>30</v>
      </c>
      <c r="K114" s="17" t="s">
        <v>1116</v>
      </c>
      <c r="L114" s="17" t="s">
        <v>31</v>
      </c>
      <c r="M114" s="14" t="s">
        <v>266</v>
      </c>
      <c r="N114" s="14" t="s">
        <v>167</v>
      </c>
      <c r="O114" s="17" t="s">
        <v>167</v>
      </c>
      <c r="P114" s="17" t="s">
        <v>28</v>
      </c>
      <c r="Q114" s="17" t="s">
        <v>29</v>
      </c>
      <c r="R114" s="18" t="s">
        <v>30</v>
      </c>
      <c r="S114" s="19">
        <v>4600</v>
      </c>
      <c r="T114" s="20" t="s">
        <v>31</v>
      </c>
      <c r="U114" s="21" t="s">
        <v>181</v>
      </c>
      <c r="V114" s="100"/>
      <c r="W114" s="100"/>
      <c r="X114" s="100"/>
      <c r="Y114" s="100"/>
      <c r="Z114" s="100"/>
    </row>
    <row r="115" spans="1:26" x14ac:dyDescent="0.25">
      <c r="A115" s="96">
        <v>112</v>
      </c>
      <c r="B115" s="15">
        <v>220341</v>
      </c>
      <c r="C115" s="15">
        <v>2022</v>
      </c>
      <c r="D115" s="15">
        <f t="shared" si="1"/>
        <v>8</v>
      </c>
      <c r="E115" s="16">
        <v>44719</v>
      </c>
      <c r="F115" s="24">
        <v>44784</v>
      </c>
      <c r="G115" s="14" t="s">
        <v>490</v>
      </c>
      <c r="H115" s="98" t="s">
        <v>491</v>
      </c>
      <c r="I115" s="20" t="s">
        <v>24</v>
      </c>
      <c r="J115" s="99">
        <v>21</v>
      </c>
      <c r="K115" s="17" t="s">
        <v>1115</v>
      </c>
      <c r="L115" s="17" t="s">
        <v>1118</v>
      </c>
      <c r="M115" s="14" t="s">
        <v>492</v>
      </c>
      <c r="N115" s="14" t="s">
        <v>261</v>
      </c>
      <c r="O115" s="17" t="s">
        <v>492</v>
      </c>
      <c r="P115" s="17" t="s">
        <v>176</v>
      </c>
      <c r="Q115" s="17" t="s">
        <v>29</v>
      </c>
      <c r="R115" s="17" t="s">
        <v>493</v>
      </c>
      <c r="S115" s="19">
        <v>13000</v>
      </c>
      <c r="T115" s="20" t="s">
        <v>58</v>
      </c>
      <c r="U115" s="21" t="s">
        <v>494</v>
      </c>
      <c r="V115" s="100"/>
      <c r="W115" s="100"/>
      <c r="X115" s="100"/>
      <c r="Y115" s="100"/>
      <c r="Z115" s="100"/>
    </row>
    <row r="116" spans="1:26" x14ac:dyDescent="0.25">
      <c r="A116" s="96">
        <v>113</v>
      </c>
      <c r="B116" s="15">
        <v>220343</v>
      </c>
      <c r="C116" s="15">
        <v>2022</v>
      </c>
      <c r="D116" s="15">
        <f t="shared" si="1"/>
        <v>12</v>
      </c>
      <c r="E116" s="16">
        <v>44720</v>
      </c>
      <c r="F116" s="24">
        <v>44896</v>
      </c>
      <c r="G116" s="14" t="s">
        <v>495</v>
      </c>
      <c r="H116" s="98" t="s">
        <v>496</v>
      </c>
      <c r="I116" s="20" t="s">
        <v>63</v>
      </c>
      <c r="J116" s="99">
        <v>58</v>
      </c>
      <c r="K116" s="17" t="s">
        <v>1115</v>
      </c>
      <c r="L116" s="17" t="s">
        <v>1118</v>
      </c>
      <c r="M116" s="14" t="s">
        <v>69</v>
      </c>
      <c r="N116" s="14" t="s">
        <v>36</v>
      </c>
      <c r="O116" s="17" t="s">
        <v>70</v>
      </c>
      <c r="P116" s="17" t="s">
        <v>28</v>
      </c>
      <c r="Q116" s="17" t="s">
        <v>29</v>
      </c>
      <c r="R116" s="17" t="s">
        <v>72</v>
      </c>
      <c r="S116" s="19">
        <v>600</v>
      </c>
      <c r="T116" s="20" t="s">
        <v>39</v>
      </c>
      <c r="U116" s="21" t="s">
        <v>497</v>
      </c>
      <c r="V116" s="100"/>
      <c r="W116" s="100"/>
      <c r="X116" s="100"/>
      <c r="Y116" s="100"/>
      <c r="Z116" s="100"/>
    </row>
    <row r="117" spans="1:26" x14ac:dyDescent="0.25">
      <c r="A117" s="96">
        <v>114</v>
      </c>
      <c r="B117" s="15">
        <v>220346</v>
      </c>
      <c r="C117" s="15">
        <v>2022</v>
      </c>
      <c r="D117" s="15">
        <f t="shared" si="1"/>
        <v>7</v>
      </c>
      <c r="E117" s="16">
        <v>44713</v>
      </c>
      <c r="F117" s="24">
        <v>44754</v>
      </c>
      <c r="G117" s="14" t="s">
        <v>498</v>
      </c>
      <c r="H117" s="98" t="s">
        <v>499</v>
      </c>
      <c r="I117" s="20" t="s">
        <v>24</v>
      </c>
      <c r="J117" s="99">
        <v>61</v>
      </c>
      <c r="K117" s="17" t="s">
        <v>1115</v>
      </c>
      <c r="L117" s="17" t="s">
        <v>1118</v>
      </c>
      <c r="M117" s="14" t="s">
        <v>36</v>
      </c>
      <c r="N117" s="14" t="s">
        <v>36</v>
      </c>
      <c r="O117" s="17" t="s">
        <v>500</v>
      </c>
      <c r="P117" s="17" t="s">
        <v>28</v>
      </c>
      <c r="Q117" s="17" t="s">
        <v>29</v>
      </c>
      <c r="R117" s="17" t="s">
        <v>479</v>
      </c>
      <c r="S117" s="19">
        <v>3900</v>
      </c>
      <c r="T117" s="20" t="s">
        <v>58</v>
      </c>
      <c r="U117" s="21" t="s">
        <v>501</v>
      </c>
      <c r="V117" s="100"/>
      <c r="W117" s="100"/>
      <c r="X117" s="100"/>
      <c r="Y117" s="100"/>
      <c r="Z117" s="100"/>
    </row>
    <row r="118" spans="1:26" x14ac:dyDescent="0.25">
      <c r="A118" s="96">
        <v>115</v>
      </c>
      <c r="B118" s="15">
        <v>220347</v>
      </c>
      <c r="C118" s="15">
        <v>2022</v>
      </c>
      <c r="D118" s="15">
        <f t="shared" si="1"/>
        <v>7</v>
      </c>
      <c r="E118" s="16">
        <v>44725</v>
      </c>
      <c r="F118" s="24">
        <v>44753</v>
      </c>
      <c r="G118" s="14" t="s">
        <v>502</v>
      </c>
      <c r="H118" s="98" t="s">
        <v>503</v>
      </c>
      <c r="I118" s="20" t="s">
        <v>24</v>
      </c>
      <c r="J118" s="99">
        <v>63</v>
      </c>
      <c r="K118" s="17" t="s">
        <v>1115</v>
      </c>
      <c r="L118" s="17" t="s">
        <v>1118</v>
      </c>
      <c r="M118" s="14" t="s">
        <v>297</v>
      </c>
      <c r="N118" s="14" t="s">
        <v>36</v>
      </c>
      <c r="O118" s="17" t="s">
        <v>297</v>
      </c>
      <c r="P118" s="17" t="s">
        <v>28</v>
      </c>
      <c r="Q118" s="17" t="s">
        <v>29</v>
      </c>
      <c r="R118" s="17" t="s">
        <v>457</v>
      </c>
      <c r="S118" s="19">
        <v>3000</v>
      </c>
      <c r="T118" s="20" t="s">
        <v>58</v>
      </c>
      <c r="U118" s="21" t="s">
        <v>504</v>
      </c>
      <c r="V118" s="100"/>
      <c r="W118" s="100"/>
      <c r="X118" s="100"/>
      <c r="Y118" s="100"/>
      <c r="Z118" s="100"/>
    </row>
    <row r="119" spans="1:26" x14ac:dyDescent="0.25">
      <c r="A119" s="96">
        <v>116</v>
      </c>
      <c r="B119" s="15">
        <v>220349</v>
      </c>
      <c r="C119" s="15">
        <v>2022</v>
      </c>
      <c r="D119" s="15">
        <f t="shared" si="1"/>
        <v>10</v>
      </c>
      <c r="E119" s="16">
        <v>44717</v>
      </c>
      <c r="F119" s="24">
        <v>44862</v>
      </c>
      <c r="G119" s="14" t="s">
        <v>505</v>
      </c>
      <c r="H119" s="98" t="s">
        <v>506</v>
      </c>
      <c r="I119" s="20" t="s">
        <v>24</v>
      </c>
      <c r="J119" s="99">
        <v>20</v>
      </c>
      <c r="K119" s="17" t="s">
        <v>1116</v>
      </c>
      <c r="L119" s="17" t="s">
        <v>31</v>
      </c>
      <c r="M119" s="14" t="s">
        <v>507</v>
      </c>
      <c r="N119" s="14" t="s">
        <v>123</v>
      </c>
      <c r="O119" s="17" t="s">
        <v>508</v>
      </c>
      <c r="P119" s="17" t="s">
        <v>28</v>
      </c>
      <c r="Q119" s="17" t="s">
        <v>29</v>
      </c>
      <c r="R119" s="18" t="s">
        <v>30</v>
      </c>
      <c r="S119" s="19">
        <v>4600</v>
      </c>
      <c r="T119" s="20" t="s">
        <v>31</v>
      </c>
      <c r="U119" s="21" t="s">
        <v>31</v>
      </c>
      <c r="V119" s="100"/>
      <c r="W119" s="100"/>
      <c r="X119" s="100"/>
      <c r="Y119" s="100"/>
      <c r="Z119" s="100"/>
    </row>
    <row r="120" spans="1:26" x14ac:dyDescent="0.25">
      <c r="A120" s="96">
        <v>117</v>
      </c>
      <c r="B120" s="15">
        <v>220350</v>
      </c>
      <c r="C120" s="15">
        <v>2022</v>
      </c>
      <c r="D120" s="15">
        <f t="shared" si="1"/>
        <v>11</v>
      </c>
      <c r="E120" s="16">
        <v>44725</v>
      </c>
      <c r="F120" s="24">
        <v>44894</v>
      </c>
      <c r="G120" s="14" t="s">
        <v>509</v>
      </c>
      <c r="H120" s="98" t="s">
        <v>510</v>
      </c>
      <c r="I120" s="20" t="s">
        <v>24</v>
      </c>
      <c r="J120" s="99">
        <v>9</v>
      </c>
      <c r="K120" s="17" t="s">
        <v>1115</v>
      </c>
      <c r="L120" s="17" t="s">
        <v>1118</v>
      </c>
      <c r="M120" s="14" t="s">
        <v>64</v>
      </c>
      <c r="N120" s="14" t="s">
        <v>36</v>
      </c>
      <c r="O120" s="17" t="s">
        <v>65</v>
      </c>
      <c r="P120" s="17" t="s">
        <v>104</v>
      </c>
      <c r="Q120" s="17" t="s">
        <v>29</v>
      </c>
      <c r="R120" s="17" t="s">
        <v>109</v>
      </c>
      <c r="S120" s="19">
        <v>22000</v>
      </c>
      <c r="T120" s="20" t="s">
        <v>46</v>
      </c>
      <c r="U120" s="21" t="s">
        <v>345</v>
      </c>
      <c r="V120" s="100"/>
      <c r="W120" s="100"/>
      <c r="X120" s="100"/>
      <c r="Y120" s="100"/>
      <c r="Z120" s="100"/>
    </row>
    <row r="121" spans="1:26" x14ac:dyDescent="0.25">
      <c r="A121" s="96">
        <v>118</v>
      </c>
      <c r="B121" s="15">
        <v>220351</v>
      </c>
      <c r="C121" s="15">
        <v>2022</v>
      </c>
      <c r="D121" s="15">
        <f t="shared" si="1"/>
        <v>7</v>
      </c>
      <c r="E121" s="16">
        <v>44682</v>
      </c>
      <c r="F121" s="24">
        <v>44753</v>
      </c>
      <c r="G121" s="14" t="s">
        <v>511</v>
      </c>
      <c r="H121" s="98" t="s">
        <v>512</v>
      </c>
      <c r="I121" s="20" t="s">
        <v>24</v>
      </c>
      <c r="J121" s="99">
        <v>58</v>
      </c>
      <c r="K121" s="17" t="s">
        <v>1116</v>
      </c>
      <c r="L121" s="17" t="s">
        <v>31</v>
      </c>
      <c r="M121" s="14" t="s">
        <v>25</v>
      </c>
      <c r="N121" s="14" t="s">
        <v>26</v>
      </c>
      <c r="O121" s="17" t="s">
        <v>513</v>
      </c>
      <c r="P121" s="17" t="s">
        <v>28</v>
      </c>
      <c r="Q121" s="17" t="s">
        <v>29</v>
      </c>
      <c r="R121" s="18" t="s">
        <v>30</v>
      </c>
      <c r="S121" s="19">
        <v>4600</v>
      </c>
      <c r="T121" s="20" t="s">
        <v>31</v>
      </c>
      <c r="U121" s="21" t="s">
        <v>31</v>
      </c>
      <c r="V121" s="100"/>
      <c r="W121" s="100"/>
      <c r="X121" s="100"/>
      <c r="Y121" s="100"/>
      <c r="Z121" s="100"/>
    </row>
    <row r="122" spans="1:26" x14ac:dyDescent="0.25">
      <c r="A122" s="96">
        <v>119</v>
      </c>
      <c r="B122" s="15">
        <v>220352</v>
      </c>
      <c r="C122" s="15">
        <v>2022</v>
      </c>
      <c r="D122" s="15">
        <f t="shared" si="1"/>
        <v>11</v>
      </c>
      <c r="E122" s="16">
        <v>44660</v>
      </c>
      <c r="F122" s="24">
        <v>44869</v>
      </c>
      <c r="G122" s="14" t="s">
        <v>514</v>
      </c>
      <c r="H122" s="98" t="s">
        <v>515</v>
      </c>
      <c r="I122" s="20" t="s">
        <v>24</v>
      </c>
      <c r="J122" s="99">
        <v>54</v>
      </c>
      <c r="K122" s="17" t="s">
        <v>1116</v>
      </c>
      <c r="L122" s="17" t="s">
        <v>31</v>
      </c>
      <c r="M122" s="14" t="s">
        <v>516</v>
      </c>
      <c r="N122" s="14" t="s">
        <v>167</v>
      </c>
      <c r="O122" s="17" t="s">
        <v>516</v>
      </c>
      <c r="P122" s="17" t="s">
        <v>28</v>
      </c>
      <c r="Q122" s="17" t="s">
        <v>29</v>
      </c>
      <c r="R122" s="18" t="s">
        <v>30</v>
      </c>
      <c r="S122" s="19">
        <v>4600</v>
      </c>
      <c r="T122" s="20" t="s">
        <v>31</v>
      </c>
      <c r="U122" s="21" t="s">
        <v>31</v>
      </c>
      <c r="V122" s="100"/>
      <c r="W122" s="100"/>
      <c r="X122" s="100"/>
      <c r="Y122" s="100"/>
      <c r="Z122" s="100"/>
    </row>
    <row r="123" spans="1:26" x14ac:dyDescent="0.25">
      <c r="A123" s="96">
        <v>120</v>
      </c>
      <c r="B123" s="15">
        <v>220357</v>
      </c>
      <c r="C123" s="15">
        <v>2022</v>
      </c>
      <c r="D123" s="15">
        <f t="shared" si="1"/>
        <v>11</v>
      </c>
      <c r="E123" s="16">
        <v>44725</v>
      </c>
      <c r="F123" s="24">
        <v>44876</v>
      </c>
      <c r="G123" s="14" t="s">
        <v>517</v>
      </c>
      <c r="H123" s="98" t="s">
        <v>518</v>
      </c>
      <c r="I123" s="20" t="s">
        <v>24</v>
      </c>
      <c r="J123" s="99">
        <v>45</v>
      </c>
      <c r="K123" s="17" t="s">
        <v>1115</v>
      </c>
      <c r="L123" s="17" t="s">
        <v>1118</v>
      </c>
      <c r="M123" s="14" t="s">
        <v>25</v>
      </c>
      <c r="N123" s="14" t="s">
        <v>26</v>
      </c>
      <c r="O123" s="17" t="s">
        <v>25</v>
      </c>
      <c r="P123" s="17" t="s">
        <v>56</v>
      </c>
      <c r="Q123" s="17" t="s">
        <v>29</v>
      </c>
      <c r="R123" s="17" t="s">
        <v>301</v>
      </c>
      <c r="S123" s="19">
        <v>1000</v>
      </c>
      <c r="T123" s="20" t="s">
        <v>58</v>
      </c>
      <c r="U123" s="21" t="s">
        <v>519</v>
      </c>
      <c r="V123" s="100"/>
      <c r="W123" s="100"/>
      <c r="X123" s="100"/>
      <c r="Y123" s="100"/>
      <c r="Z123" s="100"/>
    </row>
    <row r="124" spans="1:26" x14ac:dyDescent="0.25">
      <c r="A124" s="96">
        <v>121</v>
      </c>
      <c r="B124" s="15">
        <v>220359</v>
      </c>
      <c r="C124" s="15">
        <v>2022</v>
      </c>
      <c r="D124" s="15">
        <f t="shared" si="1"/>
        <v>8</v>
      </c>
      <c r="E124" s="16">
        <v>44721</v>
      </c>
      <c r="F124" s="24">
        <v>44784</v>
      </c>
      <c r="G124" s="14" t="s">
        <v>520</v>
      </c>
      <c r="H124" s="98" t="s">
        <v>521</v>
      </c>
      <c r="I124" s="20" t="s">
        <v>24</v>
      </c>
      <c r="J124" s="99">
        <v>52</v>
      </c>
      <c r="K124" s="17" t="s">
        <v>1115</v>
      </c>
      <c r="L124" s="17" t="s">
        <v>1118</v>
      </c>
      <c r="M124" s="14" t="s">
        <v>51</v>
      </c>
      <c r="N124" s="14" t="s">
        <v>36</v>
      </c>
      <c r="O124" s="17" t="s">
        <v>370</v>
      </c>
      <c r="P124" s="17" t="s">
        <v>383</v>
      </c>
      <c r="Q124" s="17" t="s">
        <v>29</v>
      </c>
      <c r="R124" s="17" t="s">
        <v>141</v>
      </c>
      <c r="S124" s="19">
        <v>2000</v>
      </c>
      <c r="T124" s="20" t="s">
        <v>58</v>
      </c>
      <c r="U124" s="23" t="s">
        <v>522</v>
      </c>
      <c r="V124" s="100"/>
      <c r="W124" s="100"/>
      <c r="X124" s="100"/>
      <c r="Y124" s="100"/>
      <c r="Z124" s="100"/>
    </row>
    <row r="125" spans="1:26" x14ac:dyDescent="0.25">
      <c r="A125" s="96">
        <v>122</v>
      </c>
      <c r="B125" s="15">
        <v>220361</v>
      </c>
      <c r="C125" s="15">
        <v>2022</v>
      </c>
      <c r="D125" s="15">
        <f t="shared" si="1"/>
        <v>10</v>
      </c>
      <c r="E125" s="16">
        <v>44729</v>
      </c>
      <c r="F125" s="24">
        <v>44862</v>
      </c>
      <c r="G125" s="14" t="s">
        <v>523</v>
      </c>
      <c r="H125" s="98" t="s">
        <v>524</v>
      </c>
      <c r="I125" s="20" t="s">
        <v>24</v>
      </c>
      <c r="J125" s="99">
        <v>30</v>
      </c>
      <c r="K125" s="17" t="s">
        <v>1116</v>
      </c>
      <c r="L125" s="17" t="s">
        <v>31</v>
      </c>
      <c r="M125" s="14" t="s">
        <v>525</v>
      </c>
      <c r="N125" s="14" t="s">
        <v>261</v>
      </c>
      <c r="O125" s="17" t="s">
        <v>525</v>
      </c>
      <c r="P125" s="17" t="s">
        <v>28</v>
      </c>
      <c r="Q125" s="17" t="s">
        <v>29</v>
      </c>
      <c r="R125" s="18" t="s">
        <v>30</v>
      </c>
      <c r="S125" s="19">
        <v>4600</v>
      </c>
      <c r="T125" s="20" t="s">
        <v>31</v>
      </c>
      <c r="U125" s="21" t="s">
        <v>31</v>
      </c>
      <c r="V125" s="100"/>
      <c r="W125" s="100"/>
      <c r="X125" s="100"/>
      <c r="Y125" s="100"/>
      <c r="Z125" s="100"/>
    </row>
    <row r="126" spans="1:26" x14ac:dyDescent="0.25">
      <c r="A126" s="96">
        <v>123</v>
      </c>
      <c r="B126" s="15">
        <v>220362</v>
      </c>
      <c r="C126" s="15">
        <v>2022</v>
      </c>
      <c r="D126" s="15">
        <f t="shared" si="1"/>
        <v>9</v>
      </c>
      <c r="E126" s="16">
        <v>44717</v>
      </c>
      <c r="F126" s="24">
        <v>44820</v>
      </c>
      <c r="G126" s="14" t="s">
        <v>526</v>
      </c>
      <c r="H126" s="98" t="s">
        <v>527</v>
      </c>
      <c r="I126" s="20" t="s">
        <v>24</v>
      </c>
      <c r="J126" s="99">
        <v>50</v>
      </c>
      <c r="K126" s="17" t="s">
        <v>1116</v>
      </c>
      <c r="L126" s="17" t="s">
        <v>31</v>
      </c>
      <c r="M126" s="14" t="s">
        <v>261</v>
      </c>
      <c r="N126" s="14" t="s">
        <v>261</v>
      </c>
      <c r="O126" s="17" t="s">
        <v>528</v>
      </c>
      <c r="P126" s="17" t="s">
        <v>28</v>
      </c>
      <c r="Q126" s="17" t="s">
        <v>29</v>
      </c>
      <c r="R126" s="18" t="s">
        <v>30</v>
      </c>
      <c r="S126" s="19">
        <v>3800</v>
      </c>
      <c r="T126" s="20" t="s">
        <v>31</v>
      </c>
      <c r="U126" s="21" t="s">
        <v>31</v>
      </c>
      <c r="V126" s="100"/>
      <c r="W126" s="100"/>
      <c r="X126" s="100"/>
      <c r="Y126" s="100"/>
      <c r="Z126" s="100"/>
    </row>
    <row r="127" spans="1:26" x14ac:dyDescent="0.25">
      <c r="A127" s="96">
        <v>124</v>
      </c>
      <c r="B127" s="15">
        <v>220363</v>
      </c>
      <c r="C127" s="15">
        <v>2022</v>
      </c>
      <c r="D127" s="15">
        <f t="shared" si="1"/>
        <v>8</v>
      </c>
      <c r="E127" s="16">
        <v>44724</v>
      </c>
      <c r="F127" s="24">
        <v>44799</v>
      </c>
      <c r="G127" s="14" t="s">
        <v>529</v>
      </c>
      <c r="H127" s="98" t="s">
        <v>530</v>
      </c>
      <c r="I127" s="20" t="s">
        <v>24</v>
      </c>
      <c r="J127" s="99">
        <v>38</v>
      </c>
      <c r="K127" s="17" t="s">
        <v>1115</v>
      </c>
      <c r="L127" s="17" t="s">
        <v>1118</v>
      </c>
      <c r="M127" s="14" t="s">
        <v>69</v>
      </c>
      <c r="N127" s="14" t="s">
        <v>36</v>
      </c>
      <c r="O127" s="17" t="s">
        <v>70</v>
      </c>
      <c r="P127" s="17" t="s">
        <v>161</v>
      </c>
      <c r="Q127" s="17" t="s">
        <v>29</v>
      </c>
      <c r="R127" s="17" t="s">
        <v>72</v>
      </c>
      <c r="S127" s="19">
        <v>9000</v>
      </c>
      <c r="T127" s="20" t="s">
        <v>58</v>
      </c>
      <c r="U127" s="21" t="s">
        <v>58</v>
      </c>
      <c r="V127" s="100"/>
      <c r="W127" s="100"/>
      <c r="X127" s="100"/>
      <c r="Y127" s="100"/>
      <c r="Z127" s="100"/>
    </row>
    <row r="128" spans="1:26" x14ac:dyDescent="0.25">
      <c r="A128" s="96">
        <v>125</v>
      </c>
      <c r="B128" s="15">
        <v>220374</v>
      </c>
      <c r="C128" s="15">
        <v>2022</v>
      </c>
      <c r="D128" s="15">
        <f t="shared" si="1"/>
        <v>9</v>
      </c>
      <c r="E128" s="16">
        <v>44732</v>
      </c>
      <c r="F128" s="24">
        <v>44834</v>
      </c>
      <c r="G128" s="14" t="s">
        <v>531</v>
      </c>
      <c r="H128" s="98" t="s">
        <v>532</v>
      </c>
      <c r="I128" s="20" t="s">
        <v>24</v>
      </c>
      <c r="J128" s="99">
        <v>25</v>
      </c>
      <c r="K128" s="17" t="s">
        <v>1115</v>
      </c>
      <c r="L128" s="17" t="s">
        <v>1118</v>
      </c>
      <c r="M128" s="14" t="s">
        <v>276</v>
      </c>
      <c r="N128" s="14" t="s">
        <v>36</v>
      </c>
      <c r="O128" s="17" t="s">
        <v>277</v>
      </c>
      <c r="P128" s="17" t="s">
        <v>176</v>
      </c>
      <c r="Q128" s="17" t="s">
        <v>220</v>
      </c>
      <c r="R128" s="17" t="s">
        <v>72</v>
      </c>
      <c r="S128" s="19">
        <v>1000</v>
      </c>
      <c r="T128" s="20" t="s">
        <v>46</v>
      </c>
      <c r="U128" s="21" t="s">
        <v>46</v>
      </c>
      <c r="V128" s="100"/>
      <c r="W128" s="100"/>
      <c r="X128" s="100"/>
      <c r="Y128" s="100"/>
      <c r="Z128" s="100"/>
    </row>
    <row r="129" spans="1:26" x14ac:dyDescent="0.25">
      <c r="A129" s="96">
        <v>126</v>
      </c>
      <c r="B129" s="15">
        <v>220376</v>
      </c>
      <c r="C129" s="15">
        <v>2022</v>
      </c>
      <c r="D129" s="15">
        <f t="shared" si="1"/>
        <v>7</v>
      </c>
      <c r="E129" s="16">
        <v>44693</v>
      </c>
      <c r="F129" s="24">
        <v>44769</v>
      </c>
      <c r="G129" s="14" t="s">
        <v>533</v>
      </c>
      <c r="H129" s="98" t="s">
        <v>534</v>
      </c>
      <c r="I129" s="20" t="s">
        <v>63</v>
      </c>
      <c r="J129" s="99">
        <v>58</v>
      </c>
      <c r="K129" s="17" t="s">
        <v>1115</v>
      </c>
      <c r="L129" s="17" t="s">
        <v>1118</v>
      </c>
      <c r="M129" s="14" t="s">
        <v>43</v>
      </c>
      <c r="N129" s="14" t="s">
        <v>36</v>
      </c>
      <c r="O129" s="17" t="s">
        <v>44</v>
      </c>
      <c r="P129" s="17" t="s">
        <v>56</v>
      </c>
      <c r="Q129" s="17" t="s">
        <v>29</v>
      </c>
      <c r="R129" s="17" t="s">
        <v>45</v>
      </c>
      <c r="S129" s="19">
        <v>4000</v>
      </c>
      <c r="T129" s="20" t="s">
        <v>58</v>
      </c>
      <c r="U129" s="21" t="s">
        <v>444</v>
      </c>
      <c r="V129" s="100"/>
      <c r="W129" s="100"/>
      <c r="X129" s="100"/>
      <c r="Y129" s="100"/>
      <c r="Z129" s="100"/>
    </row>
    <row r="130" spans="1:26" x14ac:dyDescent="0.25">
      <c r="A130" s="96">
        <v>127</v>
      </c>
      <c r="B130" s="15">
        <v>220378</v>
      </c>
      <c r="C130" s="15">
        <v>2022</v>
      </c>
      <c r="D130" s="15">
        <f t="shared" si="1"/>
        <v>8</v>
      </c>
      <c r="E130" s="16">
        <v>44724</v>
      </c>
      <c r="F130" s="24">
        <v>44777</v>
      </c>
      <c r="G130" s="14" t="s">
        <v>535</v>
      </c>
      <c r="H130" s="98" t="s">
        <v>536</v>
      </c>
      <c r="I130" s="20" t="s">
        <v>24</v>
      </c>
      <c r="J130" s="99">
        <v>36</v>
      </c>
      <c r="K130" s="17" t="s">
        <v>1115</v>
      </c>
      <c r="L130" s="17" t="s">
        <v>1118</v>
      </c>
      <c r="M130" s="14" t="s">
        <v>447</v>
      </c>
      <c r="N130" s="14" t="s">
        <v>36</v>
      </c>
      <c r="O130" s="20" t="s">
        <v>447</v>
      </c>
      <c r="P130" s="17" t="s">
        <v>28</v>
      </c>
      <c r="Q130" s="17" t="s">
        <v>29</v>
      </c>
      <c r="R130" s="17" t="s">
        <v>204</v>
      </c>
      <c r="S130" s="19">
        <v>6000</v>
      </c>
      <c r="T130" s="20" t="s">
        <v>58</v>
      </c>
      <c r="U130" s="21" t="s">
        <v>537</v>
      </c>
      <c r="V130" s="100"/>
      <c r="W130" s="100"/>
      <c r="X130" s="100"/>
      <c r="Y130" s="100"/>
      <c r="Z130" s="100"/>
    </row>
    <row r="131" spans="1:26" x14ac:dyDescent="0.25">
      <c r="A131" s="96">
        <v>128</v>
      </c>
      <c r="B131" s="15">
        <v>220386</v>
      </c>
      <c r="C131" s="15">
        <v>2022</v>
      </c>
      <c r="D131" s="15">
        <f t="shared" si="1"/>
        <v>10</v>
      </c>
      <c r="E131" s="16">
        <v>44644</v>
      </c>
      <c r="F131" s="24">
        <v>44838</v>
      </c>
      <c r="G131" s="14" t="s">
        <v>538</v>
      </c>
      <c r="H131" s="98" t="s">
        <v>539</v>
      </c>
      <c r="I131" s="20" t="s">
        <v>63</v>
      </c>
      <c r="J131" s="99">
        <v>80</v>
      </c>
      <c r="K131" s="17" t="s">
        <v>1116</v>
      </c>
      <c r="L131" s="17" t="s">
        <v>31</v>
      </c>
      <c r="M131" s="14" t="s">
        <v>236</v>
      </c>
      <c r="N131" s="14" t="s">
        <v>167</v>
      </c>
      <c r="O131" s="17" t="s">
        <v>236</v>
      </c>
      <c r="P131" s="17" t="s">
        <v>28</v>
      </c>
      <c r="Q131" s="17" t="s">
        <v>29</v>
      </c>
      <c r="R131" s="18" t="s">
        <v>30</v>
      </c>
      <c r="S131" s="19">
        <v>4600</v>
      </c>
      <c r="T131" s="20" t="s">
        <v>31</v>
      </c>
      <c r="U131" s="21" t="s">
        <v>31</v>
      </c>
      <c r="V131" s="100"/>
      <c r="W131" s="100"/>
      <c r="X131" s="100"/>
      <c r="Y131" s="100"/>
      <c r="Z131" s="100"/>
    </row>
    <row r="132" spans="1:26" x14ac:dyDescent="0.25">
      <c r="A132" s="96">
        <v>129</v>
      </c>
      <c r="B132" s="15">
        <v>220391</v>
      </c>
      <c r="C132" s="15">
        <v>2022</v>
      </c>
      <c r="D132" s="15">
        <f t="shared" ref="D132:D194" si="2">IF(ISBLANK(F132),0,MONTH(F132))</f>
        <v>9</v>
      </c>
      <c r="E132" s="16">
        <v>44735</v>
      </c>
      <c r="F132" s="24">
        <v>44820</v>
      </c>
      <c r="G132" s="14" t="s">
        <v>540</v>
      </c>
      <c r="H132" s="98" t="s">
        <v>541</v>
      </c>
      <c r="I132" s="20" t="s">
        <v>24</v>
      </c>
      <c r="J132" s="99">
        <v>30</v>
      </c>
      <c r="K132" s="17" t="s">
        <v>1115</v>
      </c>
      <c r="L132" s="17" t="s">
        <v>1118</v>
      </c>
      <c r="M132" s="14" t="s">
        <v>65</v>
      </c>
      <c r="N132" s="14" t="s">
        <v>36</v>
      </c>
      <c r="O132" s="17" t="s">
        <v>65</v>
      </c>
      <c r="P132" s="17" t="s">
        <v>176</v>
      </c>
      <c r="Q132" s="17" t="s">
        <v>29</v>
      </c>
      <c r="R132" s="17" t="s">
        <v>109</v>
      </c>
      <c r="S132" s="19">
        <v>7000</v>
      </c>
      <c r="T132" s="20" t="s">
        <v>58</v>
      </c>
      <c r="U132" s="21" t="s">
        <v>542</v>
      </c>
      <c r="V132" s="100"/>
      <c r="W132" s="100"/>
      <c r="X132" s="100"/>
      <c r="Y132" s="100"/>
      <c r="Z132" s="100"/>
    </row>
    <row r="133" spans="1:26" x14ac:dyDescent="0.25">
      <c r="A133" s="96">
        <v>130</v>
      </c>
      <c r="B133" s="15">
        <v>220394</v>
      </c>
      <c r="C133" s="15">
        <v>2022</v>
      </c>
      <c r="D133" s="15">
        <f t="shared" si="2"/>
        <v>8</v>
      </c>
      <c r="E133" s="16">
        <v>44625</v>
      </c>
      <c r="F133" s="24">
        <v>44774</v>
      </c>
      <c r="G133" s="14" t="s">
        <v>543</v>
      </c>
      <c r="H133" s="98" t="s">
        <v>544</v>
      </c>
      <c r="I133" s="20" t="s">
        <v>24</v>
      </c>
      <c r="J133" s="99">
        <v>51</v>
      </c>
      <c r="K133" s="17" t="s">
        <v>1116</v>
      </c>
      <c r="L133" s="17" t="s">
        <v>31</v>
      </c>
      <c r="M133" s="14" t="s">
        <v>545</v>
      </c>
      <c r="N133" s="14" t="s">
        <v>284</v>
      </c>
      <c r="O133" s="17" t="s">
        <v>546</v>
      </c>
      <c r="P133" s="17" t="s">
        <v>104</v>
      </c>
      <c r="Q133" s="17" t="s">
        <v>29</v>
      </c>
      <c r="R133" s="18" t="s">
        <v>30</v>
      </c>
      <c r="S133" s="19">
        <v>4600</v>
      </c>
      <c r="T133" s="20" t="s">
        <v>31</v>
      </c>
      <c r="U133" s="21" t="s">
        <v>181</v>
      </c>
      <c r="V133" s="100"/>
      <c r="W133" s="100"/>
      <c r="X133" s="100"/>
      <c r="Y133" s="100"/>
      <c r="Z133" s="100"/>
    </row>
    <row r="134" spans="1:26" x14ac:dyDescent="0.25">
      <c r="A134" s="96">
        <v>131</v>
      </c>
      <c r="B134" s="15">
        <v>220395</v>
      </c>
      <c r="C134" s="15">
        <v>2022</v>
      </c>
      <c r="D134" s="15">
        <f t="shared" si="2"/>
        <v>10</v>
      </c>
      <c r="E134" s="16">
        <v>44737</v>
      </c>
      <c r="F134" s="24">
        <v>44846</v>
      </c>
      <c r="G134" s="14" t="s">
        <v>547</v>
      </c>
      <c r="H134" s="98" t="s">
        <v>548</v>
      </c>
      <c r="I134" s="20" t="s">
        <v>63</v>
      </c>
      <c r="J134" s="99">
        <v>55</v>
      </c>
      <c r="K134" s="17" t="s">
        <v>1115</v>
      </c>
      <c r="L134" s="17" t="s">
        <v>1118</v>
      </c>
      <c r="M134" s="14" t="s">
        <v>36</v>
      </c>
      <c r="N134" s="14" t="s">
        <v>36</v>
      </c>
      <c r="O134" s="17" t="s">
        <v>219</v>
      </c>
      <c r="P134" s="17" t="s">
        <v>176</v>
      </c>
      <c r="Q134" s="17" t="s">
        <v>29</v>
      </c>
      <c r="R134" s="17" t="s">
        <v>141</v>
      </c>
      <c r="S134" s="19">
        <v>2000</v>
      </c>
      <c r="T134" s="20" t="s">
        <v>58</v>
      </c>
      <c r="U134" s="21" t="s">
        <v>549</v>
      </c>
      <c r="V134" s="100"/>
      <c r="W134" s="100"/>
      <c r="X134" s="100"/>
      <c r="Y134" s="100"/>
      <c r="Z134" s="100"/>
    </row>
    <row r="135" spans="1:26" x14ac:dyDescent="0.25">
      <c r="A135" s="96">
        <v>132</v>
      </c>
      <c r="B135" s="15">
        <v>220396</v>
      </c>
      <c r="C135" s="15">
        <v>2022</v>
      </c>
      <c r="D135" s="15">
        <f t="shared" si="2"/>
        <v>9</v>
      </c>
      <c r="E135" s="16">
        <v>44737</v>
      </c>
      <c r="F135" s="24">
        <v>44825</v>
      </c>
      <c r="G135" s="14" t="s">
        <v>550</v>
      </c>
      <c r="H135" s="98" t="s">
        <v>551</v>
      </c>
      <c r="I135" s="20" t="s">
        <v>63</v>
      </c>
      <c r="J135" s="99">
        <v>15</v>
      </c>
      <c r="K135" s="17" t="s">
        <v>1115</v>
      </c>
      <c r="L135" s="17" t="s">
        <v>1118</v>
      </c>
      <c r="M135" s="14" t="s">
        <v>239</v>
      </c>
      <c r="N135" s="14" t="s">
        <v>36</v>
      </c>
      <c r="O135" s="17" t="s">
        <v>239</v>
      </c>
      <c r="P135" s="17" t="s">
        <v>161</v>
      </c>
      <c r="Q135" s="17" t="s">
        <v>29</v>
      </c>
      <c r="R135" s="17" t="s">
        <v>552</v>
      </c>
      <c r="S135" s="19">
        <v>6000</v>
      </c>
      <c r="T135" s="20" t="s">
        <v>58</v>
      </c>
      <c r="U135" s="21" t="s">
        <v>553</v>
      </c>
      <c r="V135" s="100"/>
      <c r="W135" s="100"/>
      <c r="X135" s="100"/>
      <c r="Y135" s="100"/>
      <c r="Z135" s="100"/>
    </row>
    <row r="136" spans="1:26" x14ac:dyDescent="0.25">
      <c r="A136" s="96">
        <v>133</v>
      </c>
      <c r="B136" s="15">
        <v>220398</v>
      </c>
      <c r="C136" s="15">
        <v>2022</v>
      </c>
      <c r="D136" s="15">
        <f t="shared" si="2"/>
        <v>7</v>
      </c>
      <c r="E136" s="16">
        <v>44701</v>
      </c>
      <c r="F136" s="24">
        <v>44760</v>
      </c>
      <c r="G136" s="14" t="s">
        <v>554</v>
      </c>
      <c r="H136" s="98" t="s">
        <v>555</v>
      </c>
      <c r="I136" s="20" t="s">
        <v>24</v>
      </c>
      <c r="J136" s="99">
        <v>34</v>
      </c>
      <c r="K136" s="17" t="s">
        <v>1115</v>
      </c>
      <c r="L136" s="17" t="s">
        <v>1118</v>
      </c>
      <c r="M136" s="14" t="s">
        <v>556</v>
      </c>
      <c r="N136" s="14" t="s">
        <v>36</v>
      </c>
      <c r="O136" s="17" t="s">
        <v>556</v>
      </c>
      <c r="P136" s="17" t="s">
        <v>176</v>
      </c>
      <c r="Q136" s="17" t="s">
        <v>29</v>
      </c>
      <c r="R136" s="17" t="s">
        <v>230</v>
      </c>
      <c r="S136" s="19">
        <v>8000</v>
      </c>
      <c r="T136" s="20" t="s">
        <v>58</v>
      </c>
      <c r="U136" s="21" t="s">
        <v>557</v>
      </c>
      <c r="V136" s="100"/>
      <c r="W136" s="100"/>
      <c r="X136" s="100"/>
      <c r="Y136" s="100"/>
      <c r="Z136" s="100"/>
    </row>
    <row r="137" spans="1:26" x14ac:dyDescent="0.25">
      <c r="A137" s="96">
        <v>134</v>
      </c>
      <c r="B137" s="15">
        <v>220400</v>
      </c>
      <c r="C137" s="15">
        <v>2022</v>
      </c>
      <c r="D137" s="15">
        <f t="shared" si="2"/>
        <v>9</v>
      </c>
      <c r="E137" s="16">
        <v>44744</v>
      </c>
      <c r="F137" s="24">
        <v>44823</v>
      </c>
      <c r="G137" s="14" t="s">
        <v>558</v>
      </c>
      <c r="H137" s="98" t="s">
        <v>559</v>
      </c>
      <c r="I137" s="20" t="s">
        <v>24</v>
      </c>
      <c r="J137" s="99">
        <v>17</v>
      </c>
      <c r="K137" s="17" t="s">
        <v>1115</v>
      </c>
      <c r="L137" s="17" t="s">
        <v>1118</v>
      </c>
      <c r="M137" s="14" t="s">
        <v>430</v>
      </c>
      <c r="N137" s="14" t="s">
        <v>36</v>
      </c>
      <c r="O137" s="17" t="s">
        <v>430</v>
      </c>
      <c r="P137" s="17" t="s">
        <v>560</v>
      </c>
      <c r="Q137" s="17" t="s">
        <v>29</v>
      </c>
      <c r="R137" s="17" t="s">
        <v>561</v>
      </c>
      <c r="S137" s="19">
        <v>400</v>
      </c>
      <c r="T137" s="20" t="s">
        <v>46</v>
      </c>
      <c r="U137" s="21" t="s">
        <v>46</v>
      </c>
      <c r="V137" s="100"/>
      <c r="W137" s="100"/>
      <c r="X137" s="100"/>
      <c r="Y137" s="100"/>
      <c r="Z137" s="100"/>
    </row>
    <row r="138" spans="1:26" x14ac:dyDescent="0.25">
      <c r="A138" s="96">
        <v>135</v>
      </c>
      <c r="B138" s="15">
        <v>220402</v>
      </c>
      <c r="C138" s="15">
        <v>2022</v>
      </c>
      <c r="D138" s="15">
        <f t="shared" si="2"/>
        <v>11</v>
      </c>
      <c r="E138" s="16">
        <v>44730</v>
      </c>
      <c r="F138" s="24">
        <v>44876</v>
      </c>
      <c r="G138" s="14" t="s">
        <v>562</v>
      </c>
      <c r="H138" s="98" t="s">
        <v>563</v>
      </c>
      <c r="I138" s="20" t="s">
        <v>24</v>
      </c>
      <c r="J138" s="99">
        <v>38</v>
      </c>
      <c r="K138" s="17" t="s">
        <v>1116</v>
      </c>
      <c r="L138" s="17" t="s">
        <v>31</v>
      </c>
      <c r="M138" s="14" t="s">
        <v>196</v>
      </c>
      <c r="N138" s="14" t="s">
        <v>26</v>
      </c>
      <c r="O138" s="17" t="s">
        <v>196</v>
      </c>
      <c r="P138" s="17" t="s">
        <v>28</v>
      </c>
      <c r="Q138" s="17" t="s">
        <v>29</v>
      </c>
      <c r="R138" s="18" t="s">
        <v>30</v>
      </c>
      <c r="S138" s="19">
        <v>4350</v>
      </c>
      <c r="T138" s="20" t="s">
        <v>31</v>
      </c>
      <c r="U138" s="21" t="s">
        <v>31</v>
      </c>
      <c r="V138" s="100"/>
      <c r="W138" s="100"/>
      <c r="X138" s="100"/>
      <c r="Y138" s="100"/>
      <c r="Z138" s="100"/>
    </row>
    <row r="139" spans="1:26" x14ac:dyDescent="0.25">
      <c r="A139" s="96">
        <v>136</v>
      </c>
      <c r="B139" s="15">
        <v>220403</v>
      </c>
      <c r="C139" s="15">
        <v>2022</v>
      </c>
      <c r="D139" s="15">
        <f t="shared" si="2"/>
        <v>10</v>
      </c>
      <c r="E139" s="16">
        <v>44744</v>
      </c>
      <c r="F139" s="24">
        <v>44847</v>
      </c>
      <c r="G139" s="14" t="s">
        <v>564</v>
      </c>
      <c r="H139" s="98" t="s">
        <v>565</v>
      </c>
      <c r="I139" s="20" t="s">
        <v>24</v>
      </c>
      <c r="J139" s="99">
        <v>55</v>
      </c>
      <c r="K139" s="17" t="s">
        <v>1115</v>
      </c>
      <c r="L139" s="17" t="s">
        <v>1118</v>
      </c>
      <c r="M139" s="14" t="s">
        <v>242</v>
      </c>
      <c r="N139" s="14" t="s">
        <v>36</v>
      </c>
      <c r="O139" s="17" t="s">
        <v>243</v>
      </c>
      <c r="P139" s="17" t="s">
        <v>56</v>
      </c>
      <c r="Q139" s="17" t="s">
        <v>29</v>
      </c>
      <c r="R139" s="17" t="s">
        <v>109</v>
      </c>
      <c r="S139" s="19">
        <v>5000</v>
      </c>
      <c r="T139" s="20" t="s">
        <v>58</v>
      </c>
      <c r="U139" s="21" t="s">
        <v>566</v>
      </c>
      <c r="V139" s="100"/>
      <c r="W139" s="100"/>
      <c r="X139" s="100"/>
      <c r="Y139" s="100"/>
      <c r="Z139" s="100"/>
    </row>
    <row r="140" spans="1:26" x14ac:dyDescent="0.25">
      <c r="A140" s="96">
        <v>137</v>
      </c>
      <c r="B140" s="15">
        <v>220406</v>
      </c>
      <c r="C140" s="15">
        <v>2022</v>
      </c>
      <c r="D140" s="15">
        <f t="shared" si="2"/>
        <v>7</v>
      </c>
      <c r="E140" s="16">
        <v>44731</v>
      </c>
      <c r="F140" s="24">
        <v>44757</v>
      </c>
      <c r="G140" s="14" t="s">
        <v>567</v>
      </c>
      <c r="H140" s="98" t="s">
        <v>568</v>
      </c>
      <c r="I140" s="20" t="s">
        <v>24</v>
      </c>
      <c r="J140" s="99">
        <v>50</v>
      </c>
      <c r="K140" s="17" t="s">
        <v>1116</v>
      </c>
      <c r="L140" s="17" t="s">
        <v>31</v>
      </c>
      <c r="M140" s="14" t="s">
        <v>280</v>
      </c>
      <c r="N140" s="14" t="s">
        <v>280</v>
      </c>
      <c r="O140" s="17" t="s">
        <v>569</v>
      </c>
      <c r="P140" s="17" t="s">
        <v>28</v>
      </c>
      <c r="Q140" s="17" t="s">
        <v>29</v>
      </c>
      <c r="R140" s="18" t="s">
        <v>30</v>
      </c>
      <c r="S140" s="19">
        <v>4600</v>
      </c>
      <c r="T140" s="20" t="s">
        <v>31</v>
      </c>
      <c r="U140" s="21" t="s">
        <v>181</v>
      </c>
      <c r="V140" s="100"/>
      <c r="W140" s="100"/>
      <c r="X140" s="100"/>
      <c r="Y140" s="100"/>
      <c r="Z140" s="100"/>
    </row>
    <row r="141" spans="1:26" x14ac:dyDescent="0.25">
      <c r="A141" s="96">
        <v>138</v>
      </c>
      <c r="B141" s="15">
        <v>220408</v>
      </c>
      <c r="C141" s="15">
        <v>2022</v>
      </c>
      <c r="D141" s="15">
        <f t="shared" si="2"/>
        <v>12</v>
      </c>
      <c r="E141" s="16">
        <v>44743</v>
      </c>
      <c r="F141" s="24">
        <v>44914</v>
      </c>
      <c r="G141" s="14" t="s">
        <v>570</v>
      </c>
      <c r="H141" s="98" t="s">
        <v>571</v>
      </c>
      <c r="I141" s="20" t="s">
        <v>24</v>
      </c>
      <c r="J141" s="99">
        <v>50</v>
      </c>
      <c r="K141" s="17" t="s">
        <v>1115</v>
      </c>
      <c r="L141" s="17" t="s">
        <v>1118</v>
      </c>
      <c r="M141" s="14" t="s">
        <v>210</v>
      </c>
      <c r="N141" s="14" t="s">
        <v>36</v>
      </c>
      <c r="O141" s="17" t="s">
        <v>210</v>
      </c>
      <c r="P141" s="17" t="s">
        <v>176</v>
      </c>
      <c r="Q141" s="17" t="s">
        <v>29</v>
      </c>
      <c r="R141" s="17" t="s">
        <v>457</v>
      </c>
      <c r="S141" s="19">
        <v>3500</v>
      </c>
      <c r="T141" s="20" t="s">
        <v>58</v>
      </c>
      <c r="U141" s="21" t="s">
        <v>566</v>
      </c>
      <c r="V141" s="100"/>
      <c r="W141" s="100"/>
      <c r="X141" s="100"/>
      <c r="Y141" s="100"/>
      <c r="Z141" s="100"/>
    </row>
    <row r="142" spans="1:26" x14ac:dyDescent="0.25">
      <c r="A142" s="96">
        <v>139</v>
      </c>
      <c r="B142" s="15">
        <v>220409</v>
      </c>
      <c r="C142" s="15">
        <v>2022</v>
      </c>
      <c r="D142" s="15">
        <f t="shared" si="2"/>
        <v>10</v>
      </c>
      <c r="E142" s="16">
        <v>44576</v>
      </c>
      <c r="F142" s="24">
        <v>44840</v>
      </c>
      <c r="G142" s="14" t="s">
        <v>572</v>
      </c>
      <c r="H142" s="98" t="s">
        <v>573</v>
      </c>
      <c r="I142" s="20" t="s">
        <v>24</v>
      </c>
      <c r="J142" s="99">
        <v>41</v>
      </c>
      <c r="K142" s="17" t="s">
        <v>1116</v>
      </c>
      <c r="L142" s="17" t="s">
        <v>31</v>
      </c>
      <c r="M142" s="14" t="s">
        <v>25</v>
      </c>
      <c r="N142" s="14" t="s">
        <v>26</v>
      </c>
      <c r="O142" s="17" t="s">
        <v>25</v>
      </c>
      <c r="P142" s="17" t="s">
        <v>161</v>
      </c>
      <c r="Q142" s="17" t="s">
        <v>29</v>
      </c>
      <c r="R142" s="18" t="s">
        <v>30</v>
      </c>
      <c r="S142" s="19">
        <v>3500</v>
      </c>
      <c r="T142" s="20" t="s">
        <v>31</v>
      </c>
      <c r="U142" s="21" t="s">
        <v>181</v>
      </c>
      <c r="V142" s="100"/>
      <c r="W142" s="100"/>
      <c r="X142" s="100"/>
      <c r="Y142" s="100"/>
      <c r="Z142" s="100"/>
    </row>
    <row r="143" spans="1:26" x14ac:dyDescent="0.25">
      <c r="A143" s="96">
        <v>140</v>
      </c>
      <c r="B143" s="15">
        <v>220418</v>
      </c>
      <c r="C143" s="15">
        <v>2022</v>
      </c>
      <c r="D143" s="15">
        <f t="shared" si="2"/>
        <v>11</v>
      </c>
      <c r="E143" s="16">
        <v>44743</v>
      </c>
      <c r="F143" s="24">
        <v>44888</v>
      </c>
      <c r="G143" s="14" t="s">
        <v>574</v>
      </c>
      <c r="H143" s="98" t="s">
        <v>575</v>
      </c>
      <c r="I143" s="20" t="s">
        <v>63</v>
      </c>
      <c r="J143" s="99">
        <v>79</v>
      </c>
      <c r="K143" s="17" t="s">
        <v>1115</v>
      </c>
      <c r="L143" s="17" t="s">
        <v>1118</v>
      </c>
      <c r="M143" s="14" t="s">
        <v>576</v>
      </c>
      <c r="N143" s="14" t="s">
        <v>577</v>
      </c>
      <c r="O143" s="17" t="s">
        <v>577</v>
      </c>
      <c r="P143" s="17" t="s">
        <v>56</v>
      </c>
      <c r="Q143" s="17" t="s">
        <v>29</v>
      </c>
      <c r="R143" s="17" t="s">
        <v>578</v>
      </c>
      <c r="S143" s="19">
        <v>5000</v>
      </c>
      <c r="T143" s="20" t="s">
        <v>58</v>
      </c>
      <c r="U143" s="21" t="s">
        <v>579</v>
      </c>
      <c r="V143" s="100"/>
      <c r="W143" s="100"/>
      <c r="X143" s="100"/>
      <c r="Y143" s="100"/>
      <c r="Z143" s="100"/>
    </row>
    <row r="144" spans="1:26" x14ac:dyDescent="0.25">
      <c r="A144" s="96">
        <v>141</v>
      </c>
      <c r="B144" s="15">
        <v>220419</v>
      </c>
      <c r="C144" s="15">
        <v>2022</v>
      </c>
      <c r="D144" s="15">
        <f t="shared" si="2"/>
        <v>9</v>
      </c>
      <c r="E144" s="16">
        <v>44699</v>
      </c>
      <c r="F144" s="24">
        <v>44816</v>
      </c>
      <c r="G144" s="14" t="s">
        <v>580</v>
      </c>
      <c r="H144" s="98" t="s">
        <v>581</v>
      </c>
      <c r="I144" s="20" t="s">
        <v>24</v>
      </c>
      <c r="J144" s="99">
        <v>44</v>
      </c>
      <c r="K144" s="17" t="s">
        <v>1116</v>
      </c>
      <c r="L144" s="17" t="s">
        <v>31</v>
      </c>
      <c r="M144" s="14" t="s">
        <v>35</v>
      </c>
      <c r="N144" s="14" t="s">
        <v>36</v>
      </c>
      <c r="O144" s="17" t="s">
        <v>108</v>
      </c>
      <c r="P144" s="17" t="s">
        <v>161</v>
      </c>
      <c r="Q144" s="17" t="s">
        <v>29</v>
      </c>
      <c r="R144" s="18" t="s">
        <v>30</v>
      </c>
      <c r="S144" s="19">
        <v>1230</v>
      </c>
      <c r="T144" s="20" t="s">
        <v>31</v>
      </c>
      <c r="U144" s="21" t="s">
        <v>31</v>
      </c>
      <c r="V144" s="100"/>
      <c r="W144" s="100"/>
      <c r="X144" s="100"/>
      <c r="Y144" s="100"/>
      <c r="Z144" s="100"/>
    </row>
    <row r="145" spans="1:26" x14ac:dyDescent="0.25">
      <c r="A145" s="96">
        <v>142</v>
      </c>
      <c r="B145" s="15">
        <v>220429</v>
      </c>
      <c r="C145" s="15">
        <v>2022</v>
      </c>
      <c r="D145" s="15">
        <f t="shared" si="2"/>
        <v>8</v>
      </c>
      <c r="E145" s="16">
        <v>44748</v>
      </c>
      <c r="F145" s="24">
        <v>44795</v>
      </c>
      <c r="G145" s="14" t="s">
        <v>582</v>
      </c>
      <c r="H145" s="98" t="s">
        <v>583</v>
      </c>
      <c r="I145" s="20" t="s">
        <v>63</v>
      </c>
      <c r="J145" s="99">
        <v>45</v>
      </c>
      <c r="K145" s="17" t="s">
        <v>1115</v>
      </c>
      <c r="L145" s="17" t="s">
        <v>1118</v>
      </c>
      <c r="M145" s="14" t="s">
        <v>134</v>
      </c>
      <c r="N145" s="14" t="s">
        <v>135</v>
      </c>
      <c r="O145" s="17" t="s">
        <v>584</v>
      </c>
      <c r="P145" s="17" t="s">
        <v>176</v>
      </c>
      <c r="Q145" s="17" t="s">
        <v>29</v>
      </c>
      <c r="R145" s="17" t="s">
        <v>585</v>
      </c>
      <c r="S145" s="19">
        <v>3000</v>
      </c>
      <c r="T145" s="20" t="s">
        <v>46</v>
      </c>
      <c r="U145" s="21" t="s">
        <v>46</v>
      </c>
      <c r="V145" s="100"/>
      <c r="W145" s="100"/>
      <c r="X145" s="100"/>
      <c r="Y145" s="100"/>
      <c r="Z145" s="100"/>
    </row>
    <row r="146" spans="1:26" x14ac:dyDescent="0.25">
      <c r="A146" s="96">
        <v>143</v>
      </c>
      <c r="B146" s="15">
        <v>220430</v>
      </c>
      <c r="C146" s="15">
        <v>2022</v>
      </c>
      <c r="D146" s="15">
        <f t="shared" si="2"/>
        <v>11</v>
      </c>
      <c r="E146" s="16">
        <v>44746</v>
      </c>
      <c r="F146" s="24">
        <v>44880</v>
      </c>
      <c r="G146" s="14" t="s">
        <v>586</v>
      </c>
      <c r="H146" s="98" t="s">
        <v>587</v>
      </c>
      <c r="I146" s="20" t="s">
        <v>24</v>
      </c>
      <c r="J146" s="99">
        <v>60</v>
      </c>
      <c r="K146" s="17" t="s">
        <v>1115</v>
      </c>
      <c r="L146" s="17" t="s">
        <v>1118</v>
      </c>
      <c r="M146" s="14" t="s">
        <v>148</v>
      </c>
      <c r="N146" s="14" t="s">
        <v>148</v>
      </c>
      <c r="O146" s="17" t="s">
        <v>148</v>
      </c>
      <c r="P146" s="17" t="s">
        <v>104</v>
      </c>
      <c r="Q146" s="17" t="s">
        <v>29</v>
      </c>
      <c r="R146" s="17" t="s">
        <v>588</v>
      </c>
      <c r="S146" s="19">
        <v>1000</v>
      </c>
      <c r="T146" s="20" t="s">
        <v>39</v>
      </c>
      <c r="U146" s="21" t="s">
        <v>39</v>
      </c>
      <c r="V146" s="100"/>
      <c r="W146" s="100"/>
      <c r="X146" s="100"/>
      <c r="Y146" s="100"/>
      <c r="Z146" s="100"/>
    </row>
    <row r="147" spans="1:26" x14ac:dyDescent="0.25">
      <c r="A147" s="96">
        <v>144</v>
      </c>
      <c r="B147" s="15">
        <v>220436</v>
      </c>
      <c r="C147" s="15">
        <v>2022</v>
      </c>
      <c r="D147" s="15">
        <f t="shared" si="2"/>
        <v>10</v>
      </c>
      <c r="E147" s="16">
        <v>44408</v>
      </c>
      <c r="F147" s="24">
        <v>44852</v>
      </c>
      <c r="G147" s="14" t="s">
        <v>589</v>
      </c>
      <c r="H147" s="98" t="s">
        <v>590</v>
      </c>
      <c r="I147" s="20" t="s">
        <v>24</v>
      </c>
      <c r="J147" s="99">
        <v>37</v>
      </c>
      <c r="K147" s="17" t="s">
        <v>1115</v>
      </c>
      <c r="L147" s="17" t="s">
        <v>1118</v>
      </c>
      <c r="M147" s="14" t="s">
        <v>261</v>
      </c>
      <c r="N147" s="14" t="s">
        <v>261</v>
      </c>
      <c r="O147" s="17" t="s">
        <v>118</v>
      </c>
      <c r="P147" s="17" t="s">
        <v>28</v>
      </c>
      <c r="Q147" s="17" t="s">
        <v>29</v>
      </c>
      <c r="R147" s="17" t="s">
        <v>119</v>
      </c>
      <c r="S147" s="19">
        <v>200</v>
      </c>
      <c r="T147" s="20" t="s">
        <v>39</v>
      </c>
      <c r="U147" s="21" t="s">
        <v>39</v>
      </c>
      <c r="V147" s="100"/>
      <c r="W147" s="100"/>
      <c r="X147" s="100"/>
      <c r="Y147" s="100"/>
      <c r="Z147" s="100"/>
    </row>
    <row r="148" spans="1:26" x14ac:dyDescent="0.25">
      <c r="A148" s="96">
        <v>145</v>
      </c>
      <c r="B148" s="15">
        <v>220437</v>
      </c>
      <c r="C148" s="15">
        <v>2022</v>
      </c>
      <c r="D148" s="15">
        <f t="shared" si="2"/>
        <v>12</v>
      </c>
      <c r="E148" s="16">
        <v>44742</v>
      </c>
      <c r="F148" s="24">
        <v>44897</v>
      </c>
      <c r="G148" s="14" t="s">
        <v>591</v>
      </c>
      <c r="H148" s="98" t="s">
        <v>592</v>
      </c>
      <c r="I148" s="20" t="s">
        <v>24</v>
      </c>
      <c r="J148" s="99">
        <v>26</v>
      </c>
      <c r="K148" s="17" t="s">
        <v>1115</v>
      </c>
      <c r="L148" s="17" t="s">
        <v>1118</v>
      </c>
      <c r="M148" s="14" t="s">
        <v>593</v>
      </c>
      <c r="N148" s="14" t="s">
        <v>593</v>
      </c>
      <c r="O148" s="17" t="s">
        <v>594</v>
      </c>
      <c r="P148" s="17" t="s">
        <v>56</v>
      </c>
      <c r="Q148" s="17" t="s">
        <v>29</v>
      </c>
      <c r="R148" s="17" t="s">
        <v>595</v>
      </c>
      <c r="S148" s="19">
        <v>12000</v>
      </c>
      <c r="T148" s="20" t="s">
        <v>58</v>
      </c>
      <c r="U148" s="21" t="s">
        <v>58</v>
      </c>
      <c r="V148" s="100"/>
      <c r="W148" s="100"/>
      <c r="X148" s="100"/>
      <c r="Y148" s="100"/>
      <c r="Z148" s="100"/>
    </row>
    <row r="149" spans="1:26" x14ac:dyDescent="0.25">
      <c r="A149" s="96">
        <v>146</v>
      </c>
      <c r="B149" s="15">
        <v>220440</v>
      </c>
      <c r="C149" s="15">
        <v>2022</v>
      </c>
      <c r="D149" s="15">
        <f t="shared" si="2"/>
        <v>8</v>
      </c>
      <c r="E149" s="16">
        <v>44752</v>
      </c>
      <c r="F149" s="24">
        <v>44777</v>
      </c>
      <c r="G149" s="14" t="s">
        <v>596</v>
      </c>
      <c r="H149" s="98" t="s">
        <v>597</v>
      </c>
      <c r="I149" s="20" t="s">
        <v>63</v>
      </c>
      <c r="J149" s="99">
        <v>76</v>
      </c>
      <c r="K149" s="17" t="s">
        <v>1115</v>
      </c>
      <c r="L149" s="17" t="s">
        <v>1118</v>
      </c>
      <c r="M149" s="14" t="s">
        <v>36</v>
      </c>
      <c r="N149" s="14" t="s">
        <v>36</v>
      </c>
      <c r="O149" s="18" t="s">
        <v>410</v>
      </c>
      <c r="P149" s="17" t="s">
        <v>104</v>
      </c>
      <c r="Q149" s="17" t="s">
        <v>29</v>
      </c>
      <c r="R149" s="17" t="s">
        <v>479</v>
      </c>
      <c r="S149" s="19">
        <v>9000</v>
      </c>
      <c r="T149" s="20" t="s">
        <v>58</v>
      </c>
      <c r="U149" s="21" t="s">
        <v>58</v>
      </c>
      <c r="V149" s="100"/>
      <c r="W149" s="100"/>
      <c r="X149" s="100"/>
      <c r="Y149" s="100"/>
      <c r="Z149" s="100"/>
    </row>
    <row r="150" spans="1:26" x14ac:dyDescent="0.25">
      <c r="A150" s="96">
        <v>147</v>
      </c>
      <c r="B150" s="15">
        <v>220441</v>
      </c>
      <c r="C150" s="15">
        <v>2022</v>
      </c>
      <c r="D150" s="15">
        <f t="shared" si="2"/>
        <v>9</v>
      </c>
      <c r="E150" s="16">
        <v>44752</v>
      </c>
      <c r="F150" s="24">
        <v>44816</v>
      </c>
      <c r="G150" s="14" t="s">
        <v>598</v>
      </c>
      <c r="H150" s="98" t="s">
        <v>599</v>
      </c>
      <c r="I150" s="20" t="s">
        <v>24</v>
      </c>
      <c r="J150" s="99">
        <v>45</v>
      </c>
      <c r="K150" s="17" t="s">
        <v>1115</v>
      </c>
      <c r="L150" s="17" t="s">
        <v>1118</v>
      </c>
      <c r="M150" s="14" t="s">
        <v>171</v>
      </c>
      <c r="N150" s="14" t="s">
        <v>36</v>
      </c>
      <c r="O150" s="17" t="s">
        <v>324</v>
      </c>
      <c r="P150" s="17" t="s">
        <v>28</v>
      </c>
      <c r="Q150" s="17" t="s">
        <v>29</v>
      </c>
      <c r="R150" s="17" t="s">
        <v>479</v>
      </c>
      <c r="S150" s="19">
        <v>2000</v>
      </c>
      <c r="T150" s="20" t="s">
        <v>58</v>
      </c>
      <c r="U150" s="21" t="s">
        <v>600</v>
      </c>
      <c r="V150" s="100"/>
      <c r="W150" s="100"/>
      <c r="X150" s="100"/>
      <c r="Y150" s="100"/>
      <c r="Z150" s="100"/>
    </row>
    <row r="151" spans="1:26" x14ac:dyDescent="0.25">
      <c r="A151" s="96">
        <v>148</v>
      </c>
      <c r="B151" s="15">
        <v>220442</v>
      </c>
      <c r="C151" s="15">
        <v>2022</v>
      </c>
      <c r="D151" s="15">
        <f t="shared" si="2"/>
        <v>9</v>
      </c>
      <c r="E151" s="16">
        <v>44738</v>
      </c>
      <c r="F151" s="24">
        <v>44813</v>
      </c>
      <c r="G151" s="14" t="s">
        <v>601</v>
      </c>
      <c r="H151" s="98" t="s">
        <v>602</v>
      </c>
      <c r="I151" s="20" t="s">
        <v>63</v>
      </c>
      <c r="J151" s="99">
        <v>78</v>
      </c>
      <c r="K151" s="17" t="s">
        <v>1116</v>
      </c>
      <c r="L151" s="17" t="s">
        <v>31</v>
      </c>
      <c r="M151" s="14" t="s">
        <v>266</v>
      </c>
      <c r="N151" s="14" t="s">
        <v>167</v>
      </c>
      <c r="O151" s="17" t="s">
        <v>307</v>
      </c>
      <c r="P151" s="17" t="s">
        <v>28</v>
      </c>
      <c r="Q151" s="17" t="s">
        <v>29</v>
      </c>
      <c r="R151" s="18" t="s">
        <v>30</v>
      </c>
      <c r="S151" s="19">
        <v>4600</v>
      </c>
      <c r="T151" s="20" t="s">
        <v>31</v>
      </c>
      <c r="U151" s="21" t="s">
        <v>31</v>
      </c>
      <c r="V151" s="100"/>
      <c r="W151" s="100"/>
      <c r="X151" s="100"/>
      <c r="Y151" s="100"/>
      <c r="Z151" s="100"/>
    </row>
    <row r="152" spans="1:26" x14ac:dyDescent="0.25">
      <c r="A152" s="96">
        <v>149</v>
      </c>
      <c r="B152" s="15">
        <v>220443</v>
      </c>
      <c r="C152" s="15">
        <v>2022</v>
      </c>
      <c r="D152" s="15">
        <f t="shared" si="2"/>
        <v>9</v>
      </c>
      <c r="E152" s="16">
        <v>44738</v>
      </c>
      <c r="F152" s="24">
        <v>44813</v>
      </c>
      <c r="G152" s="14" t="s">
        <v>603</v>
      </c>
      <c r="H152" s="98" t="s">
        <v>604</v>
      </c>
      <c r="I152" s="20" t="s">
        <v>24</v>
      </c>
      <c r="J152" s="99">
        <v>80</v>
      </c>
      <c r="K152" s="17" t="s">
        <v>1116</v>
      </c>
      <c r="L152" s="17" t="s">
        <v>31</v>
      </c>
      <c r="M152" s="14" t="s">
        <v>266</v>
      </c>
      <c r="N152" s="14" t="s">
        <v>167</v>
      </c>
      <c r="O152" s="17" t="s">
        <v>307</v>
      </c>
      <c r="P152" s="17" t="s">
        <v>28</v>
      </c>
      <c r="Q152" s="17" t="s">
        <v>29</v>
      </c>
      <c r="R152" s="18" t="s">
        <v>30</v>
      </c>
      <c r="S152" s="19">
        <v>4600</v>
      </c>
      <c r="T152" s="20" t="s">
        <v>31</v>
      </c>
      <c r="U152" s="21" t="s">
        <v>31</v>
      </c>
      <c r="V152" s="100"/>
      <c r="W152" s="100"/>
      <c r="X152" s="100"/>
      <c r="Y152" s="100"/>
      <c r="Z152" s="100"/>
    </row>
    <row r="153" spans="1:26" x14ac:dyDescent="0.25">
      <c r="A153" s="96">
        <v>150</v>
      </c>
      <c r="B153" s="15">
        <v>220445</v>
      </c>
      <c r="C153" s="15">
        <v>2022</v>
      </c>
      <c r="D153" s="15">
        <f t="shared" si="2"/>
        <v>8</v>
      </c>
      <c r="E153" s="16">
        <v>44753</v>
      </c>
      <c r="F153" s="24">
        <v>44799</v>
      </c>
      <c r="G153" s="14" t="s">
        <v>605</v>
      </c>
      <c r="H153" s="98" t="s">
        <v>606</v>
      </c>
      <c r="I153" s="20" t="s">
        <v>24</v>
      </c>
      <c r="J153" s="99">
        <v>58</v>
      </c>
      <c r="K153" s="17" t="s">
        <v>1115</v>
      </c>
      <c r="L153" s="17" t="s">
        <v>1118</v>
      </c>
      <c r="M153" s="14" t="s">
        <v>607</v>
      </c>
      <c r="N153" s="14" t="s">
        <v>36</v>
      </c>
      <c r="O153" s="17" t="s">
        <v>608</v>
      </c>
      <c r="P153" s="17" t="s">
        <v>28</v>
      </c>
      <c r="Q153" s="17" t="s">
        <v>29</v>
      </c>
      <c r="R153" s="17" t="s">
        <v>561</v>
      </c>
      <c r="S153" s="19">
        <v>4000</v>
      </c>
      <c r="T153" s="20" t="s">
        <v>58</v>
      </c>
      <c r="U153" s="21" t="s">
        <v>58</v>
      </c>
      <c r="V153" s="100"/>
      <c r="W153" s="100"/>
      <c r="X153" s="100"/>
      <c r="Y153" s="100"/>
      <c r="Z153" s="100"/>
    </row>
    <row r="154" spans="1:26" x14ac:dyDescent="0.25">
      <c r="A154" s="96">
        <v>151</v>
      </c>
      <c r="B154" s="15">
        <v>220447</v>
      </c>
      <c r="C154" s="15">
        <v>2022</v>
      </c>
      <c r="D154" s="15">
        <f t="shared" si="2"/>
        <v>10</v>
      </c>
      <c r="E154" s="16">
        <v>44754</v>
      </c>
      <c r="F154" s="24">
        <v>44859</v>
      </c>
      <c r="G154" s="14" t="s">
        <v>609</v>
      </c>
      <c r="H154" s="98" t="s">
        <v>610</v>
      </c>
      <c r="I154" s="20" t="s">
        <v>24</v>
      </c>
      <c r="J154" s="99">
        <v>3</v>
      </c>
      <c r="K154" s="17" t="s">
        <v>1115</v>
      </c>
      <c r="L154" s="17" t="s">
        <v>1118</v>
      </c>
      <c r="M154" s="14" t="s">
        <v>611</v>
      </c>
      <c r="N154" s="14" t="s">
        <v>167</v>
      </c>
      <c r="O154" s="17" t="s">
        <v>180</v>
      </c>
      <c r="P154" s="17" t="s">
        <v>176</v>
      </c>
      <c r="Q154" s="17" t="s">
        <v>29</v>
      </c>
      <c r="R154" s="17" t="s">
        <v>612</v>
      </c>
      <c r="S154" s="19">
        <v>1000</v>
      </c>
      <c r="T154" s="20" t="s">
        <v>58</v>
      </c>
      <c r="U154" s="21" t="s">
        <v>613</v>
      </c>
      <c r="V154" s="100"/>
      <c r="W154" s="100"/>
      <c r="X154" s="100"/>
      <c r="Y154" s="100"/>
      <c r="Z154" s="100"/>
    </row>
    <row r="155" spans="1:26" x14ac:dyDescent="0.25">
      <c r="A155" s="96">
        <v>152</v>
      </c>
      <c r="B155" s="15">
        <v>220451</v>
      </c>
      <c r="C155" s="15">
        <v>2022</v>
      </c>
      <c r="D155" s="15">
        <f t="shared" si="2"/>
        <v>8</v>
      </c>
      <c r="E155" s="16">
        <v>44754</v>
      </c>
      <c r="F155" s="24">
        <v>44778</v>
      </c>
      <c r="G155" s="14" t="s">
        <v>614</v>
      </c>
      <c r="H155" s="98" t="s">
        <v>615</v>
      </c>
      <c r="I155" s="20" t="s">
        <v>24</v>
      </c>
      <c r="J155" s="99">
        <v>77</v>
      </c>
      <c r="K155" s="17" t="s">
        <v>1116</v>
      </c>
      <c r="L155" s="17" t="s">
        <v>31</v>
      </c>
      <c r="M155" s="14" t="s">
        <v>616</v>
      </c>
      <c r="N155" s="14" t="s">
        <v>36</v>
      </c>
      <c r="O155" s="17" t="s">
        <v>617</v>
      </c>
      <c r="P155" s="17" t="s">
        <v>56</v>
      </c>
      <c r="Q155" s="17" t="s">
        <v>29</v>
      </c>
      <c r="R155" s="18" t="s">
        <v>30</v>
      </c>
      <c r="S155" s="19">
        <v>800</v>
      </c>
      <c r="T155" s="20" t="s">
        <v>31</v>
      </c>
      <c r="U155" s="21" t="s">
        <v>31</v>
      </c>
      <c r="V155" s="100"/>
      <c r="W155" s="100"/>
      <c r="X155" s="100"/>
      <c r="Y155" s="100"/>
      <c r="Z155" s="100"/>
    </row>
    <row r="156" spans="1:26" x14ac:dyDescent="0.25">
      <c r="A156" s="96">
        <v>153</v>
      </c>
      <c r="B156" s="15">
        <v>220452</v>
      </c>
      <c r="C156" s="15">
        <v>2022</v>
      </c>
      <c r="D156" s="15">
        <f t="shared" si="2"/>
        <v>8</v>
      </c>
      <c r="E156" s="16">
        <v>44759</v>
      </c>
      <c r="F156" s="24">
        <v>44792</v>
      </c>
      <c r="G156" s="14" t="s">
        <v>618</v>
      </c>
      <c r="H156" s="98" t="s">
        <v>619</v>
      </c>
      <c r="I156" s="20" t="s">
        <v>63</v>
      </c>
      <c r="J156" s="99">
        <v>73</v>
      </c>
      <c r="K156" s="17" t="s">
        <v>1115</v>
      </c>
      <c r="L156" s="17" t="s">
        <v>1118</v>
      </c>
      <c r="M156" s="14" t="s">
        <v>620</v>
      </c>
      <c r="N156" s="14" t="s">
        <v>621</v>
      </c>
      <c r="O156" s="17" t="s">
        <v>622</v>
      </c>
      <c r="P156" s="17" t="s">
        <v>104</v>
      </c>
      <c r="Q156" s="17" t="s">
        <v>29</v>
      </c>
      <c r="R156" s="17" t="s">
        <v>623</v>
      </c>
      <c r="S156" s="19">
        <v>5000</v>
      </c>
      <c r="T156" s="20" t="s">
        <v>46</v>
      </c>
      <c r="U156" s="21" t="s">
        <v>46</v>
      </c>
      <c r="V156" s="100"/>
      <c r="W156" s="100"/>
      <c r="X156" s="100"/>
      <c r="Y156" s="100"/>
      <c r="Z156" s="100"/>
    </row>
    <row r="157" spans="1:26" x14ac:dyDescent="0.25">
      <c r="A157" s="96">
        <v>154</v>
      </c>
      <c r="B157" s="15">
        <v>220455</v>
      </c>
      <c r="C157" s="15">
        <v>2022</v>
      </c>
      <c r="D157" s="15">
        <f t="shared" si="2"/>
        <v>9</v>
      </c>
      <c r="E157" s="16">
        <v>44759</v>
      </c>
      <c r="F157" s="24">
        <v>44832</v>
      </c>
      <c r="G157" s="14" t="s">
        <v>624</v>
      </c>
      <c r="H157" s="98" t="s">
        <v>625</v>
      </c>
      <c r="I157" s="20" t="s">
        <v>24</v>
      </c>
      <c r="J157" s="99">
        <v>41</v>
      </c>
      <c r="K157" s="17" t="s">
        <v>1115</v>
      </c>
      <c r="L157" s="17" t="s">
        <v>1118</v>
      </c>
      <c r="M157" s="14" t="s">
        <v>36</v>
      </c>
      <c r="N157" s="14" t="s">
        <v>36</v>
      </c>
      <c r="O157" s="17" t="s">
        <v>324</v>
      </c>
      <c r="P157" s="17" t="s">
        <v>176</v>
      </c>
      <c r="Q157" s="17" t="s">
        <v>29</v>
      </c>
      <c r="R157" s="17" t="s">
        <v>479</v>
      </c>
      <c r="S157" s="19">
        <v>3000</v>
      </c>
      <c r="T157" s="20" t="s">
        <v>46</v>
      </c>
      <c r="U157" s="21" t="s">
        <v>46</v>
      </c>
      <c r="V157" s="100"/>
      <c r="W157" s="100"/>
      <c r="X157" s="100"/>
      <c r="Y157" s="100"/>
      <c r="Z157" s="100"/>
    </row>
    <row r="158" spans="1:26" x14ac:dyDescent="0.25">
      <c r="A158" s="96">
        <v>155</v>
      </c>
      <c r="B158" s="15">
        <v>220461</v>
      </c>
      <c r="C158" s="15">
        <v>2022</v>
      </c>
      <c r="D158" s="15">
        <f t="shared" si="2"/>
        <v>8</v>
      </c>
      <c r="E158" s="16">
        <v>44654</v>
      </c>
      <c r="F158" s="24">
        <v>44796</v>
      </c>
      <c r="G158" s="14" t="s">
        <v>626</v>
      </c>
      <c r="H158" s="98" t="s">
        <v>627</v>
      </c>
      <c r="I158" s="20" t="s">
        <v>24</v>
      </c>
      <c r="J158" s="99">
        <v>53</v>
      </c>
      <c r="K158" s="17" t="s">
        <v>1116</v>
      </c>
      <c r="L158" s="17" t="s">
        <v>31</v>
      </c>
      <c r="M158" s="14" t="s">
        <v>167</v>
      </c>
      <c r="N158" s="14" t="s">
        <v>167</v>
      </c>
      <c r="O158" s="17" t="s">
        <v>628</v>
      </c>
      <c r="P158" s="17" t="s">
        <v>28</v>
      </c>
      <c r="Q158" s="17" t="s">
        <v>29</v>
      </c>
      <c r="R158" s="18" t="s">
        <v>30</v>
      </c>
      <c r="S158" s="19">
        <v>4600</v>
      </c>
      <c r="T158" s="20" t="s">
        <v>31</v>
      </c>
      <c r="U158" s="21" t="s">
        <v>31</v>
      </c>
      <c r="V158" s="100"/>
      <c r="W158" s="100"/>
      <c r="X158" s="100"/>
      <c r="Y158" s="100"/>
      <c r="Z158" s="100"/>
    </row>
    <row r="159" spans="1:26" x14ac:dyDescent="0.25">
      <c r="A159" s="96">
        <v>156</v>
      </c>
      <c r="B159" s="15">
        <v>220463</v>
      </c>
      <c r="C159" s="15">
        <v>2022</v>
      </c>
      <c r="D159" s="15">
        <f t="shared" si="2"/>
        <v>9</v>
      </c>
      <c r="E159" s="16">
        <v>44765</v>
      </c>
      <c r="F159" s="24">
        <v>44806</v>
      </c>
      <c r="G159" s="14" t="s">
        <v>629</v>
      </c>
      <c r="H159" s="98" t="s">
        <v>630</v>
      </c>
      <c r="I159" s="20" t="s">
        <v>24</v>
      </c>
      <c r="J159" s="99">
        <v>59</v>
      </c>
      <c r="K159" s="17" t="s">
        <v>1115</v>
      </c>
      <c r="L159" s="17" t="s">
        <v>1118</v>
      </c>
      <c r="M159" s="14" t="s">
        <v>65</v>
      </c>
      <c r="N159" s="14" t="s">
        <v>36</v>
      </c>
      <c r="O159" s="18" t="s">
        <v>88</v>
      </c>
      <c r="P159" s="17" t="s">
        <v>56</v>
      </c>
      <c r="Q159" s="17" t="s">
        <v>29</v>
      </c>
      <c r="R159" s="17" t="s">
        <v>479</v>
      </c>
      <c r="S159" s="19">
        <v>3500</v>
      </c>
      <c r="T159" s="20" t="s">
        <v>58</v>
      </c>
      <c r="U159" s="21" t="s">
        <v>58</v>
      </c>
      <c r="V159" s="100"/>
      <c r="W159" s="100"/>
      <c r="X159" s="100"/>
      <c r="Y159" s="100"/>
      <c r="Z159" s="100"/>
    </row>
    <row r="160" spans="1:26" x14ac:dyDescent="0.25">
      <c r="A160" s="96">
        <v>157</v>
      </c>
      <c r="B160" s="15">
        <v>220464</v>
      </c>
      <c r="C160" s="15">
        <v>2022</v>
      </c>
      <c r="D160" s="15">
        <f t="shared" si="2"/>
        <v>9</v>
      </c>
      <c r="E160" s="16">
        <v>44767</v>
      </c>
      <c r="F160" s="24">
        <v>44805</v>
      </c>
      <c r="G160" s="14" t="s">
        <v>631</v>
      </c>
      <c r="H160" s="98" t="s">
        <v>632</v>
      </c>
      <c r="I160" s="20" t="s">
        <v>24</v>
      </c>
      <c r="J160" s="99">
        <v>23</v>
      </c>
      <c r="K160" s="17" t="s">
        <v>1115</v>
      </c>
      <c r="L160" s="17" t="s">
        <v>1118</v>
      </c>
      <c r="M160" s="14" t="s">
        <v>351</v>
      </c>
      <c r="N160" s="14" t="s">
        <v>36</v>
      </c>
      <c r="O160" s="17" t="s">
        <v>352</v>
      </c>
      <c r="P160" s="17" t="s">
        <v>176</v>
      </c>
      <c r="Q160" s="17" t="s">
        <v>29</v>
      </c>
      <c r="R160" s="17" t="s">
        <v>141</v>
      </c>
      <c r="S160" s="19">
        <v>4500</v>
      </c>
      <c r="T160" s="20" t="s">
        <v>58</v>
      </c>
      <c r="U160" s="21" t="s">
        <v>58</v>
      </c>
      <c r="V160" s="100"/>
      <c r="W160" s="100"/>
      <c r="X160" s="100"/>
      <c r="Y160" s="100"/>
      <c r="Z160" s="100"/>
    </row>
    <row r="161" spans="1:26" x14ac:dyDescent="0.25">
      <c r="A161" s="96">
        <v>158</v>
      </c>
      <c r="B161" s="15">
        <v>220465</v>
      </c>
      <c r="C161" s="15">
        <v>2022</v>
      </c>
      <c r="D161" s="15">
        <f t="shared" si="2"/>
        <v>9</v>
      </c>
      <c r="E161" s="16">
        <v>44765</v>
      </c>
      <c r="F161" s="24">
        <v>44805</v>
      </c>
      <c r="G161" s="14" t="s">
        <v>633</v>
      </c>
      <c r="H161" s="98" t="s">
        <v>634</v>
      </c>
      <c r="I161" s="20" t="s">
        <v>63</v>
      </c>
      <c r="J161" s="99">
        <v>45</v>
      </c>
      <c r="K161" s="17" t="s">
        <v>1115</v>
      </c>
      <c r="L161" s="17" t="s">
        <v>1118</v>
      </c>
      <c r="M161" s="14" t="s">
        <v>152</v>
      </c>
      <c r="N161" s="14" t="s">
        <v>153</v>
      </c>
      <c r="O161" s="17" t="s">
        <v>635</v>
      </c>
      <c r="P161" s="17" t="s">
        <v>176</v>
      </c>
      <c r="Q161" s="17" t="s">
        <v>29</v>
      </c>
      <c r="R161" s="17" t="s">
        <v>312</v>
      </c>
      <c r="S161" s="19">
        <v>3500</v>
      </c>
      <c r="T161" s="20" t="s">
        <v>58</v>
      </c>
      <c r="U161" s="21" t="s">
        <v>58</v>
      </c>
      <c r="V161" s="100"/>
      <c r="W161" s="100"/>
      <c r="X161" s="100"/>
      <c r="Y161" s="100"/>
      <c r="Z161" s="100"/>
    </row>
    <row r="162" spans="1:26" x14ac:dyDescent="0.25">
      <c r="A162" s="96">
        <v>159</v>
      </c>
      <c r="B162" s="15">
        <v>220470</v>
      </c>
      <c r="C162" s="15">
        <v>2022</v>
      </c>
      <c r="D162" s="15">
        <f t="shared" si="2"/>
        <v>10</v>
      </c>
      <c r="E162" s="16">
        <v>44757</v>
      </c>
      <c r="F162" s="24">
        <v>44858</v>
      </c>
      <c r="G162" s="14" t="s">
        <v>636</v>
      </c>
      <c r="H162" s="98" t="s">
        <v>637</v>
      </c>
      <c r="I162" s="20" t="s">
        <v>24</v>
      </c>
      <c r="J162" s="99">
        <v>17</v>
      </c>
      <c r="K162" s="17" t="s">
        <v>1116</v>
      </c>
      <c r="L162" s="17" t="s">
        <v>31</v>
      </c>
      <c r="M162" s="14" t="s">
        <v>638</v>
      </c>
      <c r="N162" s="14" t="s">
        <v>167</v>
      </c>
      <c r="O162" s="17" t="s">
        <v>167</v>
      </c>
      <c r="P162" s="17" t="s">
        <v>28</v>
      </c>
      <c r="Q162" s="17" t="s">
        <v>29</v>
      </c>
      <c r="R162" s="18" t="s">
        <v>30</v>
      </c>
      <c r="S162" s="19">
        <v>4450</v>
      </c>
      <c r="T162" s="20" t="s">
        <v>31</v>
      </c>
      <c r="U162" s="21" t="s">
        <v>31</v>
      </c>
      <c r="V162" s="100"/>
      <c r="W162" s="100"/>
      <c r="X162" s="100"/>
      <c r="Y162" s="100"/>
      <c r="Z162" s="100"/>
    </row>
    <row r="163" spans="1:26" x14ac:dyDescent="0.25">
      <c r="A163" s="96">
        <v>160</v>
      </c>
      <c r="B163" s="15">
        <v>220472</v>
      </c>
      <c r="C163" s="15">
        <v>2022</v>
      </c>
      <c r="D163" s="15">
        <f t="shared" si="2"/>
        <v>10</v>
      </c>
      <c r="E163" s="16">
        <v>44594</v>
      </c>
      <c r="F163" s="24">
        <v>44840</v>
      </c>
      <c r="G163" s="14" t="s">
        <v>639</v>
      </c>
      <c r="H163" s="98" t="s">
        <v>640</v>
      </c>
      <c r="I163" s="20" t="s">
        <v>24</v>
      </c>
      <c r="J163" s="99">
        <v>20</v>
      </c>
      <c r="K163" s="17" t="s">
        <v>1116</v>
      </c>
      <c r="L163" s="17" t="s">
        <v>31</v>
      </c>
      <c r="M163" s="14" t="s">
        <v>266</v>
      </c>
      <c r="N163" s="14" t="s">
        <v>167</v>
      </c>
      <c r="O163" s="17" t="s">
        <v>307</v>
      </c>
      <c r="P163" s="17" t="s">
        <v>28</v>
      </c>
      <c r="Q163" s="17" t="s">
        <v>29</v>
      </c>
      <c r="R163" s="18" t="s">
        <v>30</v>
      </c>
      <c r="S163" s="19">
        <v>2650</v>
      </c>
      <c r="T163" s="20" t="s">
        <v>31</v>
      </c>
      <c r="U163" s="21" t="s">
        <v>31</v>
      </c>
      <c r="V163" s="100"/>
      <c r="W163" s="100"/>
      <c r="X163" s="100"/>
      <c r="Y163" s="100"/>
      <c r="Z163" s="100"/>
    </row>
    <row r="164" spans="1:26" x14ac:dyDescent="0.25">
      <c r="A164" s="96">
        <v>161</v>
      </c>
      <c r="B164" s="15">
        <v>220473</v>
      </c>
      <c r="C164" s="15">
        <v>2022</v>
      </c>
      <c r="D164" s="15">
        <f t="shared" si="2"/>
        <v>11</v>
      </c>
      <c r="E164" s="16">
        <v>44771</v>
      </c>
      <c r="F164" s="24">
        <v>44894</v>
      </c>
      <c r="G164" s="14" t="s">
        <v>641</v>
      </c>
      <c r="H164" s="98" t="s">
        <v>642</v>
      </c>
      <c r="I164" s="20" t="s">
        <v>24</v>
      </c>
      <c r="J164" s="99">
        <v>35</v>
      </c>
      <c r="K164" s="17" t="s">
        <v>1115</v>
      </c>
      <c r="L164" s="17" t="s">
        <v>1118</v>
      </c>
      <c r="M164" s="14" t="s">
        <v>35</v>
      </c>
      <c r="N164" s="14" t="s">
        <v>36</v>
      </c>
      <c r="O164" s="17" t="s">
        <v>65</v>
      </c>
      <c r="P164" s="17" t="s">
        <v>28</v>
      </c>
      <c r="Q164" s="17" t="s">
        <v>29</v>
      </c>
      <c r="R164" s="17" t="s">
        <v>109</v>
      </c>
      <c r="S164" s="19">
        <v>2000</v>
      </c>
      <c r="T164" s="20" t="s">
        <v>46</v>
      </c>
      <c r="U164" s="21" t="s">
        <v>643</v>
      </c>
      <c r="V164" s="100"/>
      <c r="W164" s="100"/>
      <c r="X164" s="100"/>
      <c r="Y164" s="100"/>
      <c r="Z164" s="100"/>
    </row>
    <row r="165" spans="1:26" x14ac:dyDescent="0.25">
      <c r="A165" s="96">
        <v>162</v>
      </c>
      <c r="B165" s="15">
        <v>220478</v>
      </c>
      <c r="C165" s="15">
        <v>2022</v>
      </c>
      <c r="D165" s="15">
        <f t="shared" si="2"/>
        <v>10</v>
      </c>
      <c r="E165" s="16">
        <v>44767</v>
      </c>
      <c r="F165" s="24">
        <v>44840</v>
      </c>
      <c r="G165" s="14" t="s">
        <v>644</v>
      </c>
      <c r="H165" s="98" t="s">
        <v>645</v>
      </c>
      <c r="I165" s="20" t="s">
        <v>24</v>
      </c>
      <c r="J165" s="99">
        <v>33</v>
      </c>
      <c r="K165" s="17" t="s">
        <v>1115</v>
      </c>
      <c r="L165" s="17" t="s">
        <v>1118</v>
      </c>
      <c r="M165" s="14" t="s">
        <v>152</v>
      </c>
      <c r="N165" s="14" t="s">
        <v>153</v>
      </c>
      <c r="O165" s="17" t="s">
        <v>154</v>
      </c>
      <c r="P165" s="17" t="s">
        <v>28</v>
      </c>
      <c r="Q165" s="17" t="s">
        <v>29</v>
      </c>
      <c r="R165" s="17" t="s">
        <v>312</v>
      </c>
      <c r="S165" s="19">
        <v>1500</v>
      </c>
      <c r="T165" s="20" t="s">
        <v>39</v>
      </c>
      <c r="U165" s="21" t="s">
        <v>345</v>
      </c>
      <c r="V165" s="100"/>
      <c r="W165" s="100"/>
      <c r="X165" s="100"/>
      <c r="Y165" s="100"/>
      <c r="Z165" s="100"/>
    </row>
    <row r="166" spans="1:26" x14ac:dyDescent="0.25">
      <c r="A166" s="96">
        <v>163</v>
      </c>
      <c r="B166" s="15">
        <v>220479</v>
      </c>
      <c r="C166" s="15">
        <v>2022</v>
      </c>
      <c r="D166" s="15">
        <f t="shared" si="2"/>
        <v>10</v>
      </c>
      <c r="E166" s="16">
        <v>44767</v>
      </c>
      <c r="F166" s="24">
        <v>44840</v>
      </c>
      <c r="G166" s="14" t="s">
        <v>646</v>
      </c>
      <c r="H166" s="98" t="s">
        <v>647</v>
      </c>
      <c r="I166" s="20" t="s">
        <v>24</v>
      </c>
      <c r="J166" s="99">
        <v>49</v>
      </c>
      <c r="K166" s="17" t="s">
        <v>1115</v>
      </c>
      <c r="L166" s="17" t="s">
        <v>1118</v>
      </c>
      <c r="M166" s="14" t="s">
        <v>152</v>
      </c>
      <c r="N166" s="14" t="s">
        <v>153</v>
      </c>
      <c r="O166" s="17" t="s">
        <v>154</v>
      </c>
      <c r="P166" s="17" t="s">
        <v>28</v>
      </c>
      <c r="Q166" s="17" t="s">
        <v>29</v>
      </c>
      <c r="R166" s="17" t="s">
        <v>312</v>
      </c>
      <c r="S166" s="19">
        <v>1000</v>
      </c>
      <c r="T166" s="20" t="s">
        <v>73</v>
      </c>
      <c r="U166" s="21" t="s">
        <v>345</v>
      </c>
      <c r="V166" s="100"/>
      <c r="W166" s="100"/>
      <c r="X166" s="100"/>
      <c r="Y166" s="100"/>
      <c r="Z166" s="100"/>
    </row>
    <row r="167" spans="1:26" x14ac:dyDescent="0.25">
      <c r="A167" s="96">
        <v>164</v>
      </c>
      <c r="B167" s="15">
        <v>220493</v>
      </c>
      <c r="C167" s="15">
        <v>2022</v>
      </c>
      <c r="D167" s="15">
        <f t="shared" si="2"/>
        <v>9</v>
      </c>
      <c r="E167" s="16">
        <v>44775</v>
      </c>
      <c r="F167" s="24">
        <v>44824</v>
      </c>
      <c r="G167" s="14" t="s">
        <v>648</v>
      </c>
      <c r="H167" s="98" t="s">
        <v>649</v>
      </c>
      <c r="I167" s="20" t="s">
        <v>24</v>
      </c>
      <c r="J167" s="99">
        <v>32</v>
      </c>
      <c r="K167" s="17" t="s">
        <v>1115</v>
      </c>
      <c r="L167" s="17" t="s">
        <v>1118</v>
      </c>
      <c r="M167" s="14" t="s">
        <v>650</v>
      </c>
      <c r="N167" s="14" t="s">
        <v>577</v>
      </c>
      <c r="O167" s="17" t="s">
        <v>651</v>
      </c>
      <c r="P167" s="17" t="s">
        <v>161</v>
      </c>
      <c r="Q167" s="17" t="s">
        <v>29</v>
      </c>
      <c r="R167" s="17" t="s">
        <v>652</v>
      </c>
      <c r="S167" s="19">
        <v>5000</v>
      </c>
      <c r="T167" s="20" t="s">
        <v>58</v>
      </c>
      <c r="U167" s="21" t="s">
        <v>653</v>
      </c>
      <c r="V167" s="100"/>
      <c r="W167" s="100"/>
      <c r="X167" s="100"/>
      <c r="Y167" s="100"/>
      <c r="Z167" s="100"/>
    </row>
    <row r="168" spans="1:26" x14ac:dyDescent="0.25">
      <c r="A168" s="96">
        <v>165</v>
      </c>
      <c r="B168" s="15">
        <v>220502</v>
      </c>
      <c r="C168" s="15">
        <v>2022</v>
      </c>
      <c r="D168" s="15">
        <f t="shared" si="2"/>
        <v>11</v>
      </c>
      <c r="E168" s="16">
        <v>44778</v>
      </c>
      <c r="F168" s="24">
        <v>44887</v>
      </c>
      <c r="G168" s="14" t="s">
        <v>654</v>
      </c>
      <c r="H168" s="98" t="s">
        <v>655</v>
      </c>
      <c r="I168" s="20" t="s">
        <v>24</v>
      </c>
      <c r="J168" s="99">
        <v>34</v>
      </c>
      <c r="K168" s="17" t="s">
        <v>1115</v>
      </c>
      <c r="L168" s="17" t="s">
        <v>1118</v>
      </c>
      <c r="M168" s="14" t="s">
        <v>65</v>
      </c>
      <c r="N168" s="14" t="s">
        <v>36</v>
      </c>
      <c r="O168" s="17" t="s">
        <v>65</v>
      </c>
      <c r="P168" s="17" t="s">
        <v>28</v>
      </c>
      <c r="Q168" s="17" t="s">
        <v>29</v>
      </c>
      <c r="R168" s="17" t="s">
        <v>109</v>
      </c>
      <c r="S168" s="19">
        <v>400</v>
      </c>
      <c r="T168" s="20" t="s">
        <v>58</v>
      </c>
      <c r="U168" s="21" t="s">
        <v>656</v>
      </c>
      <c r="V168" s="100"/>
      <c r="W168" s="100"/>
      <c r="X168" s="100"/>
      <c r="Y168" s="100"/>
      <c r="Z168" s="100"/>
    </row>
    <row r="169" spans="1:26" x14ac:dyDescent="0.25">
      <c r="A169" s="96">
        <v>166</v>
      </c>
      <c r="B169" s="15">
        <v>220505</v>
      </c>
      <c r="C169" s="15">
        <v>2022</v>
      </c>
      <c r="D169" s="15">
        <f t="shared" si="2"/>
        <v>8</v>
      </c>
      <c r="E169" s="16">
        <v>44779</v>
      </c>
      <c r="F169" s="24">
        <v>44798</v>
      </c>
      <c r="G169" s="14" t="s">
        <v>657</v>
      </c>
      <c r="H169" s="98" t="s">
        <v>658</v>
      </c>
      <c r="I169" s="20" t="s">
        <v>24</v>
      </c>
      <c r="J169" s="99">
        <v>40</v>
      </c>
      <c r="K169" s="17" t="s">
        <v>1115</v>
      </c>
      <c r="L169" s="17" t="s">
        <v>1118</v>
      </c>
      <c r="M169" s="14" t="s">
        <v>51</v>
      </c>
      <c r="N169" s="14" t="s">
        <v>36</v>
      </c>
      <c r="O169" s="17" t="s">
        <v>370</v>
      </c>
      <c r="P169" s="17" t="s">
        <v>176</v>
      </c>
      <c r="Q169" s="17" t="s">
        <v>29</v>
      </c>
      <c r="R169" s="17" t="s">
        <v>659</v>
      </c>
      <c r="S169" s="19">
        <v>6000</v>
      </c>
      <c r="T169" s="20" t="s">
        <v>58</v>
      </c>
      <c r="U169" s="21" t="s">
        <v>58</v>
      </c>
      <c r="V169" s="100"/>
      <c r="W169" s="100"/>
      <c r="X169" s="100"/>
      <c r="Y169" s="100"/>
      <c r="Z169" s="100"/>
    </row>
    <row r="170" spans="1:26" x14ac:dyDescent="0.25">
      <c r="A170" s="96">
        <v>167</v>
      </c>
      <c r="B170" s="15">
        <v>220507</v>
      </c>
      <c r="C170" s="15">
        <v>2022</v>
      </c>
      <c r="D170" s="15">
        <f t="shared" si="2"/>
        <v>9</v>
      </c>
      <c r="E170" s="16">
        <v>44779</v>
      </c>
      <c r="F170" s="24">
        <v>44825</v>
      </c>
      <c r="G170" s="14" t="s">
        <v>660</v>
      </c>
      <c r="H170" s="98" t="s">
        <v>661</v>
      </c>
      <c r="I170" s="20" t="s">
        <v>24</v>
      </c>
      <c r="J170" s="99">
        <v>38</v>
      </c>
      <c r="K170" s="17" t="s">
        <v>1115</v>
      </c>
      <c r="L170" s="17" t="s">
        <v>1118</v>
      </c>
      <c r="M170" s="14" t="s">
        <v>328</v>
      </c>
      <c r="N170" s="14" t="s">
        <v>148</v>
      </c>
      <c r="O170" s="17" t="s">
        <v>662</v>
      </c>
      <c r="P170" s="17" t="s">
        <v>28</v>
      </c>
      <c r="Q170" s="17" t="s">
        <v>29</v>
      </c>
      <c r="R170" s="17" t="s">
        <v>663</v>
      </c>
      <c r="S170" s="19">
        <v>8000</v>
      </c>
      <c r="T170" s="20" t="s">
        <v>46</v>
      </c>
      <c r="U170" s="21" t="s">
        <v>115</v>
      </c>
      <c r="V170" s="100"/>
      <c r="W170" s="100"/>
      <c r="X170" s="100"/>
      <c r="Y170" s="100"/>
      <c r="Z170" s="100"/>
    </row>
    <row r="171" spans="1:26" x14ac:dyDescent="0.25">
      <c r="A171" s="96">
        <v>168</v>
      </c>
      <c r="B171" s="15">
        <v>220508</v>
      </c>
      <c r="C171" s="15">
        <v>2022</v>
      </c>
      <c r="D171" s="15">
        <f t="shared" si="2"/>
        <v>10</v>
      </c>
      <c r="E171" s="16">
        <v>44741</v>
      </c>
      <c r="F171" s="24">
        <v>44860</v>
      </c>
      <c r="G171" s="14" t="s">
        <v>664</v>
      </c>
      <c r="H171" s="98" t="s">
        <v>665</v>
      </c>
      <c r="I171" s="20" t="s">
        <v>24</v>
      </c>
      <c r="J171" s="99">
        <v>40</v>
      </c>
      <c r="K171" s="17" t="s">
        <v>1116</v>
      </c>
      <c r="L171" s="17" t="s">
        <v>31</v>
      </c>
      <c r="M171" s="14" t="s">
        <v>666</v>
      </c>
      <c r="N171" s="14" t="s">
        <v>26</v>
      </c>
      <c r="O171" s="17" t="s">
        <v>666</v>
      </c>
      <c r="P171" s="17" t="s">
        <v>28</v>
      </c>
      <c r="Q171" s="17" t="s">
        <v>29</v>
      </c>
      <c r="R171" s="18" t="s">
        <v>30</v>
      </c>
      <c r="S171" s="19">
        <v>4600</v>
      </c>
      <c r="T171" s="20" t="s">
        <v>31</v>
      </c>
      <c r="U171" s="21" t="s">
        <v>31</v>
      </c>
      <c r="V171" s="100"/>
      <c r="W171" s="100"/>
      <c r="X171" s="100"/>
      <c r="Y171" s="100"/>
      <c r="Z171" s="100"/>
    </row>
    <row r="172" spans="1:26" x14ac:dyDescent="0.25">
      <c r="A172" s="96">
        <v>169</v>
      </c>
      <c r="B172" s="15">
        <v>220509</v>
      </c>
      <c r="C172" s="15">
        <v>2022</v>
      </c>
      <c r="D172" s="15">
        <f t="shared" si="2"/>
        <v>8</v>
      </c>
      <c r="E172" s="16">
        <v>44654</v>
      </c>
      <c r="F172" s="24">
        <v>44795</v>
      </c>
      <c r="G172" s="14" t="s">
        <v>667</v>
      </c>
      <c r="H172" s="98" t="s">
        <v>668</v>
      </c>
      <c r="I172" s="20" t="s">
        <v>63</v>
      </c>
      <c r="J172" s="99">
        <v>23</v>
      </c>
      <c r="K172" s="17" t="s">
        <v>1115</v>
      </c>
      <c r="L172" s="17" t="s">
        <v>1118</v>
      </c>
      <c r="M172" s="14" t="s">
        <v>280</v>
      </c>
      <c r="N172" s="14" t="s">
        <v>280</v>
      </c>
      <c r="O172" s="17" t="s">
        <v>669</v>
      </c>
      <c r="P172" s="17" t="s">
        <v>161</v>
      </c>
      <c r="Q172" s="17" t="s">
        <v>29</v>
      </c>
      <c r="R172" s="17" t="s">
        <v>109</v>
      </c>
      <c r="S172" s="19">
        <v>13000</v>
      </c>
      <c r="T172" s="20" t="s">
        <v>58</v>
      </c>
      <c r="U172" s="21" t="s">
        <v>58</v>
      </c>
      <c r="V172" s="100"/>
      <c r="W172" s="100"/>
      <c r="X172" s="100"/>
      <c r="Y172" s="100"/>
      <c r="Z172" s="100"/>
    </row>
    <row r="173" spans="1:26" x14ac:dyDescent="0.25">
      <c r="A173" s="96">
        <v>170</v>
      </c>
      <c r="B173" s="15">
        <v>220513</v>
      </c>
      <c r="C173" s="15">
        <v>2022</v>
      </c>
      <c r="D173" s="15">
        <f t="shared" si="2"/>
        <v>9</v>
      </c>
      <c r="E173" s="16">
        <v>44784</v>
      </c>
      <c r="F173" s="24">
        <v>44834</v>
      </c>
      <c r="G173" s="14" t="s">
        <v>670</v>
      </c>
      <c r="H173" s="98" t="s">
        <v>671</v>
      </c>
      <c r="I173" s="20" t="s">
        <v>63</v>
      </c>
      <c r="J173" s="99">
        <v>15</v>
      </c>
      <c r="K173" s="17" t="s">
        <v>1115</v>
      </c>
      <c r="L173" s="17" t="s">
        <v>1118</v>
      </c>
      <c r="M173" s="14" t="s">
        <v>672</v>
      </c>
      <c r="N173" s="14" t="s">
        <v>284</v>
      </c>
      <c r="O173" s="17" t="s">
        <v>673</v>
      </c>
      <c r="P173" s="17" t="s">
        <v>28</v>
      </c>
      <c r="Q173" s="17" t="s">
        <v>29</v>
      </c>
      <c r="R173" s="17" t="s">
        <v>674</v>
      </c>
      <c r="S173" s="19">
        <v>2000</v>
      </c>
      <c r="T173" s="20" t="s">
        <v>46</v>
      </c>
      <c r="U173" s="21" t="s">
        <v>46</v>
      </c>
      <c r="V173" s="100"/>
      <c r="W173" s="100"/>
      <c r="X173" s="100"/>
      <c r="Y173" s="100"/>
      <c r="Z173" s="100"/>
    </row>
    <row r="174" spans="1:26" x14ac:dyDescent="0.25">
      <c r="A174" s="96">
        <v>171</v>
      </c>
      <c r="B174" s="15">
        <v>220515</v>
      </c>
      <c r="C174" s="15">
        <v>2022</v>
      </c>
      <c r="D174" s="15">
        <f t="shared" si="2"/>
        <v>12</v>
      </c>
      <c r="E174" s="16">
        <v>44782</v>
      </c>
      <c r="F174" s="24">
        <v>44909</v>
      </c>
      <c r="G174" s="14" t="s">
        <v>675</v>
      </c>
      <c r="H174" s="98" t="s">
        <v>676</v>
      </c>
      <c r="I174" s="20" t="s">
        <v>24</v>
      </c>
      <c r="J174" s="99">
        <v>60</v>
      </c>
      <c r="K174" s="17" t="s">
        <v>1115</v>
      </c>
      <c r="L174" s="17" t="s">
        <v>1118</v>
      </c>
      <c r="M174" s="14" t="s">
        <v>25</v>
      </c>
      <c r="N174" s="14" t="s">
        <v>26</v>
      </c>
      <c r="O174" s="17" t="s">
        <v>25</v>
      </c>
      <c r="P174" s="17" t="s">
        <v>383</v>
      </c>
      <c r="Q174" s="17" t="s">
        <v>29</v>
      </c>
      <c r="R174" s="17" t="s">
        <v>301</v>
      </c>
      <c r="S174" s="19">
        <v>600</v>
      </c>
      <c r="T174" s="20" t="s">
        <v>39</v>
      </c>
      <c r="U174" s="21" t="s">
        <v>497</v>
      </c>
      <c r="V174" s="100"/>
      <c r="W174" s="100"/>
      <c r="X174" s="100"/>
      <c r="Y174" s="100"/>
      <c r="Z174" s="100"/>
    </row>
    <row r="175" spans="1:26" x14ac:dyDescent="0.25">
      <c r="A175" s="96">
        <v>172</v>
      </c>
      <c r="B175" s="15">
        <v>220518</v>
      </c>
      <c r="C175" s="15">
        <v>2022</v>
      </c>
      <c r="D175" s="15">
        <f t="shared" si="2"/>
        <v>9</v>
      </c>
      <c r="E175" s="16">
        <v>44784</v>
      </c>
      <c r="F175" s="24">
        <v>44825</v>
      </c>
      <c r="G175" s="14" t="s">
        <v>677</v>
      </c>
      <c r="H175" s="98" t="s">
        <v>678</v>
      </c>
      <c r="I175" s="20" t="s">
        <v>24</v>
      </c>
      <c r="J175" s="99">
        <v>21</v>
      </c>
      <c r="K175" s="17" t="s">
        <v>1115</v>
      </c>
      <c r="L175" s="17" t="s">
        <v>1118</v>
      </c>
      <c r="M175" s="14" t="s">
        <v>174</v>
      </c>
      <c r="N175" s="14" t="s">
        <v>36</v>
      </c>
      <c r="O175" s="17" t="s">
        <v>65</v>
      </c>
      <c r="P175" s="17" t="s">
        <v>28</v>
      </c>
      <c r="Q175" s="17" t="s">
        <v>29</v>
      </c>
      <c r="R175" s="17" t="s">
        <v>109</v>
      </c>
      <c r="S175" s="19">
        <v>4000</v>
      </c>
      <c r="T175" s="20" t="s">
        <v>58</v>
      </c>
      <c r="U175" s="21" t="s">
        <v>679</v>
      </c>
      <c r="V175" s="100"/>
      <c r="W175" s="100"/>
      <c r="X175" s="100"/>
      <c r="Y175" s="100"/>
      <c r="Z175" s="100"/>
    </row>
    <row r="176" spans="1:26" x14ac:dyDescent="0.25">
      <c r="A176" s="96">
        <v>173</v>
      </c>
      <c r="B176" s="15">
        <v>220530</v>
      </c>
      <c r="C176" s="15">
        <v>2022</v>
      </c>
      <c r="D176" s="15">
        <f t="shared" si="2"/>
        <v>9</v>
      </c>
      <c r="E176" s="16">
        <v>44742</v>
      </c>
      <c r="F176" s="24">
        <v>44825</v>
      </c>
      <c r="G176" s="14" t="s">
        <v>680</v>
      </c>
      <c r="H176" s="98" t="s">
        <v>681</v>
      </c>
      <c r="I176" s="20" t="s">
        <v>24</v>
      </c>
      <c r="J176" s="99">
        <v>22</v>
      </c>
      <c r="K176" s="17" t="s">
        <v>1115</v>
      </c>
      <c r="L176" s="17" t="s">
        <v>1118</v>
      </c>
      <c r="M176" s="14" t="s">
        <v>83</v>
      </c>
      <c r="N176" s="14" t="s">
        <v>36</v>
      </c>
      <c r="O176" s="17" t="s">
        <v>682</v>
      </c>
      <c r="P176" s="17" t="s">
        <v>56</v>
      </c>
      <c r="Q176" s="17" t="s">
        <v>29</v>
      </c>
      <c r="R176" s="17" t="s">
        <v>659</v>
      </c>
      <c r="S176" s="19">
        <v>6000</v>
      </c>
      <c r="T176" s="20" t="s">
        <v>212</v>
      </c>
      <c r="U176" s="21" t="s">
        <v>683</v>
      </c>
      <c r="V176" s="100"/>
      <c r="W176" s="100"/>
      <c r="X176" s="100"/>
      <c r="Y176" s="100"/>
      <c r="Z176" s="100"/>
    </row>
    <row r="177" spans="1:26" x14ac:dyDescent="0.25">
      <c r="A177" s="96">
        <v>174</v>
      </c>
      <c r="B177" s="15">
        <v>220532</v>
      </c>
      <c r="C177" s="15">
        <v>2022</v>
      </c>
      <c r="D177" s="15">
        <f t="shared" si="2"/>
        <v>9</v>
      </c>
      <c r="E177" s="16">
        <v>44768</v>
      </c>
      <c r="F177" s="24">
        <v>44824</v>
      </c>
      <c r="G177" s="14" t="s">
        <v>684</v>
      </c>
      <c r="H177" s="98" t="s">
        <v>685</v>
      </c>
      <c r="I177" s="20" t="s">
        <v>24</v>
      </c>
      <c r="J177" s="99">
        <v>74</v>
      </c>
      <c r="K177" s="17" t="s">
        <v>1116</v>
      </c>
      <c r="L177" s="17" t="s">
        <v>31</v>
      </c>
      <c r="M177" s="14" t="s">
        <v>686</v>
      </c>
      <c r="N177" s="14" t="s">
        <v>167</v>
      </c>
      <c r="O177" s="17" t="s">
        <v>687</v>
      </c>
      <c r="P177" s="17" t="s">
        <v>28</v>
      </c>
      <c r="Q177" s="17" t="s">
        <v>29</v>
      </c>
      <c r="R177" s="18" t="s">
        <v>30</v>
      </c>
      <c r="S177" s="19">
        <v>4600</v>
      </c>
      <c r="T177" s="20" t="s">
        <v>31</v>
      </c>
      <c r="U177" s="21" t="s">
        <v>31</v>
      </c>
      <c r="V177" s="100"/>
      <c r="W177" s="100"/>
      <c r="X177" s="100"/>
      <c r="Y177" s="100"/>
      <c r="Z177" s="100"/>
    </row>
    <row r="178" spans="1:26" x14ac:dyDescent="0.25">
      <c r="A178" s="96">
        <v>175</v>
      </c>
      <c r="B178" s="15">
        <v>220539</v>
      </c>
      <c r="C178" s="15">
        <v>2022</v>
      </c>
      <c r="D178" s="15">
        <f t="shared" si="2"/>
        <v>10</v>
      </c>
      <c r="E178" s="16">
        <v>44771</v>
      </c>
      <c r="F178" s="24">
        <v>44837</v>
      </c>
      <c r="G178" s="14" t="s">
        <v>688</v>
      </c>
      <c r="H178" s="98" t="s">
        <v>689</v>
      </c>
      <c r="I178" s="20" t="s">
        <v>63</v>
      </c>
      <c r="J178" s="99">
        <v>33</v>
      </c>
      <c r="K178" s="17" t="s">
        <v>1115</v>
      </c>
      <c r="L178" s="17" t="s">
        <v>1118</v>
      </c>
      <c r="M178" s="14" t="s">
        <v>283</v>
      </c>
      <c r="N178" s="14" t="s">
        <v>284</v>
      </c>
      <c r="O178" s="17" t="s">
        <v>283</v>
      </c>
      <c r="P178" s="17" t="s">
        <v>176</v>
      </c>
      <c r="Q178" s="17" t="s">
        <v>29</v>
      </c>
      <c r="R178" s="17" t="s">
        <v>286</v>
      </c>
      <c r="S178" s="19">
        <v>3000</v>
      </c>
      <c r="T178" s="20" t="s">
        <v>690</v>
      </c>
      <c r="U178" s="21" t="s">
        <v>691</v>
      </c>
      <c r="V178" s="100"/>
      <c r="W178" s="100"/>
      <c r="X178" s="100"/>
      <c r="Y178" s="100"/>
      <c r="Z178" s="100"/>
    </row>
    <row r="179" spans="1:26" x14ac:dyDescent="0.25">
      <c r="A179" s="96">
        <v>176</v>
      </c>
      <c r="B179" s="15">
        <v>220540</v>
      </c>
      <c r="C179" s="15">
        <v>2022</v>
      </c>
      <c r="D179" s="15">
        <f t="shared" si="2"/>
        <v>11</v>
      </c>
      <c r="E179" s="16">
        <v>44795</v>
      </c>
      <c r="F179" s="24">
        <v>44879</v>
      </c>
      <c r="G179" s="14" t="s">
        <v>692</v>
      </c>
      <c r="H179" s="98" t="s">
        <v>693</v>
      </c>
      <c r="I179" s="20" t="s">
        <v>24</v>
      </c>
      <c r="J179" s="99">
        <v>11</v>
      </c>
      <c r="K179" s="17" t="s">
        <v>1115</v>
      </c>
      <c r="L179" s="17" t="s">
        <v>1118</v>
      </c>
      <c r="M179" s="14" t="s">
        <v>174</v>
      </c>
      <c r="N179" s="14" t="s">
        <v>36</v>
      </c>
      <c r="O179" s="17" t="s">
        <v>694</v>
      </c>
      <c r="P179" s="17" t="s">
        <v>176</v>
      </c>
      <c r="Q179" s="17" t="s">
        <v>29</v>
      </c>
      <c r="R179" s="17" t="s">
        <v>695</v>
      </c>
      <c r="S179" s="19">
        <v>3000</v>
      </c>
      <c r="T179" s="20" t="s">
        <v>46</v>
      </c>
      <c r="U179" s="21" t="s">
        <v>696</v>
      </c>
      <c r="V179" s="100"/>
      <c r="W179" s="100"/>
      <c r="X179" s="100"/>
      <c r="Y179" s="100"/>
      <c r="Z179" s="100"/>
    </row>
    <row r="180" spans="1:26" x14ac:dyDescent="0.25">
      <c r="A180" s="96">
        <v>177</v>
      </c>
      <c r="B180" s="15">
        <v>220542</v>
      </c>
      <c r="C180" s="15">
        <v>2022</v>
      </c>
      <c r="D180" s="15">
        <f t="shared" si="2"/>
        <v>10</v>
      </c>
      <c r="E180" s="16">
        <v>44792</v>
      </c>
      <c r="F180" s="24">
        <v>44840</v>
      </c>
      <c r="G180" s="14" t="s">
        <v>697</v>
      </c>
      <c r="H180" s="98" t="s">
        <v>698</v>
      </c>
      <c r="I180" s="20" t="s">
        <v>24</v>
      </c>
      <c r="J180" s="99">
        <v>55</v>
      </c>
      <c r="K180" s="17" t="s">
        <v>1115</v>
      </c>
      <c r="L180" s="17" t="s">
        <v>1118</v>
      </c>
      <c r="M180" s="14" t="s">
        <v>65</v>
      </c>
      <c r="N180" s="14" t="s">
        <v>36</v>
      </c>
      <c r="O180" s="17" t="s">
        <v>616</v>
      </c>
      <c r="P180" s="17" t="s">
        <v>176</v>
      </c>
      <c r="Q180" s="17" t="s">
        <v>29</v>
      </c>
      <c r="R180" s="17" t="s">
        <v>251</v>
      </c>
      <c r="S180" s="19">
        <v>600</v>
      </c>
      <c r="T180" s="20" t="s">
        <v>58</v>
      </c>
      <c r="U180" s="21" t="s">
        <v>699</v>
      </c>
      <c r="V180" s="100"/>
      <c r="W180" s="100"/>
      <c r="X180" s="100"/>
      <c r="Y180" s="100"/>
      <c r="Z180" s="100"/>
    </row>
    <row r="181" spans="1:26" x14ac:dyDescent="0.25">
      <c r="A181" s="96">
        <v>178</v>
      </c>
      <c r="B181" s="15">
        <v>220544</v>
      </c>
      <c r="C181" s="15">
        <v>2022</v>
      </c>
      <c r="D181" s="15">
        <f t="shared" si="2"/>
        <v>10</v>
      </c>
      <c r="E181" s="16">
        <v>44797</v>
      </c>
      <c r="F181" s="24">
        <v>44855</v>
      </c>
      <c r="G181" s="14" t="s">
        <v>700</v>
      </c>
      <c r="H181" s="98" t="s">
        <v>701</v>
      </c>
      <c r="I181" s="20" t="s">
        <v>24</v>
      </c>
      <c r="J181" s="99">
        <v>36</v>
      </c>
      <c r="K181" s="17" t="s">
        <v>1115</v>
      </c>
      <c r="L181" s="17" t="s">
        <v>1118</v>
      </c>
      <c r="M181" s="14" t="s">
        <v>340</v>
      </c>
      <c r="N181" s="14" t="s">
        <v>36</v>
      </c>
      <c r="O181" s="17" t="s">
        <v>340</v>
      </c>
      <c r="P181" s="17" t="s">
        <v>176</v>
      </c>
      <c r="Q181" s="17" t="s">
        <v>29</v>
      </c>
      <c r="R181" s="17" t="s">
        <v>72</v>
      </c>
      <c r="S181" s="19">
        <v>4000</v>
      </c>
      <c r="T181" s="20" t="s">
        <v>58</v>
      </c>
      <c r="U181" s="21" t="s">
        <v>702</v>
      </c>
      <c r="V181" s="100"/>
      <c r="W181" s="100"/>
      <c r="X181" s="100"/>
      <c r="Y181" s="100"/>
      <c r="Z181" s="100"/>
    </row>
    <row r="182" spans="1:26" x14ac:dyDescent="0.25">
      <c r="A182" s="96">
        <v>179</v>
      </c>
      <c r="B182" s="15">
        <v>220549</v>
      </c>
      <c r="C182" s="15">
        <v>2022</v>
      </c>
      <c r="D182" s="15">
        <f t="shared" si="2"/>
        <v>12</v>
      </c>
      <c r="E182" s="16">
        <v>44767</v>
      </c>
      <c r="F182" s="24">
        <v>44909</v>
      </c>
      <c r="G182" s="14" t="s">
        <v>703</v>
      </c>
      <c r="H182" s="98" t="s">
        <v>704</v>
      </c>
      <c r="I182" s="20" t="s">
        <v>24</v>
      </c>
      <c r="J182" s="99">
        <v>62</v>
      </c>
      <c r="K182" s="17" t="s">
        <v>1116</v>
      </c>
      <c r="L182" s="17" t="s">
        <v>31</v>
      </c>
      <c r="M182" s="14" t="s">
        <v>705</v>
      </c>
      <c r="N182" s="14" t="s">
        <v>706</v>
      </c>
      <c r="O182" s="17" t="s">
        <v>707</v>
      </c>
      <c r="P182" s="17" t="s">
        <v>28</v>
      </c>
      <c r="Q182" s="17" t="s">
        <v>29</v>
      </c>
      <c r="R182" s="18" t="s">
        <v>30</v>
      </c>
      <c r="S182" s="19">
        <v>4300</v>
      </c>
      <c r="T182" s="20" t="s">
        <v>31</v>
      </c>
      <c r="U182" s="21" t="s">
        <v>181</v>
      </c>
      <c r="V182" s="100"/>
      <c r="W182" s="100"/>
      <c r="X182" s="100"/>
      <c r="Y182" s="100"/>
      <c r="Z182" s="100"/>
    </row>
    <row r="183" spans="1:26" x14ac:dyDescent="0.25">
      <c r="A183" s="96">
        <v>180</v>
      </c>
      <c r="B183" s="15">
        <v>220553</v>
      </c>
      <c r="C183" s="15">
        <v>2022</v>
      </c>
      <c r="D183" s="15">
        <f t="shared" si="2"/>
        <v>12</v>
      </c>
      <c r="E183" s="16">
        <v>44550</v>
      </c>
      <c r="F183" s="24">
        <v>44910</v>
      </c>
      <c r="G183" s="14" t="s">
        <v>708</v>
      </c>
      <c r="H183" s="98" t="s">
        <v>709</v>
      </c>
      <c r="I183" s="20" t="s">
        <v>24</v>
      </c>
      <c r="J183" s="99">
        <v>54</v>
      </c>
      <c r="K183" s="17" t="s">
        <v>1116</v>
      </c>
      <c r="L183" s="17" t="s">
        <v>31</v>
      </c>
      <c r="M183" s="14" t="s">
        <v>545</v>
      </c>
      <c r="N183" s="14" t="s">
        <v>284</v>
      </c>
      <c r="O183" s="17" t="s">
        <v>710</v>
      </c>
      <c r="P183" s="17" t="s">
        <v>28</v>
      </c>
      <c r="Q183" s="17" t="s">
        <v>29</v>
      </c>
      <c r="R183" s="18" t="s">
        <v>30</v>
      </c>
      <c r="S183" s="19">
        <v>4400</v>
      </c>
      <c r="T183" s="20" t="s">
        <v>31</v>
      </c>
      <c r="U183" s="21" t="s">
        <v>181</v>
      </c>
      <c r="V183" s="100"/>
      <c r="W183" s="100"/>
      <c r="X183" s="100"/>
      <c r="Y183" s="100"/>
      <c r="Z183" s="100"/>
    </row>
    <row r="184" spans="1:26" x14ac:dyDescent="0.25">
      <c r="A184" s="96">
        <v>181</v>
      </c>
      <c r="B184" s="15">
        <v>220557</v>
      </c>
      <c r="C184" s="15">
        <v>2022</v>
      </c>
      <c r="D184" s="15">
        <f t="shared" si="2"/>
        <v>9</v>
      </c>
      <c r="E184" s="16">
        <v>44876</v>
      </c>
      <c r="F184" s="24">
        <v>44825</v>
      </c>
      <c r="G184" s="14" t="s">
        <v>711</v>
      </c>
      <c r="H184" s="98" t="s">
        <v>712</v>
      </c>
      <c r="I184" s="20" t="s">
        <v>63</v>
      </c>
      <c r="J184" s="99">
        <v>21</v>
      </c>
      <c r="K184" s="17" t="s">
        <v>1115</v>
      </c>
      <c r="L184" s="17" t="s">
        <v>1118</v>
      </c>
      <c r="M184" s="14" t="s">
        <v>713</v>
      </c>
      <c r="N184" s="14" t="s">
        <v>36</v>
      </c>
      <c r="O184" s="18" t="s">
        <v>714</v>
      </c>
      <c r="P184" s="17" t="s">
        <v>176</v>
      </c>
      <c r="Q184" s="17" t="s">
        <v>29</v>
      </c>
      <c r="R184" s="17" t="s">
        <v>417</v>
      </c>
      <c r="S184" s="19">
        <v>10000</v>
      </c>
      <c r="T184" s="20" t="s">
        <v>58</v>
      </c>
      <c r="U184" s="21" t="s">
        <v>715</v>
      </c>
      <c r="V184" s="100"/>
      <c r="W184" s="100"/>
      <c r="X184" s="100"/>
      <c r="Y184" s="100"/>
      <c r="Z184" s="100"/>
    </row>
    <row r="185" spans="1:26" x14ac:dyDescent="0.25">
      <c r="A185" s="96">
        <v>182</v>
      </c>
      <c r="B185" s="15">
        <v>220559</v>
      </c>
      <c r="C185" s="15">
        <v>2022</v>
      </c>
      <c r="D185" s="15">
        <f t="shared" si="2"/>
        <v>9</v>
      </c>
      <c r="E185" s="16">
        <v>44634</v>
      </c>
      <c r="F185" s="24">
        <v>44820</v>
      </c>
      <c r="G185" s="14" t="s">
        <v>716</v>
      </c>
      <c r="H185" s="98" t="s">
        <v>717</v>
      </c>
      <c r="I185" s="20" t="s">
        <v>24</v>
      </c>
      <c r="J185" s="99">
        <v>52</v>
      </c>
      <c r="K185" s="17" t="s">
        <v>1116</v>
      </c>
      <c r="L185" s="17" t="s">
        <v>31</v>
      </c>
      <c r="M185" s="14" t="s">
        <v>593</v>
      </c>
      <c r="N185" s="14" t="s">
        <v>593</v>
      </c>
      <c r="O185" s="17" t="s">
        <v>718</v>
      </c>
      <c r="P185" s="17" t="s">
        <v>28</v>
      </c>
      <c r="Q185" s="17" t="s">
        <v>29</v>
      </c>
      <c r="R185" s="18" t="s">
        <v>30</v>
      </c>
      <c r="S185" s="19">
        <v>4600</v>
      </c>
      <c r="T185" s="20" t="s">
        <v>31</v>
      </c>
      <c r="U185" s="21" t="s">
        <v>31</v>
      </c>
      <c r="V185" s="100"/>
      <c r="W185" s="100"/>
      <c r="X185" s="100"/>
      <c r="Y185" s="100"/>
      <c r="Z185" s="100"/>
    </row>
    <row r="186" spans="1:26" x14ac:dyDescent="0.25">
      <c r="A186" s="96">
        <v>183</v>
      </c>
      <c r="B186" s="15">
        <v>220560</v>
      </c>
      <c r="C186" s="15">
        <v>2022</v>
      </c>
      <c r="D186" s="15">
        <f t="shared" si="2"/>
        <v>11</v>
      </c>
      <c r="E186" s="16">
        <v>44800</v>
      </c>
      <c r="F186" s="24">
        <v>44880</v>
      </c>
      <c r="G186" s="14" t="s">
        <v>719</v>
      </c>
      <c r="H186" s="98" t="s">
        <v>720</v>
      </c>
      <c r="I186" s="20" t="s">
        <v>24</v>
      </c>
      <c r="J186" s="99">
        <v>78</v>
      </c>
      <c r="K186" s="17" t="s">
        <v>1115</v>
      </c>
      <c r="L186" s="17" t="s">
        <v>1118</v>
      </c>
      <c r="M186" s="14" t="s">
        <v>363</v>
      </c>
      <c r="N186" s="14" t="s">
        <v>113</v>
      </c>
      <c r="O186" s="17" t="s">
        <v>224</v>
      </c>
      <c r="P186" s="17" t="s">
        <v>28</v>
      </c>
      <c r="Q186" s="17" t="s">
        <v>29</v>
      </c>
      <c r="R186" s="17" t="s">
        <v>364</v>
      </c>
      <c r="S186" s="19">
        <v>17000</v>
      </c>
      <c r="T186" s="20" t="s">
        <v>46</v>
      </c>
      <c r="U186" s="21" t="s">
        <v>721</v>
      </c>
      <c r="V186" s="100"/>
      <c r="W186" s="100"/>
      <c r="X186" s="100"/>
      <c r="Y186" s="100"/>
      <c r="Z186" s="100"/>
    </row>
    <row r="187" spans="1:26" x14ac:dyDescent="0.25">
      <c r="A187" s="96">
        <v>184</v>
      </c>
      <c r="B187" s="15">
        <v>220568</v>
      </c>
      <c r="C187" s="15">
        <v>2022</v>
      </c>
      <c r="D187" s="15">
        <f t="shared" si="2"/>
        <v>11</v>
      </c>
      <c r="E187" s="16">
        <v>44808</v>
      </c>
      <c r="F187" s="24">
        <v>44888</v>
      </c>
      <c r="G187" s="14" t="s">
        <v>722</v>
      </c>
      <c r="H187" s="98" t="s">
        <v>723</v>
      </c>
      <c r="I187" s="20" t="s">
        <v>24</v>
      </c>
      <c r="J187" s="99">
        <v>54</v>
      </c>
      <c r="K187" s="17" t="s">
        <v>1115</v>
      </c>
      <c r="L187" s="17" t="s">
        <v>1118</v>
      </c>
      <c r="M187" s="14" t="s">
        <v>276</v>
      </c>
      <c r="N187" s="14" t="s">
        <v>36</v>
      </c>
      <c r="O187" s="17" t="s">
        <v>276</v>
      </c>
      <c r="P187" s="17" t="s">
        <v>28</v>
      </c>
      <c r="Q187" s="17" t="s">
        <v>29</v>
      </c>
      <c r="R187" s="17" t="s">
        <v>320</v>
      </c>
      <c r="S187" s="19">
        <v>4000</v>
      </c>
      <c r="T187" s="20" t="s">
        <v>58</v>
      </c>
      <c r="U187" s="21" t="s">
        <v>205</v>
      </c>
      <c r="V187" s="100"/>
      <c r="W187" s="100"/>
      <c r="X187" s="100"/>
      <c r="Y187" s="100"/>
      <c r="Z187" s="100"/>
    </row>
    <row r="188" spans="1:26" x14ac:dyDescent="0.25">
      <c r="A188" s="96">
        <v>185</v>
      </c>
      <c r="B188" s="15">
        <v>220569</v>
      </c>
      <c r="C188" s="15">
        <v>2022</v>
      </c>
      <c r="D188" s="15">
        <f t="shared" si="2"/>
        <v>9</v>
      </c>
      <c r="E188" s="16">
        <v>44778</v>
      </c>
      <c r="F188" s="24">
        <v>44819</v>
      </c>
      <c r="G188" s="14" t="s">
        <v>724</v>
      </c>
      <c r="H188" s="98" t="s">
        <v>725</v>
      </c>
      <c r="I188" s="20" t="s">
        <v>63</v>
      </c>
      <c r="J188" s="99">
        <v>44</v>
      </c>
      <c r="K188" s="17" t="s">
        <v>1115</v>
      </c>
      <c r="L188" s="17" t="s">
        <v>1118</v>
      </c>
      <c r="M188" s="14" t="s">
        <v>223</v>
      </c>
      <c r="N188" s="14" t="s">
        <v>36</v>
      </c>
      <c r="O188" s="17" t="s">
        <v>224</v>
      </c>
      <c r="P188" s="17" t="s">
        <v>161</v>
      </c>
      <c r="Q188" s="17" t="s">
        <v>29</v>
      </c>
      <c r="R188" s="17" t="s">
        <v>225</v>
      </c>
      <c r="S188" s="19">
        <v>500</v>
      </c>
      <c r="T188" s="20" t="s">
        <v>46</v>
      </c>
      <c r="U188" s="21" t="s">
        <v>726</v>
      </c>
      <c r="V188" s="100"/>
      <c r="W188" s="100"/>
      <c r="X188" s="100"/>
      <c r="Y188" s="100"/>
      <c r="Z188" s="100"/>
    </row>
    <row r="189" spans="1:26" x14ac:dyDescent="0.25">
      <c r="A189" s="96">
        <v>186</v>
      </c>
      <c r="B189" s="15">
        <v>220570</v>
      </c>
      <c r="C189" s="15">
        <v>2022</v>
      </c>
      <c r="D189" s="15">
        <f t="shared" si="2"/>
        <v>9</v>
      </c>
      <c r="E189" s="16">
        <v>44778</v>
      </c>
      <c r="F189" s="24">
        <v>44830</v>
      </c>
      <c r="G189" s="14" t="s">
        <v>727</v>
      </c>
      <c r="H189" s="98" t="s">
        <v>728</v>
      </c>
      <c r="I189" s="20" t="s">
        <v>63</v>
      </c>
      <c r="J189" s="99">
        <v>69</v>
      </c>
      <c r="K189" s="17" t="s">
        <v>1115</v>
      </c>
      <c r="L189" s="17" t="s">
        <v>1118</v>
      </c>
      <c r="M189" s="14" t="s">
        <v>223</v>
      </c>
      <c r="N189" s="14" t="s">
        <v>36</v>
      </c>
      <c r="O189" s="17" t="s">
        <v>224</v>
      </c>
      <c r="P189" s="17" t="s">
        <v>161</v>
      </c>
      <c r="Q189" s="17" t="s">
        <v>29</v>
      </c>
      <c r="R189" s="17" t="s">
        <v>225</v>
      </c>
      <c r="S189" s="19">
        <v>600</v>
      </c>
      <c r="T189" s="20" t="s">
        <v>39</v>
      </c>
      <c r="U189" s="21" t="s">
        <v>729</v>
      </c>
      <c r="V189" s="100"/>
      <c r="W189" s="100"/>
      <c r="X189" s="100"/>
      <c r="Y189" s="100"/>
      <c r="Z189" s="100"/>
    </row>
    <row r="190" spans="1:26" x14ac:dyDescent="0.25">
      <c r="A190" s="96">
        <v>187</v>
      </c>
      <c r="B190" s="15">
        <v>220577</v>
      </c>
      <c r="C190" s="15">
        <v>2022</v>
      </c>
      <c r="D190" s="15">
        <f t="shared" si="2"/>
        <v>10</v>
      </c>
      <c r="E190" s="16">
        <v>44744</v>
      </c>
      <c r="F190" s="24">
        <v>44853</v>
      </c>
      <c r="G190" s="14" t="s">
        <v>730</v>
      </c>
      <c r="H190" s="98" t="s">
        <v>731</v>
      </c>
      <c r="I190" s="20" t="s">
        <v>24</v>
      </c>
      <c r="J190" s="99">
        <v>32</v>
      </c>
      <c r="K190" s="17" t="s">
        <v>1116</v>
      </c>
      <c r="L190" s="17" t="s">
        <v>31</v>
      </c>
      <c r="M190" s="14" t="s">
        <v>69</v>
      </c>
      <c r="N190" s="14" t="s">
        <v>36</v>
      </c>
      <c r="O190" s="17" t="s">
        <v>70</v>
      </c>
      <c r="P190" s="17" t="s">
        <v>28</v>
      </c>
      <c r="Q190" s="17" t="s">
        <v>29</v>
      </c>
      <c r="R190" s="18" t="s">
        <v>30</v>
      </c>
      <c r="S190" s="19">
        <v>3600</v>
      </c>
      <c r="T190" s="20" t="s">
        <v>31</v>
      </c>
      <c r="U190" s="21" t="s">
        <v>31</v>
      </c>
      <c r="V190" s="100"/>
      <c r="W190" s="100"/>
      <c r="X190" s="100"/>
      <c r="Y190" s="100"/>
      <c r="Z190" s="100"/>
    </row>
    <row r="191" spans="1:26" x14ac:dyDescent="0.25">
      <c r="A191" s="96">
        <v>188</v>
      </c>
      <c r="B191" s="15">
        <v>220579</v>
      </c>
      <c r="C191" s="15">
        <v>2022</v>
      </c>
      <c r="D191" s="15">
        <f t="shared" si="2"/>
        <v>10</v>
      </c>
      <c r="E191" s="16">
        <v>44794</v>
      </c>
      <c r="F191" s="24">
        <v>44846</v>
      </c>
      <c r="G191" s="14" t="s">
        <v>732</v>
      </c>
      <c r="H191" s="98" t="s">
        <v>733</v>
      </c>
      <c r="I191" s="20" t="s">
        <v>24</v>
      </c>
      <c r="J191" s="99">
        <v>81</v>
      </c>
      <c r="K191" s="17" t="s">
        <v>1116</v>
      </c>
      <c r="L191" s="17" t="s">
        <v>31</v>
      </c>
      <c r="M191" s="14" t="s">
        <v>351</v>
      </c>
      <c r="N191" s="14" t="s">
        <v>36</v>
      </c>
      <c r="O191" s="17" t="s">
        <v>734</v>
      </c>
      <c r="P191" s="17" t="s">
        <v>176</v>
      </c>
      <c r="Q191" s="17" t="s">
        <v>29</v>
      </c>
      <c r="R191" s="18" t="s">
        <v>30</v>
      </c>
      <c r="S191" s="19">
        <v>4600</v>
      </c>
      <c r="T191" s="20" t="s">
        <v>31</v>
      </c>
      <c r="U191" s="21" t="s">
        <v>31</v>
      </c>
      <c r="V191" s="100"/>
      <c r="W191" s="100"/>
      <c r="X191" s="100"/>
      <c r="Y191" s="100"/>
      <c r="Z191" s="100"/>
    </row>
    <row r="192" spans="1:26" x14ac:dyDescent="0.25">
      <c r="A192" s="96">
        <v>189</v>
      </c>
      <c r="B192" s="15">
        <v>220588</v>
      </c>
      <c r="C192" s="15">
        <v>2022</v>
      </c>
      <c r="D192" s="15">
        <f t="shared" si="2"/>
        <v>10</v>
      </c>
      <c r="E192" s="16">
        <v>44815</v>
      </c>
      <c r="F192" s="24">
        <v>44847</v>
      </c>
      <c r="G192" s="14" t="s">
        <v>735</v>
      </c>
      <c r="H192" s="98" t="s">
        <v>736</v>
      </c>
      <c r="I192" s="20" t="s">
        <v>24</v>
      </c>
      <c r="J192" s="99">
        <v>21</v>
      </c>
      <c r="K192" s="17" t="s">
        <v>1115</v>
      </c>
      <c r="L192" s="17" t="s">
        <v>1118</v>
      </c>
      <c r="M192" s="14" t="s">
        <v>64</v>
      </c>
      <c r="N192" s="14" t="s">
        <v>36</v>
      </c>
      <c r="O192" s="17" t="s">
        <v>64</v>
      </c>
      <c r="P192" s="17" t="s">
        <v>71</v>
      </c>
      <c r="Q192" s="17" t="s">
        <v>29</v>
      </c>
      <c r="R192" s="17" t="s">
        <v>109</v>
      </c>
      <c r="S192" s="19">
        <v>2000</v>
      </c>
      <c r="T192" s="20" t="s">
        <v>58</v>
      </c>
      <c r="U192" s="21" t="s">
        <v>737</v>
      </c>
      <c r="V192" s="100"/>
      <c r="W192" s="100"/>
      <c r="X192" s="100"/>
      <c r="Y192" s="100"/>
      <c r="Z192" s="100"/>
    </row>
    <row r="193" spans="1:26" x14ac:dyDescent="0.25">
      <c r="A193" s="96">
        <v>190</v>
      </c>
      <c r="B193" s="15">
        <v>220594</v>
      </c>
      <c r="C193" s="15">
        <v>2022</v>
      </c>
      <c r="D193" s="15">
        <f t="shared" si="2"/>
        <v>11</v>
      </c>
      <c r="E193" s="16">
        <v>44707</v>
      </c>
      <c r="F193" s="24">
        <v>44880</v>
      </c>
      <c r="G193" s="14" t="s">
        <v>738</v>
      </c>
      <c r="H193" s="98" t="s">
        <v>739</v>
      </c>
      <c r="I193" s="20" t="s">
        <v>63</v>
      </c>
      <c r="J193" s="99">
        <v>47</v>
      </c>
      <c r="K193" s="17" t="s">
        <v>1116</v>
      </c>
      <c r="L193" s="17" t="s">
        <v>31</v>
      </c>
      <c r="M193" s="14" t="s">
        <v>740</v>
      </c>
      <c r="N193" s="14" t="s">
        <v>167</v>
      </c>
      <c r="O193" s="17" t="s">
        <v>741</v>
      </c>
      <c r="P193" s="17" t="s">
        <v>28</v>
      </c>
      <c r="Q193" s="17" t="s">
        <v>29</v>
      </c>
      <c r="R193" s="18" t="s">
        <v>30</v>
      </c>
      <c r="S193" s="19">
        <v>4600</v>
      </c>
      <c r="T193" s="20" t="s">
        <v>31</v>
      </c>
      <c r="U193" s="21" t="s">
        <v>31</v>
      </c>
      <c r="V193" s="100"/>
      <c r="W193" s="100"/>
      <c r="X193" s="100"/>
      <c r="Y193" s="100"/>
      <c r="Z193" s="100"/>
    </row>
    <row r="194" spans="1:26" x14ac:dyDescent="0.25">
      <c r="A194" s="96">
        <v>191</v>
      </c>
      <c r="B194" s="15">
        <v>220609</v>
      </c>
      <c r="C194" s="15">
        <v>2022</v>
      </c>
      <c r="D194" s="15">
        <f t="shared" si="2"/>
        <v>11</v>
      </c>
      <c r="E194" s="16">
        <v>44822</v>
      </c>
      <c r="F194" s="24">
        <v>44876</v>
      </c>
      <c r="G194" s="14" t="s">
        <v>742</v>
      </c>
      <c r="H194" s="98" t="s">
        <v>743</v>
      </c>
      <c r="I194" s="20" t="s">
        <v>24</v>
      </c>
      <c r="J194" s="99">
        <v>35</v>
      </c>
      <c r="K194" s="17" t="s">
        <v>1115</v>
      </c>
      <c r="L194" s="17" t="s">
        <v>1118</v>
      </c>
      <c r="M194" s="14" t="s">
        <v>203</v>
      </c>
      <c r="N194" s="14" t="s">
        <v>36</v>
      </c>
      <c r="O194" s="20" t="s">
        <v>447</v>
      </c>
      <c r="P194" s="17" t="s">
        <v>28</v>
      </c>
      <c r="Q194" s="17" t="s">
        <v>29</v>
      </c>
      <c r="R194" s="17" t="s">
        <v>744</v>
      </c>
      <c r="S194" s="19">
        <v>1500</v>
      </c>
      <c r="T194" s="20" t="s">
        <v>58</v>
      </c>
      <c r="U194" s="21" t="s">
        <v>745</v>
      </c>
      <c r="V194" s="100"/>
      <c r="W194" s="100"/>
      <c r="X194" s="100"/>
      <c r="Y194" s="100"/>
      <c r="Z194" s="100"/>
    </row>
    <row r="195" spans="1:26" x14ac:dyDescent="0.25">
      <c r="A195" s="96">
        <v>192</v>
      </c>
      <c r="B195" s="15">
        <v>220614</v>
      </c>
      <c r="C195" s="15">
        <v>2022</v>
      </c>
      <c r="D195" s="15">
        <f t="shared" ref="D195:D258" si="3">IF(ISBLANK(F195),0,MONTH(F195))</f>
        <v>11</v>
      </c>
      <c r="E195" s="16">
        <v>44690</v>
      </c>
      <c r="F195" s="24">
        <v>44882</v>
      </c>
      <c r="G195" s="14" t="s">
        <v>746</v>
      </c>
      <c r="H195" s="98" t="s">
        <v>747</v>
      </c>
      <c r="I195" s="20" t="s">
        <v>24</v>
      </c>
      <c r="J195" s="99">
        <v>71</v>
      </c>
      <c r="K195" s="17" t="s">
        <v>1116</v>
      </c>
      <c r="L195" s="17" t="s">
        <v>31</v>
      </c>
      <c r="M195" s="14" t="s">
        <v>236</v>
      </c>
      <c r="N195" s="14" t="s">
        <v>167</v>
      </c>
      <c r="O195" s="17" t="s">
        <v>236</v>
      </c>
      <c r="P195" s="17" t="s">
        <v>383</v>
      </c>
      <c r="Q195" s="17" t="s">
        <v>29</v>
      </c>
      <c r="R195" s="18" t="s">
        <v>30</v>
      </c>
      <c r="S195" s="19">
        <v>4600</v>
      </c>
      <c r="T195" s="20" t="s">
        <v>31</v>
      </c>
      <c r="U195" s="21" t="s">
        <v>31</v>
      </c>
      <c r="V195" s="100"/>
      <c r="W195" s="100"/>
      <c r="X195" s="100"/>
      <c r="Y195" s="100"/>
      <c r="Z195" s="100"/>
    </row>
    <row r="196" spans="1:26" x14ac:dyDescent="0.25">
      <c r="A196" s="96">
        <v>193</v>
      </c>
      <c r="B196" s="15">
        <v>220617</v>
      </c>
      <c r="C196" s="15">
        <v>2022</v>
      </c>
      <c r="D196" s="15">
        <f t="shared" si="3"/>
        <v>9</v>
      </c>
      <c r="E196" s="16">
        <v>44274</v>
      </c>
      <c r="F196" s="24">
        <v>44825</v>
      </c>
      <c r="G196" s="14" t="s">
        <v>748</v>
      </c>
      <c r="H196" s="98" t="s">
        <v>749</v>
      </c>
      <c r="I196" s="20" t="s">
        <v>24</v>
      </c>
      <c r="J196" s="99">
        <v>24</v>
      </c>
      <c r="K196" s="17" t="s">
        <v>1115</v>
      </c>
      <c r="L196" s="17" t="s">
        <v>1118</v>
      </c>
      <c r="M196" s="14" t="s">
        <v>750</v>
      </c>
      <c r="N196" s="14" t="s">
        <v>706</v>
      </c>
      <c r="O196" s="17" t="s">
        <v>750</v>
      </c>
      <c r="P196" s="17" t="s">
        <v>176</v>
      </c>
      <c r="Q196" s="17" t="s">
        <v>29</v>
      </c>
      <c r="R196" s="17" t="s">
        <v>751</v>
      </c>
      <c r="S196" s="19">
        <v>2000</v>
      </c>
      <c r="T196" s="20" t="s">
        <v>46</v>
      </c>
      <c r="U196" s="21" t="s">
        <v>46</v>
      </c>
      <c r="V196" s="100"/>
      <c r="W196" s="100"/>
      <c r="X196" s="100"/>
      <c r="Y196" s="100"/>
      <c r="Z196" s="100"/>
    </row>
    <row r="197" spans="1:26" x14ac:dyDescent="0.25">
      <c r="A197" s="96">
        <v>194</v>
      </c>
      <c r="B197" s="15">
        <v>220624</v>
      </c>
      <c r="C197" s="15">
        <v>2022</v>
      </c>
      <c r="D197" s="15">
        <f t="shared" si="3"/>
        <v>11</v>
      </c>
      <c r="E197" s="16">
        <v>44808</v>
      </c>
      <c r="F197" s="24">
        <v>44894</v>
      </c>
      <c r="G197" s="14" t="s">
        <v>752</v>
      </c>
      <c r="H197" s="98" t="s">
        <v>753</v>
      </c>
      <c r="I197" s="20" t="s">
        <v>24</v>
      </c>
      <c r="J197" s="99">
        <v>57</v>
      </c>
      <c r="K197" s="17" t="s">
        <v>1115</v>
      </c>
      <c r="L197" s="17" t="s">
        <v>1118</v>
      </c>
      <c r="M197" s="14" t="s">
        <v>754</v>
      </c>
      <c r="N197" s="14" t="s">
        <v>36</v>
      </c>
      <c r="O197" s="17" t="s">
        <v>754</v>
      </c>
      <c r="P197" s="17" t="s">
        <v>104</v>
      </c>
      <c r="Q197" s="17" t="s">
        <v>29</v>
      </c>
      <c r="R197" s="17" t="s">
        <v>755</v>
      </c>
      <c r="S197" s="19">
        <v>2000</v>
      </c>
      <c r="T197" s="20" t="s">
        <v>46</v>
      </c>
      <c r="U197" s="21" t="s">
        <v>756</v>
      </c>
      <c r="V197" s="100"/>
      <c r="W197" s="100"/>
      <c r="X197" s="100"/>
      <c r="Y197" s="100"/>
      <c r="Z197" s="100"/>
    </row>
    <row r="198" spans="1:26" x14ac:dyDescent="0.25">
      <c r="A198" s="96">
        <v>195</v>
      </c>
      <c r="B198" s="15">
        <v>220627</v>
      </c>
      <c r="C198" s="15">
        <v>2022</v>
      </c>
      <c r="D198" s="15">
        <f t="shared" si="3"/>
        <v>12</v>
      </c>
      <c r="E198" s="16">
        <v>44808</v>
      </c>
      <c r="F198" s="24">
        <v>44909</v>
      </c>
      <c r="G198" s="14" t="s">
        <v>757</v>
      </c>
      <c r="H198" s="98" t="s">
        <v>758</v>
      </c>
      <c r="I198" s="20" t="s">
        <v>24</v>
      </c>
      <c r="J198" s="99">
        <v>81</v>
      </c>
      <c r="K198" s="17" t="s">
        <v>1116</v>
      </c>
      <c r="L198" s="17" t="s">
        <v>31</v>
      </c>
      <c r="M198" s="14" t="s">
        <v>666</v>
      </c>
      <c r="N198" s="14" t="s">
        <v>26</v>
      </c>
      <c r="O198" s="17" t="s">
        <v>759</v>
      </c>
      <c r="P198" s="17" t="s">
        <v>28</v>
      </c>
      <c r="Q198" s="17" t="s">
        <v>29</v>
      </c>
      <c r="R198" s="18" t="s">
        <v>30</v>
      </c>
      <c r="S198" s="19">
        <v>2800</v>
      </c>
      <c r="T198" s="20" t="s">
        <v>31</v>
      </c>
      <c r="U198" s="21" t="s">
        <v>31</v>
      </c>
      <c r="V198" s="100"/>
      <c r="W198" s="100"/>
      <c r="X198" s="100"/>
      <c r="Y198" s="100"/>
      <c r="Z198" s="100"/>
    </row>
    <row r="199" spans="1:26" x14ac:dyDescent="0.25">
      <c r="A199" s="96">
        <v>196</v>
      </c>
      <c r="B199" s="15">
        <v>220628</v>
      </c>
      <c r="C199" s="15">
        <v>2022</v>
      </c>
      <c r="D199" s="15">
        <f t="shared" si="3"/>
        <v>10</v>
      </c>
      <c r="E199" s="16">
        <v>44518</v>
      </c>
      <c r="F199" s="24">
        <v>44861</v>
      </c>
      <c r="G199" s="14" t="s">
        <v>760</v>
      </c>
      <c r="H199" s="98" t="s">
        <v>761</v>
      </c>
      <c r="I199" s="20" t="s">
        <v>24</v>
      </c>
      <c r="J199" s="99">
        <v>43</v>
      </c>
      <c r="K199" s="17" t="s">
        <v>1116</v>
      </c>
      <c r="L199" s="17" t="s">
        <v>31</v>
      </c>
      <c r="M199" s="14" t="s">
        <v>754</v>
      </c>
      <c r="N199" s="14" t="s">
        <v>36</v>
      </c>
      <c r="O199" s="17" t="s">
        <v>762</v>
      </c>
      <c r="P199" s="17" t="s">
        <v>28</v>
      </c>
      <c r="Q199" s="17" t="s">
        <v>29</v>
      </c>
      <c r="R199" s="18" t="s">
        <v>30</v>
      </c>
      <c r="S199" s="19">
        <v>1500</v>
      </c>
      <c r="T199" s="20" t="s">
        <v>31</v>
      </c>
      <c r="U199" s="21" t="s">
        <v>31</v>
      </c>
      <c r="V199" s="100"/>
      <c r="W199" s="100"/>
      <c r="X199" s="100"/>
      <c r="Y199" s="100"/>
      <c r="Z199" s="100"/>
    </row>
    <row r="200" spans="1:26" x14ac:dyDescent="0.25">
      <c r="A200" s="96">
        <v>197</v>
      </c>
      <c r="B200" s="15">
        <v>220635</v>
      </c>
      <c r="C200" s="15">
        <v>2022</v>
      </c>
      <c r="D200" s="15">
        <f t="shared" si="3"/>
        <v>11</v>
      </c>
      <c r="E200" s="16">
        <v>44812</v>
      </c>
      <c r="F200" s="24">
        <v>44873</v>
      </c>
      <c r="G200" s="14" t="s">
        <v>763</v>
      </c>
      <c r="H200" s="98" t="s">
        <v>764</v>
      </c>
      <c r="I200" s="20" t="s">
        <v>24</v>
      </c>
      <c r="J200" s="99">
        <v>21</v>
      </c>
      <c r="K200" s="17" t="s">
        <v>1115</v>
      </c>
      <c r="L200" s="17" t="s">
        <v>1118</v>
      </c>
      <c r="M200" s="14" t="s">
        <v>261</v>
      </c>
      <c r="N200" s="14" t="s">
        <v>261</v>
      </c>
      <c r="O200" s="17" t="s">
        <v>765</v>
      </c>
      <c r="P200" s="17" t="s">
        <v>161</v>
      </c>
      <c r="Q200" s="17" t="s">
        <v>29</v>
      </c>
      <c r="R200" s="17" t="s">
        <v>263</v>
      </c>
      <c r="S200" s="19">
        <v>5000</v>
      </c>
      <c r="T200" s="20" t="s">
        <v>58</v>
      </c>
      <c r="U200" s="21" t="s">
        <v>766</v>
      </c>
      <c r="V200" s="100"/>
      <c r="W200" s="100"/>
      <c r="X200" s="100"/>
      <c r="Y200" s="100"/>
      <c r="Z200" s="100"/>
    </row>
    <row r="201" spans="1:26" x14ac:dyDescent="0.25">
      <c r="A201" s="96">
        <v>198</v>
      </c>
      <c r="B201" s="15">
        <v>220646</v>
      </c>
      <c r="C201" s="15">
        <v>2022</v>
      </c>
      <c r="D201" s="15">
        <f t="shared" si="3"/>
        <v>11</v>
      </c>
      <c r="E201" s="16">
        <v>44838</v>
      </c>
      <c r="F201" s="24">
        <v>44874</v>
      </c>
      <c r="G201" s="14" t="s">
        <v>767</v>
      </c>
      <c r="H201" s="98" t="s">
        <v>768</v>
      </c>
      <c r="I201" s="20" t="s">
        <v>63</v>
      </c>
      <c r="J201" s="99">
        <v>69</v>
      </c>
      <c r="K201" s="17" t="s">
        <v>1115</v>
      </c>
      <c r="L201" s="17" t="s">
        <v>1118</v>
      </c>
      <c r="M201" s="14" t="s">
        <v>36</v>
      </c>
      <c r="N201" s="14" t="s">
        <v>36</v>
      </c>
      <c r="O201" s="17" t="s">
        <v>324</v>
      </c>
      <c r="P201" s="17" t="s">
        <v>56</v>
      </c>
      <c r="Q201" s="17" t="s">
        <v>29</v>
      </c>
      <c r="R201" s="17" t="s">
        <v>479</v>
      </c>
      <c r="S201" s="19">
        <v>5000</v>
      </c>
      <c r="T201" s="20" t="s">
        <v>58</v>
      </c>
      <c r="U201" s="21" t="s">
        <v>769</v>
      </c>
      <c r="V201" s="100"/>
      <c r="W201" s="100"/>
      <c r="X201" s="100"/>
      <c r="Y201" s="100"/>
      <c r="Z201" s="100"/>
    </row>
    <row r="202" spans="1:26" x14ac:dyDescent="0.25">
      <c r="A202" s="96">
        <v>199</v>
      </c>
      <c r="B202" s="15">
        <v>220661</v>
      </c>
      <c r="C202" s="15">
        <v>2022</v>
      </c>
      <c r="D202" s="15">
        <f t="shared" si="3"/>
        <v>10</v>
      </c>
      <c r="E202" s="16">
        <v>44843</v>
      </c>
      <c r="F202" s="24">
        <v>44861</v>
      </c>
      <c r="G202" s="14" t="s">
        <v>770</v>
      </c>
      <c r="H202" s="98" t="s">
        <v>771</v>
      </c>
      <c r="I202" s="20" t="s">
        <v>24</v>
      </c>
      <c r="J202" s="99">
        <v>43</v>
      </c>
      <c r="K202" s="17" t="s">
        <v>1115</v>
      </c>
      <c r="L202" s="17" t="s">
        <v>1118</v>
      </c>
      <c r="M202" s="14" t="s">
        <v>242</v>
      </c>
      <c r="N202" s="14" t="s">
        <v>36</v>
      </c>
      <c r="O202" s="17" t="s">
        <v>772</v>
      </c>
      <c r="P202" s="17" t="s">
        <v>161</v>
      </c>
      <c r="Q202" s="17" t="s">
        <v>29</v>
      </c>
      <c r="R202" s="17" t="s">
        <v>344</v>
      </c>
      <c r="S202" s="19">
        <v>10000</v>
      </c>
      <c r="T202" s="20" t="s">
        <v>46</v>
      </c>
      <c r="U202" s="21" t="s">
        <v>115</v>
      </c>
      <c r="V202" s="100"/>
      <c r="W202" s="100"/>
      <c r="X202" s="100"/>
      <c r="Y202" s="100"/>
      <c r="Z202" s="100"/>
    </row>
    <row r="203" spans="1:26" x14ac:dyDescent="0.25">
      <c r="A203" s="96">
        <v>200</v>
      </c>
      <c r="B203" s="15">
        <v>220669</v>
      </c>
      <c r="C203" s="15">
        <v>2022</v>
      </c>
      <c r="D203" s="15">
        <f t="shared" si="3"/>
        <v>12</v>
      </c>
      <c r="E203" s="16">
        <v>44662</v>
      </c>
      <c r="F203" s="24">
        <v>44897</v>
      </c>
      <c r="G203" s="14" t="s">
        <v>773</v>
      </c>
      <c r="H203" s="98" t="s">
        <v>774</v>
      </c>
      <c r="I203" s="20" t="s">
        <v>24</v>
      </c>
      <c r="J203" s="99">
        <v>19</v>
      </c>
      <c r="K203" s="17" t="s">
        <v>1115</v>
      </c>
      <c r="L203" s="17" t="s">
        <v>1118</v>
      </c>
      <c r="M203" s="14" t="s">
        <v>36</v>
      </c>
      <c r="N203" s="14" t="s">
        <v>36</v>
      </c>
      <c r="O203" s="17" t="s">
        <v>775</v>
      </c>
      <c r="P203" s="17" t="s">
        <v>56</v>
      </c>
      <c r="Q203" s="17" t="s">
        <v>29</v>
      </c>
      <c r="R203" s="17" t="s">
        <v>776</v>
      </c>
      <c r="S203" s="19">
        <v>12000</v>
      </c>
      <c r="T203" s="20" t="s">
        <v>58</v>
      </c>
      <c r="U203" s="21" t="s">
        <v>777</v>
      </c>
      <c r="V203" s="100"/>
      <c r="W203" s="100"/>
      <c r="X203" s="100"/>
      <c r="Y203" s="100"/>
      <c r="Z203" s="100"/>
    </row>
    <row r="204" spans="1:26" x14ac:dyDescent="0.25">
      <c r="A204" s="96">
        <v>201</v>
      </c>
      <c r="B204" s="15">
        <v>220672</v>
      </c>
      <c r="C204" s="15">
        <v>2022</v>
      </c>
      <c r="D204" s="15">
        <f t="shared" si="3"/>
        <v>11</v>
      </c>
      <c r="E204" s="16">
        <v>44844</v>
      </c>
      <c r="F204" s="24">
        <v>44876</v>
      </c>
      <c r="G204" s="14" t="s">
        <v>778</v>
      </c>
      <c r="H204" s="98" t="s">
        <v>779</v>
      </c>
      <c r="I204" s="20" t="s">
        <v>24</v>
      </c>
      <c r="J204" s="99">
        <v>58</v>
      </c>
      <c r="K204" s="17" t="s">
        <v>1115</v>
      </c>
      <c r="L204" s="17" t="s">
        <v>1118</v>
      </c>
      <c r="M204" s="14" t="s">
        <v>36</v>
      </c>
      <c r="N204" s="14" t="s">
        <v>36</v>
      </c>
      <c r="O204" s="20" t="s">
        <v>447</v>
      </c>
      <c r="P204" s="17" t="s">
        <v>176</v>
      </c>
      <c r="Q204" s="17" t="s">
        <v>29</v>
      </c>
      <c r="R204" s="17" t="s">
        <v>204</v>
      </c>
      <c r="S204" s="19">
        <v>8000</v>
      </c>
      <c r="T204" s="20" t="s">
        <v>58</v>
      </c>
      <c r="U204" s="21" t="s">
        <v>780</v>
      </c>
      <c r="V204" s="100"/>
      <c r="W204" s="100"/>
      <c r="X204" s="100"/>
      <c r="Y204" s="100"/>
      <c r="Z204" s="100"/>
    </row>
    <row r="205" spans="1:26" x14ac:dyDescent="0.25">
      <c r="A205" s="96">
        <v>202</v>
      </c>
      <c r="B205" s="15">
        <v>220675</v>
      </c>
      <c r="C205" s="15">
        <v>2022</v>
      </c>
      <c r="D205" s="15">
        <f t="shared" si="3"/>
        <v>11</v>
      </c>
      <c r="E205" s="16">
        <v>44835</v>
      </c>
      <c r="F205" s="24">
        <v>44876</v>
      </c>
      <c r="G205" s="14" t="s">
        <v>781</v>
      </c>
      <c r="H205" s="98" t="s">
        <v>782</v>
      </c>
      <c r="I205" s="20" t="s">
        <v>63</v>
      </c>
      <c r="J205" s="99">
        <v>47</v>
      </c>
      <c r="K205" s="17" t="s">
        <v>1115</v>
      </c>
      <c r="L205" s="17" t="s">
        <v>1118</v>
      </c>
      <c r="M205" s="14" t="s">
        <v>51</v>
      </c>
      <c r="N205" s="14" t="s">
        <v>36</v>
      </c>
      <c r="O205" s="17" t="s">
        <v>370</v>
      </c>
      <c r="P205" s="17" t="s">
        <v>28</v>
      </c>
      <c r="Q205" s="17" t="s">
        <v>29</v>
      </c>
      <c r="R205" s="17" t="s">
        <v>141</v>
      </c>
      <c r="S205" s="19">
        <v>3000</v>
      </c>
      <c r="T205" s="20" t="s">
        <v>58</v>
      </c>
      <c r="U205" s="21" t="s">
        <v>783</v>
      </c>
      <c r="V205" s="100"/>
      <c r="W205" s="100"/>
      <c r="X205" s="100"/>
      <c r="Y205" s="100"/>
      <c r="Z205" s="100"/>
    </row>
    <row r="206" spans="1:26" x14ac:dyDescent="0.25">
      <c r="A206" s="96">
        <v>203</v>
      </c>
      <c r="B206" s="15">
        <v>220681</v>
      </c>
      <c r="C206" s="15">
        <v>2022</v>
      </c>
      <c r="D206" s="15">
        <f t="shared" si="3"/>
        <v>11</v>
      </c>
      <c r="E206" s="16">
        <v>44835</v>
      </c>
      <c r="F206" s="24">
        <v>44869</v>
      </c>
      <c r="G206" s="14" t="s">
        <v>784</v>
      </c>
      <c r="H206" s="98" t="s">
        <v>785</v>
      </c>
      <c r="I206" s="20" t="s">
        <v>24</v>
      </c>
      <c r="J206" s="99">
        <v>35</v>
      </c>
      <c r="K206" s="17" t="s">
        <v>1115</v>
      </c>
      <c r="L206" s="17" t="s">
        <v>1118</v>
      </c>
      <c r="M206" s="14" t="s">
        <v>35</v>
      </c>
      <c r="N206" s="14" t="s">
        <v>36</v>
      </c>
      <c r="O206" s="17" t="s">
        <v>786</v>
      </c>
      <c r="P206" s="17" t="s">
        <v>176</v>
      </c>
      <c r="Q206" s="17" t="s">
        <v>29</v>
      </c>
      <c r="R206" s="17" t="s">
        <v>787</v>
      </c>
      <c r="S206" s="19">
        <v>9000</v>
      </c>
      <c r="T206" s="20" t="s">
        <v>58</v>
      </c>
      <c r="U206" s="21" t="s">
        <v>699</v>
      </c>
      <c r="V206" s="100"/>
      <c r="W206" s="100"/>
      <c r="X206" s="100"/>
      <c r="Y206" s="100"/>
      <c r="Z206" s="100"/>
    </row>
    <row r="207" spans="1:26" x14ac:dyDescent="0.25">
      <c r="A207" s="96">
        <v>204</v>
      </c>
      <c r="B207" s="15">
        <v>220691</v>
      </c>
      <c r="C207" s="15">
        <v>2022</v>
      </c>
      <c r="D207" s="15">
        <f t="shared" si="3"/>
        <v>11</v>
      </c>
      <c r="E207" s="16">
        <v>44739</v>
      </c>
      <c r="F207" s="24">
        <v>44869</v>
      </c>
      <c r="G207" s="14" t="s">
        <v>788</v>
      </c>
      <c r="H207" s="98" t="s">
        <v>789</v>
      </c>
      <c r="I207" s="20" t="s">
        <v>63</v>
      </c>
      <c r="J207" s="99">
        <v>26</v>
      </c>
      <c r="K207" s="17" t="s">
        <v>1115</v>
      </c>
      <c r="L207" s="17" t="s">
        <v>1118</v>
      </c>
      <c r="M207" s="14" t="s">
        <v>171</v>
      </c>
      <c r="N207" s="14" t="s">
        <v>36</v>
      </c>
      <c r="O207" s="17" t="s">
        <v>324</v>
      </c>
      <c r="P207" s="17" t="s">
        <v>56</v>
      </c>
      <c r="Q207" s="17" t="s">
        <v>29</v>
      </c>
      <c r="R207" s="17" t="s">
        <v>479</v>
      </c>
      <c r="S207" s="19">
        <v>500</v>
      </c>
      <c r="T207" s="20" t="s">
        <v>58</v>
      </c>
      <c r="U207" s="21" t="s">
        <v>790</v>
      </c>
      <c r="V207" s="100"/>
      <c r="W207" s="100"/>
      <c r="X207" s="100"/>
      <c r="Y207" s="100"/>
      <c r="Z207" s="100"/>
    </row>
    <row r="208" spans="1:26" x14ac:dyDescent="0.25">
      <c r="A208" s="96">
        <v>205</v>
      </c>
      <c r="B208" s="15">
        <v>220699</v>
      </c>
      <c r="C208" s="15">
        <v>2022</v>
      </c>
      <c r="D208" s="15">
        <f t="shared" si="3"/>
        <v>12</v>
      </c>
      <c r="E208" s="16">
        <v>44531</v>
      </c>
      <c r="F208" s="24">
        <v>44901</v>
      </c>
      <c r="G208" s="14" t="s">
        <v>791</v>
      </c>
      <c r="H208" s="98" t="s">
        <v>792</v>
      </c>
      <c r="I208" s="20" t="s">
        <v>24</v>
      </c>
      <c r="J208" s="99">
        <v>33</v>
      </c>
      <c r="K208" s="17" t="s">
        <v>1116</v>
      </c>
      <c r="L208" s="17" t="s">
        <v>31</v>
      </c>
      <c r="M208" s="14" t="s">
        <v>793</v>
      </c>
      <c r="N208" s="14" t="s">
        <v>123</v>
      </c>
      <c r="O208" s="17" t="s">
        <v>794</v>
      </c>
      <c r="P208" s="17" t="s">
        <v>28</v>
      </c>
      <c r="Q208" s="17" t="s">
        <v>29</v>
      </c>
      <c r="R208" s="18" t="s">
        <v>30</v>
      </c>
      <c r="S208" s="19">
        <v>4400</v>
      </c>
      <c r="T208" s="20" t="s">
        <v>31</v>
      </c>
      <c r="U208" s="21" t="s">
        <v>31</v>
      </c>
      <c r="V208" s="100"/>
      <c r="W208" s="100"/>
      <c r="X208" s="100"/>
      <c r="Y208" s="100"/>
      <c r="Z208" s="100"/>
    </row>
    <row r="209" spans="1:26" x14ac:dyDescent="0.25">
      <c r="A209" s="96">
        <v>206</v>
      </c>
      <c r="B209" s="15">
        <v>220713</v>
      </c>
      <c r="C209" s="15">
        <v>2022</v>
      </c>
      <c r="D209" s="15">
        <f t="shared" si="3"/>
        <v>12</v>
      </c>
      <c r="E209" s="16">
        <v>44846</v>
      </c>
      <c r="F209" s="24">
        <v>44896</v>
      </c>
      <c r="G209" s="14" t="s">
        <v>795</v>
      </c>
      <c r="H209" s="98" t="s">
        <v>796</v>
      </c>
      <c r="I209" s="20" t="s">
        <v>63</v>
      </c>
      <c r="J209" s="99">
        <v>5</v>
      </c>
      <c r="K209" s="17" t="s">
        <v>1115</v>
      </c>
      <c r="L209" s="17" t="s">
        <v>1118</v>
      </c>
      <c r="M209" s="14" t="s">
        <v>797</v>
      </c>
      <c r="N209" s="14" t="s">
        <v>36</v>
      </c>
      <c r="O209" s="17" t="s">
        <v>798</v>
      </c>
      <c r="P209" s="17" t="s">
        <v>56</v>
      </c>
      <c r="Q209" s="17" t="s">
        <v>29</v>
      </c>
      <c r="R209" s="17" t="s">
        <v>799</v>
      </c>
      <c r="S209" s="19">
        <v>300</v>
      </c>
      <c r="T209" s="20" t="s">
        <v>58</v>
      </c>
      <c r="U209" s="21" t="s">
        <v>800</v>
      </c>
      <c r="V209" s="100"/>
      <c r="W209" s="100"/>
      <c r="X209" s="100"/>
      <c r="Y209" s="100"/>
      <c r="Z209" s="100"/>
    </row>
    <row r="210" spans="1:26" x14ac:dyDescent="0.25">
      <c r="A210" s="96">
        <v>207</v>
      </c>
      <c r="B210" s="15">
        <v>220714</v>
      </c>
      <c r="C210" s="15">
        <v>2022</v>
      </c>
      <c r="D210" s="15">
        <f t="shared" si="3"/>
        <v>11</v>
      </c>
      <c r="E210" s="16">
        <v>44858</v>
      </c>
      <c r="F210" s="24">
        <v>44894</v>
      </c>
      <c r="G210" s="14" t="s">
        <v>801</v>
      </c>
      <c r="H210" s="98" t="s">
        <v>802</v>
      </c>
      <c r="I210" s="20" t="s">
        <v>24</v>
      </c>
      <c r="J210" s="99">
        <v>45</v>
      </c>
      <c r="K210" s="17" t="s">
        <v>1115</v>
      </c>
      <c r="L210" s="17" t="s">
        <v>1118</v>
      </c>
      <c r="M210" s="14" t="s">
        <v>64</v>
      </c>
      <c r="N210" s="14" t="s">
        <v>36</v>
      </c>
      <c r="O210" s="17" t="s">
        <v>64</v>
      </c>
      <c r="P210" s="17" t="s">
        <v>28</v>
      </c>
      <c r="Q210" s="17" t="s">
        <v>29</v>
      </c>
      <c r="R210" s="17" t="s">
        <v>109</v>
      </c>
      <c r="S210" s="19">
        <v>1000</v>
      </c>
      <c r="T210" s="20" t="s">
        <v>58</v>
      </c>
      <c r="U210" s="21" t="s">
        <v>803</v>
      </c>
      <c r="V210" s="100"/>
      <c r="W210" s="100"/>
      <c r="X210" s="100"/>
      <c r="Y210" s="100"/>
      <c r="Z210" s="100"/>
    </row>
    <row r="211" spans="1:26" x14ac:dyDescent="0.25">
      <c r="A211" s="96">
        <v>208</v>
      </c>
      <c r="B211" s="15">
        <v>220721</v>
      </c>
      <c r="C211" s="15">
        <v>2022</v>
      </c>
      <c r="D211" s="15">
        <f t="shared" si="3"/>
        <v>11</v>
      </c>
      <c r="E211" s="16">
        <v>44788</v>
      </c>
      <c r="F211" s="24">
        <v>44869</v>
      </c>
      <c r="G211" s="14" t="s">
        <v>804</v>
      </c>
      <c r="H211" s="98" t="s">
        <v>805</v>
      </c>
      <c r="I211" s="20" t="s">
        <v>24</v>
      </c>
      <c r="J211" s="99">
        <v>55</v>
      </c>
      <c r="K211" s="17" t="s">
        <v>1115</v>
      </c>
      <c r="L211" s="17" t="s">
        <v>1118</v>
      </c>
      <c r="M211" s="14" t="s">
        <v>25</v>
      </c>
      <c r="N211" s="14" t="s">
        <v>26</v>
      </c>
      <c r="O211" s="17" t="s">
        <v>25</v>
      </c>
      <c r="P211" s="17" t="s">
        <v>383</v>
      </c>
      <c r="Q211" s="17" t="s">
        <v>29</v>
      </c>
      <c r="R211" s="17" t="s">
        <v>301</v>
      </c>
      <c r="S211" s="19">
        <v>8000</v>
      </c>
      <c r="T211" s="20" t="s">
        <v>58</v>
      </c>
      <c r="U211" s="21" t="s">
        <v>444</v>
      </c>
      <c r="V211" s="100"/>
      <c r="W211" s="100"/>
      <c r="X211" s="100"/>
      <c r="Y211" s="100"/>
      <c r="Z211" s="100"/>
    </row>
    <row r="212" spans="1:26" x14ac:dyDescent="0.25">
      <c r="A212" s="96">
        <v>209</v>
      </c>
      <c r="B212" s="15">
        <v>220731</v>
      </c>
      <c r="C212" s="15">
        <v>2022</v>
      </c>
      <c r="D212" s="15">
        <f t="shared" si="3"/>
        <v>11</v>
      </c>
      <c r="E212" s="16">
        <v>44860</v>
      </c>
      <c r="F212" s="24">
        <v>44888</v>
      </c>
      <c r="G212" s="14" t="s">
        <v>806</v>
      </c>
      <c r="H212" s="98" t="s">
        <v>807</v>
      </c>
      <c r="I212" s="20" t="s">
        <v>24</v>
      </c>
      <c r="J212" s="99">
        <v>43</v>
      </c>
      <c r="K212" s="17" t="s">
        <v>1115</v>
      </c>
      <c r="L212" s="17" t="s">
        <v>1118</v>
      </c>
      <c r="M212" s="14" t="s">
        <v>78</v>
      </c>
      <c r="N212" s="14" t="s">
        <v>36</v>
      </c>
      <c r="O212" s="17" t="s">
        <v>78</v>
      </c>
      <c r="P212" s="17" t="s">
        <v>28</v>
      </c>
      <c r="Q212" s="17" t="s">
        <v>29</v>
      </c>
      <c r="R212" s="17" t="s">
        <v>344</v>
      </c>
      <c r="S212" s="19">
        <v>2000</v>
      </c>
      <c r="T212" s="20" t="s">
        <v>58</v>
      </c>
      <c r="U212" s="21" t="s">
        <v>808</v>
      </c>
      <c r="V212" s="100"/>
      <c r="W212" s="100"/>
      <c r="X212" s="100"/>
      <c r="Y212" s="100"/>
      <c r="Z212" s="100"/>
    </row>
    <row r="213" spans="1:26" x14ac:dyDescent="0.25">
      <c r="A213" s="96">
        <v>210</v>
      </c>
      <c r="B213" s="15">
        <v>220736</v>
      </c>
      <c r="C213" s="15">
        <v>2022</v>
      </c>
      <c r="D213" s="15">
        <f t="shared" si="3"/>
        <v>12</v>
      </c>
      <c r="E213" s="16">
        <v>44822</v>
      </c>
      <c r="F213" s="24">
        <v>44897</v>
      </c>
      <c r="G213" s="14" t="s">
        <v>809</v>
      </c>
      <c r="H213" s="98" t="s">
        <v>810</v>
      </c>
      <c r="I213" s="20" t="s">
        <v>24</v>
      </c>
      <c r="J213" s="99">
        <v>39</v>
      </c>
      <c r="K213" s="17" t="s">
        <v>1116</v>
      </c>
      <c r="L213" s="17" t="s">
        <v>31</v>
      </c>
      <c r="M213" s="14" t="s">
        <v>174</v>
      </c>
      <c r="N213" s="14" t="s">
        <v>36</v>
      </c>
      <c r="O213" s="18" t="s">
        <v>272</v>
      </c>
      <c r="P213" s="17" t="s">
        <v>28</v>
      </c>
      <c r="Q213" s="17" t="s">
        <v>29</v>
      </c>
      <c r="R213" s="18" t="s">
        <v>30</v>
      </c>
      <c r="S213" s="19">
        <v>4600</v>
      </c>
      <c r="T213" s="20" t="s">
        <v>31</v>
      </c>
      <c r="U213" s="21" t="s">
        <v>31</v>
      </c>
      <c r="V213" s="100"/>
      <c r="W213" s="100"/>
      <c r="X213" s="100"/>
      <c r="Y213" s="100"/>
      <c r="Z213" s="100"/>
    </row>
    <row r="214" spans="1:26" x14ac:dyDescent="0.25">
      <c r="A214" s="96">
        <v>211</v>
      </c>
      <c r="B214" s="15">
        <v>220771</v>
      </c>
      <c r="C214" s="15">
        <v>2022</v>
      </c>
      <c r="D214" s="15">
        <f t="shared" si="3"/>
        <v>12</v>
      </c>
      <c r="E214" s="16">
        <v>44877</v>
      </c>
      <c r="F214" s="24">
        <v>44922</v>
      </c>
      <c r="G214" s="14" t="s">
        <v>811</v>
      </c>
      <c r="H214" s="98" t="s">
        <v>812</v>
      </c>
      <c r="I214" s="20" t="s">
        <v>24</v>
      </c>
      <c r="J214" s="99">
        <v>21</v>
      </c>
      <c r="K214" s="17" t="s">
        <v>1115</v>
      </c>
      <c r="L214" s="17" t="s">
        <v>1118</v>
      </c>
      <c r="M214" s="14" t="s">
        <v>43</v>
      </c>
      <c r="N214" s="14" t="s">
        <v>36</v>
      </c>
      <c r="O214" s="17" t="s">
        <v>44</v>
      </c>
      <c r="P214" s="17" t="s">
        <v>104</v>
      </c>
      <c r="Q214" s="17" t="s">
        <v>29</v>
      </c>
      <c r="R214" s="17" t="s">
        <v>813</v>
      </c>
      <c r="S214" s="19">
        <v>8000</v>
      </c>
      <c r="T214" s="20" t="s">
        <v>58</v>
      </c>
      <c r="U214" s="21" t="s">
        <v>58</v>
      </c>
      <c r="V214" s="100"/>
      <c r="W214" s="100"/>
      <c r="X214" s="100"/>
      <c r="Y214" s="100"/>
      <c r="Z214" s="100"/>
    </row>
    <row r="215" spans="1:26" x14ac:dyDescent="0.25">
      <c r="A215" s="96">
        <v>212</v>
      </c>
      <c r="B215" s="15">
        <v>220773</v>
      </c>
      <c r="C215" s="15">
        <v>2022</v>
      </c>
      <c r="D215" s="15">
        <f t="shared" si="3"/>
        <v>12</v>
      </c>
      <c r="E215" s="16">
        <v>44801</v>
      </c>
      <c r="F215" s="24">
        <v>44924</v>
      </c>
      <c r="G215" s="14" t="s">
        <v>814</v>
      </c>
      <c r="H215" s="98" t="s">
        <v>815</v>
      </c>
      <c r="I215" s="20" t="s">
        <v>24</v>
      </c>
      <c r="J215" s="99">
        <v>66</v>
      </c>
      <c r="K215" s="17" t="s">
        <v>1116</v>
      </c>
      <c r="L215" s="17" t="s">
        <v>31</v>
      </c>
      <c r="M215" s="14" t="s">
        <v>152</v>
      </c>
      <c r="N215" s="14" t="s">
        <v>153</v>
      </c>
      <c r="O215" s="17" t="s">
        <v>171</v>
      </c>
      <c r="P215" s="17" t="s">
        <v>28</v>
      </c>
      <c r="Q215" s="17" t="s">
        <v>29</v>
      </c>
      <c r="R215" s="18" t="s">
        <v>30</v>
      </c>
      <c r="S215" s="19">
        <v>4600</v>
      </c>
      <c r="T215" s="20" t="s">
        <v>31</v>
      </c>
      <c r="U215" s="21" t="s">
        <v>181</v>
      </c>
      <c r="V215" s="100"/>
      <c r="W215" s="100"/>
      <c r="X215" s="100"/>
      <c r="Y215" s="100"/>
      <c r="Z215" s="100"/>
    </row>
    <row r="216" spans="1:26" x14ac:dyDescent="0.25">
      <c r="A216" s="96">
        <v>213</v>
      </c>
      <c r="B216" s="15">
        <v>220780</v>
      </c>
      <c r="C216" s="15">
        <v>2022</v>
      </c>
      <c r="D216" s="15">
        <f t="shared" si="3"/>
        <v>12</v>
      </c>
      <c r="E216" s="16">
        <v>44869</v>
      </c>
      <c r="F216" s="24">
        <v>44908</v>
      </c>
      <c r="G216" s="14" t="s">
        <v>816</v>
      </c>
      <c r="H216" s="98" t="s">
        <v>817</v>
      </c>
      <c r="I216" s="20" t="s">
        <v>24</v>
      </c>
      <c r="J216" s="99">
        <v>16</v>
      </c>
      <c r="K216" s="17" t="s">
        <v>1115</v>
      </c>
      <c r="L216" s="17" t="s">
        <v>1118</v>
      </c>
      <c r="M216" s="14" t="s">
        <v>36</v>
      </c>
      <c r="N216" s="14" t="s">
        <v>36</v>
      </c>
      <c r="O216" s="17" t="s">
        <v>617</v>
      </c>
      <c r="P216" s="17" t="s">
        <v>28</v>
      </c>
      <c r="Q216" s="17" t="s">
        <v>29</v>
      </c>
      <c r="R216" s="17" t="s">
        <v>251</v>
      </c>
      <c r="S216" s="19">
        <v>3000</v>
      </c>
      <c r="T216" s="20" t="s">
        <v>58</v>
      </c>
      <c r="U216" s="21" t="s">
        <v>58</v>
      </c>
      <c r="V216" s="100"/>
      <c r="W216" s="100"/>
      <c r="X216" s="100"/>
      <c r="Y216" s="100"/>
      <c r="Z216" s="100"/>
    </row>
    <row r="217" spans="1:26" x14ac:dyDescent="0.25">
      <c r="A217" s="96">
        <v>214</v>
      </c>
      <c r="B217" s="15">
        <v>220791</v>
      </c>
      <c r="C217" s="15">
        <v>2022</v>
      </c>
      <c r="D217" s="15">
        <f t="shared" si="3"/>
        <v>12</v>
      </c>
      <c r="E217" s="16">
        <v>44882</v>
      </c>
      <c r="F217" s="24">
        <v>44915</v>
      </c>
      <c r="G217" s="14" t="s">
        <v>818</v>
      </c>
      <c r="H217" s="98" t="s">
        <v>819</v>
      </c>
      <c r="I217" s="20" t="s">
        <v>24</v>
      </c>
      <c r="J217" s="99">
        <v>17</v>
      </c>
      <c r="K217" s="17" t="s">
        <v>1115</v>
      </c>
      <c r="L217" s="17" t="s">
        <v>1118</v>
      </c>
      <c r="M217" s="14" t="s">
        <v>171</v>
      </c>
      <c r="N217" s="14" t="s">
        <v>36</v>
      </c>
      <c r="O217" s="17" t="s">
        <v>171</v>
      </c>
      <c r="P217" s="17" t="s">
        <v>56</v>
      </c>
      <c r="Q217" s="17" t="s">
        <v>29</v>
      </c>
      <c r="R217" s="17" t="s">
        <v>820</v>
      </c>
      <c r="S217" s="19">
        <v>4000</v>
      </c>
      <c r="T217" s="20" t="s">
        <v>58</v>
      </c>
      <c r="U217" s="21" t="s">
        <v>821</v>
      </c>
      <c r="V217" s="100"/>
      <c r="W217" s="100"/>
      <c r="X217" s="100"/>
      <c r="Y217" s="100"/>
      <c r="Z217" s="100"/>
    </row>
    <row r="218" spans="1:26" x14ac:dyDescent="0.25">
      <c r="A218" s="96">
        <v>215</v>
      </c>
      <c r="B218" s="15">
        <v>220795</v>
      </c>
      <c r="C218" s="15">
        <v>2022</v>
      </c>
      <c r="D218" s="15">
        <f t="shared" si="3"/>
        <v>12</v>
      </c>
      <c r="E218" s="16">
        <v>44882</v>
      </c>
      <c r="F218" s="24">
        <v>44916</v>
      </c>
      <c r="G218" s="14" t="s">
        <v>822</v>
      </c>
      <c r="H218" s="98" t="s">
        <v>823</v>
      </c>
      <c r="I218" s="20" t="s">
        <v>24</v>
      </c>
      <c r="J218" s="99">
        <v>27</v>
      </c>
      <c r="K218" s="17" t="s">
        <v>1115</v>
      </c>
      <c r="L218" s="17" t="s">
        <v>1118</v>
      </c>
      <c r="M218" s="14" t="s">
        <v>797</v>
      </c>
      <c r="N218" s="14" t="s">
        <v>36</v>
      </c>
      <c r="O218" s="17" t="s">
        <v>65</v>
      </c>
      <c r="P218" s="17" t="s">
        <v>104</v>
      </c>
      <c r="Q218" s="17" t="s">
        <v>29</v>
      </c>
      <c r="R218" s="17" t="s">
        <v>109</v>
      </c>
      <c r="S218" s="19">
        <v>1000</v>
      </c>
      <c r="T218" s="20" t="s">
        <v>58</v>
      </c>
      <c r="U218" s="21" t="s">
        <v>824</v>
      </c>
      <c r="V218" s="100"/>
      <c r="W218" s="100"/>
      <c r="X218" s="100"/>
      <c r="Y218" s="100"/>
      <c r="Z218" s="100"/>
    </row>
    <row r="219" spans="1:26" x14ac:dyDescent="0.25">
      <c r="A219" s="96">
        <v>216</v>
      </c>
      <c r="B219" s="15">
        <v>220810</v>
      </c>
      <c r="C219" s="15">
        <v>2022</v>
      </c>
      <c r="D219" s="15">
        <f t="shared" si="3"/>
        <v>12</v>
      </c>
      <c r="E219" s="16">
        <v>44815</v>
      </c>
      <c r="F219" s="24">
        <v>44917</v>
      </c>
      <c r="G219" s="14" t="s">
        <v>825</v>
      </c>
      <c r="H219" s="98" t="s">
        <v>826</v>
      </c>
      <c r="I219" s="20" t="s">
        <v>24</v>
      </c>
      <c r="J219" s="99">
        <v>49</v>
      </c>
      <c r="K219" s="17" t="s">
        <v>1115</v>
      </c>
      <c r="L219" s="17" t="s">
        <v>1118</v>
      </c>
      <c r="M219" s="14" t="s">
        <v>25</v>
      </c>
      <c r="N219" s="14" t="s">
        <v>26</v>
      </c>
      <c r="O219" s="17" t="s">
        <v>25</v>
      </c>
      <c r="P219" s="17" t="s">
        <v>56</v>
      </c>
      <c r="Q219" s="17" t="s">
        <v>29</v>
      </c>
      <c r="R219" s="17" t="s">
        <v>827</v>
      </c>
      <c r="S219" s="19">
        <v>12500</v>
      </c>
      <c r="T219" s="20" t="s">
        <v>46</v>
      </c>
      <c r="U219" s="21" t="s">
        <v>828</v>
      </c>
      <c r="V219" s="100"/>
      <c r="W219" s="100"/>
      <c r="X219" s="100"/>
      <c r="Y219" s="100"/>
      <c r="Z219" s="100"/>
    </row>
    <row r="220" spans="1:26" x14ac:dyDescent="0.25">
      <c r="A220" s="96">
        <v>217</v>
      </c>
      <c r="B220" s="15">
        <v>220830</v>
      </c>
      <c r="C220" s="15">
        <v>2022</v>
      </c>
      <c r="D220" s="15">
        <f t="shared" si="3"/>
        <v>12</v>
      </c>
      <c r="E220" s="16">
        <v>44885</v>
      </c>
      <c r="F220" s="24">
        <v>44922</v>
      </c>
      <c r="G220" s="14" t="s">
        <v>829</v>
      </c>
      <c r="H220" s="98" t="s">
        <v>830</v>
      </c>
      <c r="I220" s="20" t="s">
        <v>24</v>
      </c>
      <c r="J220" s="99">
        <v>40</v>
      </c>
      <c r="K220" s="17" t="s">
        <v>1114</v>
      </c>
      <c r="L220" s="17" t="s">
        <v>31</v>
      </c>
      <c r="M220" s="14" t="s">
        <v>25</v>
      </c>
      <c r="N220" s="14" t="s">
        <v>26</v>
      </c>
      <c r="O220" s="17" t="s">
        <v>831</v>
      </c>
      <c r="P220" s="17" t="s">
        <v>28</v>
      </c>
      <c r="Q220" s="17" t="s">
        <v>29</v>
      </c>
      <c r="R220" s="18" t="s">
        <v>30</v>
      </c>
      <c r="S220" s="19">
        <v>18400</v>
      </c>
      <c r="T220" s="20" t="s">
        <v>31</v>
      </c>
      <c r="U220" s="21" t="s">
        <v>31</v>
      </c>
      <c r="V220" s="100"/>
      <c r="W220" s="100"/>
      <c r="X220" s="100"/>
      <c r="Y220" s="100"/>
      <c r="Z220" s="100"/>
    </row>
    <row r="221" spans="1:26" x14ac:dyDescent="0.25">
      <c r="A221" s="96">
        <v>218</v>
      </c>
      <c r="B221" s="15">
        <v>220832</v>
      </c>
      <c r="C221" s="15">
        <v>2022</v>
      </c>
      <c r="D221" s="15">
        <f t="shared" si="3"/>
        <v>12</v>
      </c>
      <c r="E221" s="16">
        <v>44896</v>
      </c>
      <c r="F221" s="24">
        <v>44924</v>
      </c>
      <c r="G221" s="14" t="s">
        <v>832</v>
      </c>
      <c r="H221" s="98" t="s">
        <v>833</v>
      </c>
      <c r="I221" s="20" t="s">
        <v>63</v>
      </c>
      <c r="J221" s="99">
        <v>5</v>
      </c>
      <c r="K221" s="17" t="s">
        <v>1115</v>
      </c>
      <c r="L221" s="17" t="s">
        <v>1118</v>
      </c>
      <c r="M221" s="14" t="s">
        <v>35</v>
      </c>
      <c r="N221" s="14" t="s">
        <v>36</v>
      </c>
      <c r="O221" s="17" t="s">
        <v>834</v>
      </c>
      <c r="P221" s="17" t="s">
        <v>176</v>
      </c>
      <c r="Q221" s="17" t="s">
        <v>29</v>
      </c>
      <c r="R221" s="17" t="s">
        <v>799</v>
      </c>
      <c r="S221" s="19">
        <v>4700</v>
      </c>
      <c r="T221" s="20" t="s">
        <v>58</v>
      </c>
      <c r="U221" s="21" t="s">
        <v>835</v>
      </c>
      <c r="V221" s="100"/>
      <c r="W221" s="100"/>
      <c r="X221" s="100"/>
      <c r="Y221" s="100"/>
      <c r="Z221" s="100"/>
    </row>
    <row r="222" spans="1:26" x14ac:dyDescent="0.25">
      <c r="A222" s="96">
        <v>219</v>
      </c>
      <c r="B222" s="15">
        <v>210010</v>
      </c>
      <c r="C222" s="15">
        <v>2022</v>
      </c>
      <c r="D222" s="15">
        <f t="shared" si="3"/>
        <v>12</v>
      </c>
      <c r="E222" s="101">
        <v>44225</v>
      </c>
      <c r="F222" s="24">
        <v>44916</v>
      </c>
      <c r="G222" s="14">
        <v>2117432021</v>
      </c>
      <c r="H222" s="98" t="s">
        <v>836</v>
      </c>
      <c r="I222" s="20" t="s">
        <v>24</v>
      </c>
      <c r="J222" s="99">
        <v>41</v>
      </c>
      <c r="K222" s="17" t="s">
        <v>1115</v>
      </c>
      <c r="L222" s="17" t="s">
        <v>1118</v>
      </c>
      <c r="M222" s="14" t="s">
        <v>65</v>
      </c>
      <c r="N222" s="14" t="s">
        <v>36</v>
      </c>
      <c r="O222" s="17" t="s">
        <v>171</v>
      </c>
      <c r="P222" s="17" t="s">
        <v>56</v>
      </c>
      <c r="Q222" s="17" t="s">
        <v>29</v>
      </c>
      <c r="R222" s="17" t="s">
        <v>38</v>
      </c>
      <c r="S222" s="102">
        <v>2500</v>
      </c>
      <c r="T222" s="20" t="s">
        <v>58</v>
      </c>
      <c r="U222" s="96" t="s">
        <v>837</v>
      </c>
      <c r="V222" s="100"/>
      <c r="W222" s="100"/>
      <c r="X222" s="100"/>
      <c r="Y222" s="100"/>
      <c r="Z222" s="100"/>
    </row>
    <row r="223" spans="1:26" x14ac:dyDescent="0.25">
      <c r="A223" s="96">
        <v>220</v>
      </c>
      <c r="B223" s="15">
        <v>210054</v>
      </c>
      <c r="C223" s="15">
        <v>2022</v>
      </c>
      <c r="D223" s="15">
        <f t="shared" si="3"/>
        <v>1</v>
      </c>
      <c r="E223" s="16">
        <v>44182</v>
      </c>
      <c r="F223" s="24">
        <v>44589</v>
      </c>
      <c r="G223" s="14">
        <v>2157862021</v>
      </c>
      <c r="H223" s="98" t="s">
        <v>838</v>
      </c>
      <c r="I223" s="20" t="s">
        <v>24</v>
      </c>
      <c r="J223" s="99">
        <v>18</v>
      </c>
      <c r="K223" s="17" t="s">
        <v>1116</v>
      </c>
      <c r="L223" s="17" t="s">
        <v>31</v>
      </c>
      <c r="M223" s="14" t="s">
        <v>36</v>
      </c>
      <c r="N223" s="14" t="s">
        <v>36</v>
      </c>
      <c r="O223" s="17" t="s">
        <v>319</v>
      </c>
      <c r="P223" s="17" t="s">
        <v>28</v>
      </c>
      <c r="Q223" s="17" t="s">
        <v>29</v>
      </c>
      <c r="R223" s="17" t="s">
        <v>30</v>
      </c>
      <c r="S223" s="102">
        <v>3900</v>
      </c>
      <c r="T223" s="20" t="s">
        <v>31</v>
      </c>
      <c r="U223" s="96" t="s">
        <v>181</v>
      </c>
      <c r="V223" s="100"/>
      <c r="W223" s="100"/>
      <c r="X223" s="100"/>
      <c r="Y223" s="100"/>
      <c r="Z223" s="100"/>
    </row>
    <row r="224" spans="1:26" x14ac:dyDescent="0.25">
      <c r="A224" s="96">
        <v>221</v>
      </c>
      <c r="B224" s="15">
        <v>210068</v>
      </c>
      <c r="C224" s="15">
        <v>2022</v>
      </c>
      <c r="D224" s="15">
        <f t="shared" si="3"/>
        <v>5</v>
      </c>
      <c r="E224" s="16">
        <v>44151</v>
      </c>
      <c r="F224" s="24">
        <v>44693</v>
      </c>
      <c r="G224" s="14" t="s">
        <v>839</v>
      </c>
      <c r="H224" s="98" t="s">
        <v>840</v>
      </c>
      <c r="I224" s="20" t="s">
        <v>63</v>
      </c>
      <c r="J224" s="99">
        <v>35</v>
      </c>
      <c r="K224" s="17" t="s">
        <v>1115</v>
      </c>
      <c r="L224" s="17" t="s">
        <v>1118</v>
      </c>
      <c r="M224" s="14" t="s">
        <v>261</v>
      </c>
      <c r="N224" s="14" t="s">
        <v>261</v>
      </c>
      <c r="O224" s="17" t="s">
        <v>118</v>
      </c>
      <c r="P224" s="17" t="s">
        <v>176</v>
      </c>
      <c r="Q224" s="17" t="s">
        <v>29</v>
      </c>
      <c r="R224" s="17" t="s">
        <v>119</v>
      </c>
      <c r="S224" s="102">
        <v>500</v>
      </c>
      <c r="T224" s="20" t="s">
        <v>186</v>
      </c>
      <c r="U224" s="96" t="s">
        <v>186</v>
      </c>
      <c r="V224" s="100"/>
      <c r="W224" s="100"/>
      <c r="X224" s="100"/>
      <c r="Y224" s="100"/>
      <c r="Z224" s="100"/>
    </row>
    <row r="225" spans="1:26" x14ac:dyDescent="0.25">
      <c r="A225" s="96">
        <v>222</v>
      </c>
      <c r="B225" s="15">
        <v>210121</v>
      </c>
      <c r="C225" s="15">
        <v>2022</v>
      </c>
      <c r="D225" s="15">
        <f t="shared" si="3"/>
        <v>1</v>
      </c>
      <c r="E225" s="16">
        <v>44321</v>
      </c>
      <c r="F225" s="24">
        <v>44589</v>
      </c>
      <c r="G225" s="14" t="s">
        <v>841</v>
      </c>
      <c r="H225" s="98" t="s">
        <v>842</v>
      </c>
      <c r="I225" s="20" t="s">
        <v>24</v>
      </c>
      <c r="J225" s="99">
        <v>45</v>
      </c>
      <c r="K225" s="17" t="s">
        <v>1115</v>
      </c>
      <c r="L225" s="17" t="s">
        <v>1118</v>
      </c>
      <c r="M225" s="14" t="s">
        <v>36</v>
      </c>
      <c r="N225" s="14" t="s">
        <v>36</v>
      </c>
      <c r="O225" s="17" t="s">
        <v>64</v>
      </c>
      <c r="P225" s="17" t="s">
        <v>161</v>
      </c>
      <c r="Q225" s="17" t="s">
        <v>29</v>
      </c>
      <c r="R225" s="17" t="s">
        <v>843</v>
      </c>
      <c r="S225" s="102">
        <v>2000</v>
      </c>
      <c r="T225" s="20" t="s">
        <v>58</v>
      </c>
      <c r="U225" s="96" t="s">
        <v>837</v>
      </c>
      <c r="V225" s="100"/>
      <c r="W225" s="100"/>
      <c r="X225" s="100"/>
      <c r="Y225" s="100"/>
      <c r="Z225" s="100"/>
    </row>
    <row r="226" spans="1:26" x14ac:dyDescent="0.25">
      <c r="A226" s="96">
        <v>223</v>
      </c>
      <c r="B226" s="15">
        <v>210154</v>
      </c>
      <c r="C226" s="15">
        <v>2022</v>
      </c>
      <c r="D226" s="15">
        <f t="shared" si="3"/>
        <v>2</v>
      </c>
      <c r="E226" s="16">
        <v>44143</v>
      </c>
      <c r="F226" s="24">
        <v>44599</v>
      </c>
      <c r="G226" s="14">
        <v>2521902021</v>
      </c>
      <c r="H226" s="98" t="s">
        <v>844</v>
      </c>
      <c r="I226" s="20" t="s">
        <v>24</v>
      </c>
      <c r="J226" s="99">
        <v>37</v>
      </c>
      <c r="K226" s="17" t="s">
        <v>1115</v>
      </c>
      <c r="L226" s="17" t="s">
        <v>1118</v>
      </c>
      <c r="M226" s="14" t="s">
        <v>261</v>
      </c>
      <c r="N226" s="14" t="s">
        <v>261</v>
      </c>
      <c r="O226" s="17" t="s">
        <v>845</v>
      </c>
      <c r="P226" s="17" t="s">
        <v>176</v>
      </c>
      <c r="Q226" s="17" t="s">
        <v>220</v>
      </c>
      <c r="R226" s="17" t="s">
        <v>119</v>
      </c>
      <c r="S226" s="102">
        <v>8000</v>
      </c>
      <c r="T226" s="20" t="s">
        <v>39</v>
      </c>
      <c r="U226" s="96" t="s">
        <v>39</v>
      </c>
      <c r="V226" s="100"/>
      <c r="W226" s="100"/>
      <c r="X226" s="100"/>
      <c r="Y226" s="100"/>
      <c r="Z226" s="100"/>
    </row>
    <row r="227" spans="1:26" x14ac:dyDescent="0.25">
      <c r="A227" s="96">
        <v>224</v>
      </c>
      <c r="B227" s="15">
        <v>210159</v>
      </c>
      <c r="C227" s="15">
        <v>2022</v>
      </c>
      <c r="D227" s="15">
        <f t="shared" si="3"/>
        <v>3</v>
      </c>
      <c r="E227" s="16">
        <v>44257</v>
      </c>
      <c r="F227" s="24">
        <v>44651</v>
      </c>
      <c r="G227" s="14" t="s">
        <v>846</v>
      </c>
      <c r="H227" s="98" t="s">
        <v>847</v>
      </c>
      <c r="I227" s="20" t="s">
        <v>24</v>
      </c>
      <c r="J227" s="99">
        <v>21</v>
      </c>
      <c r="K227" s="17" t="s">
        <v>1115</v>
      </c>
      <c r="L227" s="17" t="s">
        <v>1118</v>
      </c>
      <c r="M227" s="14" t="s">
        <v>261</v>
      </c>
      <c r="N227" s="14" t="s">
        <v>261</v>
      </c>
      <c r="O227" s="17" t="s">
        <v>118</v>
      </c>
      <c r="P227" s="17" t="s">
        <v>56</v>
      </c>
      <c r="Q227" s="17" t="s">
        <v>29</v>
      </c>
      <c r="R227" s="17" t="s">
        <v>119</v>
      </c>
      <c r="S227" s="102">
        <v>400</v>
      </c>
      <c r="T227" s="20" t="s">
        <v>39</v>
      </c>
      <c r="U227" s="96" t="s">
        <v>39</v>
      </c>
      <c r="V227" s="100"/>
      <c r="W227" s="100"/>
      <c r="X227" s="100"/>
      <c r="Y227" s="100"/>
      <c r="Z227" s="100"/>
    </row>
    <row r="228" spans="1:26" x14ac:dyDescent="0.25">
      <c r="A228" s="96">
        <v>225</v>
      </c>
      <c r="B228" s="15">
        <v>210161</v>
      </c>
      <c r="C228" s="15">
        <v>2022</v>
      </c>
      <c r="D228" s="15">
        <f t="shared" si="3"/>
        <v>2</v>
      </c>
      <c r="E228" s="16">
        <v>44009</v>
      </c>
      <c r="F228" s="24">
        <v>44599</v>
      </c>
      <c r="G228" s="14" t="s">
        <v>848</v>
      </c>
      <c r="H228" s="98" t="s">
        <v>849</v>
      </c>
      <c r="I228" s="20" t="s">
        <v>24</v>
      </c>
      <c r="J228" s="99">
        <v>17</v>
      </c>
      <c r="K228" s="17" t="s">
        <v>1115</v>
      </c>
      <c r="L228" s="17" t="s">
        <v>1118</v>
      </c>
      <c r="M228" s="14" t="s">
        <v>261</v>
      </c>
      <c r="N228" s="14" t="s">
        <v>261</v>
      </c>
      <c r="O228" s="17" t="s">
        <v>292</v>
      </c>
      <c r="P228" s="17" t="s">
        <v>161</v>
      </c>
      <c r="Q228" s="17" t="s">
        <v>29</v>
      </c>
      <c r="R228" s="17" t="s">
        <v>119</v>
      </c>
      <c r="S228" s="102">
        <v>6000</v>
      </c>
      <c r="T228" s="20" t="s">
        <v>58</v>
      </c>
      <c r="U228" s="96" t="s">
        <v>58</v>
      </c>
      <c r="V228" s="100"/>
      <c r="W228" s="100"/>
      <c r="X228" s="100"/>
      <c r="Y228" s="100"/>
      <c r="Z228" s="100"/>
    </row>
    <row r="229" spans="1:26" x14ac:dyDescent="0.25">
      <c r="A229" s="96">
        <v>226</v>
      </c>
      <c r="B229" s="15">
        <v>210165</v>
      </c>
      <c r="C229" s="15">
        <v>2022</v>
      </c>
      <c r="D229" s="15">
        <f t="shared" si="3"/>
        <v>12</v>
      </c>
      <c r="E229" s="16">
        <v>44160</v>
      </c>
      <c r="F229" s="24">
        <v>44896</v>
      </c>
      <c r="G229" s="14" t="s">
        <v>850</v>
      </c>
      <c r="H229" s="98" t="s">
        <v>851</v>
      </c>
      <c r="I229" s="20" t="s">
        <v>24</v>
      </c>
      <c r="J229" s="99">
        <v>9</v>
      </c>
      <c r="K229" s="17" t="s">
        <v>1115</v>
      </c>
      <c r="L229" s="17" t="s">
        <v>1118</v>
      </c>
      <c r="M229" s="14" t="s">
        <v>852</v>
      </c>
      <c r="N229" s="14" t="s">
        <v>123</v>
      </c>
      <c r="O229" s="17" t="s">
        <v>852</v>
      </c>
      <c r="P229" s="17" t="s">
        <v>28</v>
      </c>
      <c r="Q229" s="17" t="s">
        <v>29</v>
      </c>
      <c r="R229" s="17" t="s">
        <v>30</v>
      </c>
      <c r="S229" s="102">
        <v>4000</v>
      </c>
      <c r="T229" s="20" t="s">
        <v>31</v>
      </c>
      <c r="U229" s="96" t="s">
        <v>181</v>
      </c>
      <c r="V229" s="100"/>
      <c r="W229" s="100"/>
      <c r="X229" s="100"/>
      <c r="Y229" s="100"/>
      <c r="Z229" s="100"/>
    </row>
    <row r="230" spans="1:26" x14ac:dyDescent="0.25">
      <c r="A230" s="96">
        <v>227</v>
      </c>
      <c r="B230" s="15">
        <v>210178</v>
      </c>
      <c r="C230" s="15">
        <v>2022</v>
      </c>
      <c r="D230" s="15">
        <f t="shared" si="3"/>
        <v>1</v>
      </c>
      <c r="E230" s="16">
        <v>44363</v>
      </c>
      <c r="F230" s="24">
        <v>44589</v>
      </c>
      <c r="G230" s="14" t="s">
        <v>853</v>
      </c>
      <c r="H230" s="98" t="s">
        <v>854</v>
      </c>
      <c r="I230" s="20" t="s">
        <v>63</v>
      </c>
      <c r="J230" s="99">
        <v>4</v>
      </c>
      <c r="K230" s="17" t="s">
        <v>1115</v>
      </c>
      <c r="L230" s="17" t="s">
        <v>1118</v>
      </c>
      <c r="M230" s="14" t="s">
        <v>855</v>
      </c>
      <c r="N230" s="14" t="s">
        <v>36</v>
      </c>
      <c r="O230" s="17" t="s">
        <v>856</v>
      </c>
      <c r="P230" s="17" t="s">
        <v>176</v>
      </c>
      <c r="Q230" s="17" t="s">
        <v>29</v>
      </c>
      <c r="R230" s="17" t="s">
        <v>552</v>
      </c>
      <c r="S230" s="102">
        <v>300</v>
      </c>
      <c r="T230" s="20" t="s">
        <v>58</v>
      </c>
      <c r="U230" s="96" t="s">
        <v>857</v>
      </c>
      <c r="V230" s="100"/>
      <c r="W230" s="100"/>
      <c r="X230" s="100"/>
      <c r="Y230" s="100"/>
      <c r="Z230" s="100"/>
    </row>
    <row r="231" spans="1:26" x14ac:dyDescent="0.25">
      <c r="A231" s="96">
        <v>228</v>
      </c>
      <c r="B231" s="15">
        <v>210189</v>
      </c>
      <c r="C231" s="15">
        <v>2022</v>
      </c>
      <c r="D231" s="15">
        <f t="shared" si="3"/>
        <v>6</v>
      </c>
      <c r="E231" s="16">
        <v>44372</v>
      </c>
      <c r="F231" s="24">
        <v>44732</v>
      </c>
      <c r="G231" s="14" t="s">
        <v>858</v>
      </c>
      <c r="H231" s="98" t="s">
        <v>859</v>
      </c>
      <c r="I231" s="20" t="s">
        <v>24</v>
      </c>
      <c r="J231" s="99">
        <v>40</v>
      </c>
      <c r="K231" s="17" t="s">
        <v>1116</v>
      </c>
      <c r="L231" s="17" t="s">
        <v>31</v>
      </c>
      <c r="M231" s="14" t="s">
        <v>242</v>
      </c>
      <c r="N231" s="14" t="s">
        <v>36</v>
      </c>
      <c r="O231" s="17" t="s">
        <v>243</v>
      </c>
      <c r="P231" s="17" t="s">
        <v>28</v>
      </c>
      <c r="Q231" s="17" t="s">
        <v>29</v>
      </c>
      <c r="R231" s="17" t="s">
        <v>30</v>
      </c>
      <c r="S231" s="102">
        <v>3600</v>
      </c>
      <c r="T231" s="20" t="s">
        <v>31</v>
      </c>
      <c r="U231" s="96" t="s">
        <v>31</v>
      </c>
      <c r="V231" s="100"/>
      <c r="W231" s="100"/>
      <c r="X231" s="100"/>
      <c r="Y231" s="100"/>
      <c r="Z231" s="100"/>
    </row>
    <row r="232" spans="1:26" x14ac:dyDescent="0.25">
      <c r="A232" s="96">
        <v>229</v>
      </c>
      <c r="B232" s="15">
        <v>210210</v>
      </c>
      <c r="C232" s="15">
        <v>2022</v>
      </c>
      <c r="D232" s="15">
        <f t="shared" si="3"/>
        <v>2</v>
      </c>
      <c r="E232" s="16">
        <v>44368</v>
      </c>
      <c r="F232" s="24">
        <v>44601</v>
      </c>
      <c r="G232" s="14" t="s">
        <v>860</v>
      </c>
      <c r="H232" s="98" t="s">
        <v>861</v>
      </c>
      <c r="I232" s="20" t="s">
        <v>24</v>
      </c>
      <c r="J232" s="99">
        <v>7</v>
      </c>
      <c r="K232" s="17" t="s">
        <v>1115</v>
      </c>
      <c r="L232" s="17" t="s">
        <v>1118</v>
      </c>
      <c r="M232" s="14" t="s">
        <v>261</v>
      </c>
      <c r="N232" s="14" t="s">
        <v>261</v>
      </c>
      <c r="O232" s="17" t="s">
        <v>862</v>
      </c>
      <c r="P232" s="17" t="s">
        <v>28</v>
      </c>
      <c r="Q232" s="17" t="s">
        <v>29</v>
      </c>
      <c r="R232" s="17" t="s">
        <v>119</v>
      </c>
      <c r="S232" s="102">
        <v>200</v>
      </c>
      <c r="T232" s="20" t="s">
        <v>58</v>
      </c>
      <c r="U232" s="96" t="s">
        <v>863</v>
      </c>
      <c r="V232" s="100"/>
      <c r="W232" s="100"/>
      <c r="X232" s="100"/>
      <c r="Y232" s="100"/>
      <c r="Z232" s="100"/>
    </row>
    <row r="233" spans="1:26" x14ac:dyDescent="0.25">
      <c r="A233" s="96">
        <v>230</v>
      </c>
      <c r="B233" s="15">
        <v>210258</v>
      </c>
      <c r="C233" s="15">
        <v>2022</v>
      </c>
      <c r="D233" s="15">
        <f t="shared" si="3"/>
        <v>2</v>
      </c>
      <c r="E233" s="16">
        <v>44426</v>
      </c>
      <c r="F233" s="24">
        <v>44603</v>
      </c>
      <c r="G233" s="14" t="s">
        <v>864</v>
      </c>
      <c r="H233" s="98" t="s">
        <v>865</v>
      </c>
      <c r="I233" s="20" t="s">
        <v>24</v>
      </c>
      <c r="J233" s="99">
        <v>20</v>
      </c>
      <c r="K233" s="17" t="s">
        <v>1115</v>
      </c>
      <c r="L233" s="17" t="s">
        <v>1118</v>
      </c>
      <c r="M233" s="14" t="s">
        <v>35</v>
      </c>
      <c r="N233" s="14" t="s">
        <v>36</v>
      </c>
      <c r="O233" s="17" t="s">
        <v>866</v>
      </c>
      <c r="P233" s="17" t="s">
        <v>104</v>
      </c>
      <c r="Q233" s="17" t="s">
        <v>220</v>
      </c>
      <c r="R233" s="17" t="s">
        <v>867</v>
      </c>
      <c r="S233" s="102">
        <v>4000</v>
      </c>
      <c r="T233" s="20" t="s">
        <v>58</v>
      </c>
      <c r="U233" s="96" t="s">
        <v>226</v>
      </c>
      <c r="V233" s="100"/>
      <c r="W233" s="100"/>
      <c r="X233" s="100"/>
      <c r="Y233" s="100"/>
      <c r="Z233" s="100"/>
    </row>
    <row r="234" spans="1:26" x14ac:dyDescent="0.25">
      <c r="A234" s="96">
        <v>231</v>
      </c>
      <c r="B234" s="15">
        <v>210269</v>
      </c>
      <c r="C234" s="15">
        <v>2022</v>
      </c>
      <c r="D234" s="15">
        <f t="shared" si="3"/>
        <v>4</v>
      </c>
      <c r="E234" s="16">
        <v>44428</v>
      </c>
      <c r="F234" s="24">
        <v>44672</v>
      </c>
      <c r="G234" s="14" t="s">
        <v>868</v>
      </c>
      <c r="H234" s="98" t="s">
        <v>869</v>
      </c>
      <c r="I234" s="20" t="s">
        <v>24</v>
      </c>
      <c r="J234" s="99">
        <v>19</v>
      </c>
      <c r="K234" s="17" t="s">
        <v>1115</v>
      </c>
      <c r="L234" s="17" t="s">
        <v>1118</v>
      </c>
      <c r="M234" s="14" t="s">
        <v>870</v>
      </c>
      <c r="N234" s="14" t="s">
        <v>36</v>
      </c>
      <c r="O234" s="17" t="s">
        <v>870</v>
      </c>
      <c r="P234" s="17" t="s">
        <v>176</v>
      </c>
      <c r="Q234" s="17" t="s">
        <v>29</v>
      </c>
      <c r="R234" s="17" t="s">
        <v>871</v>
      </c>
      <c r="S234" s="102">
        <v>4000</v>
      </c>
      <c r="T234" s="20" t="s">
        <v>39</v>
      </c>
      <c r="U234" s="96" t="s">
        <v>39</v>
      </c>
      <c r="V234" s="100"/>
      <c r="W234" s="100"/>
      <c r="X234" s="100"/>
      <c r="Y234" s="100"/>
      <c r="Z234" s="100"/>
    </row>
    <row r="235" spans="1:26" x14ac:dyDescent="0.25">
      <c r="A235" s="96">
        <v>232</v>
      </c>
      <c r="B235" s="15">
        <v>210285</v>
      </c>
      <c r="C235" s="15">
        <v>2022</v>
      </c>
      <c r="D235" s="15">
        <f t="shared" si="3"/>
        <v>6</v>
      </c>
      <c r="E235" s="16">
        <v>44311</v>
      </c>
      <c r="F235" s="24">
        <v>44719</v>
      </c>
      <c r="G235" s="14" t="s">
        <v>872</v>
      </c>
      <c r="H235" s="98" t="s">
        <v>873</v>
      </c>
      <c r="I235" s="20" t="s">
        <v>24</v>
      </c>
      <c r="J235" s="99">
        <v>45</v>
      </c>
      <c r="K235" s="17" t="s">
        <v>1116</v>
      </c>
      <c r="L235" s="17" t="s">
        <v>31</v>
      </c>
      <c r="M235" s="14" t="s">
        <v>638</v>
      </c>
      <c r="N235" s="14" t="s">
        <v>167</v>
      </c>
      <c r="O235" s="20" t="s">
        <v>638</v>
      </c>
      <c r="P235" s="17" t="s">
        <v>28</v>
      </c>
      <c r="Q235" s="17" t="s">
        <v>29</v>
      </c>
      <c r="R235" s="17" t="s">
        <v>30</v>
      </c>
      <c r="S235" s="26">
        <v>4400</v>
      </c>
      <c r="T235" s="20" t="s">
        <v>31</v>
      </c>
      <c r="U235" s="96" t="s">
        <v>31</v>
      </c>
      <c r="V235" s="100"/>
      <c r="W235" s="100"/>
      <c r="X235" s="100"/>
      <c r="Y235" s="100"/>
      <c r="Z235" s="100"/>
    </row>
    <row r="236" spans="1:26" x14ac:dyDescent="0.25">
      <c r="A236" s="96">
        <v>233</v>
      </c>
      <c r="B236" s="15">
        <v>210288</v>
      </c>
      <c r="C236" s="15">
        <v>2022</v>
      </c>
      <c r="D236" s="15">
        <f t="shared" si="3"/>
        <v>1</v>
      </c>
      <c r="E236" s="16">
        <v>44367</v>
      </c>
      <c r="F236" s="24">
        <v>44589</v>
      </c>
      <c r="G236" s="14" t="s">
        <v>874</v>
      </c>
      <c r="H236" s="98" t="s">
        <v>875</v>
      </c>
      <c r="I236" s="20" t="s">
        <v>24</v>
      </c>
      <c r="J236" s="99">
        <v>48</v>
      </c>
      <c r="K236" s="17" t="s">
        <v>1116</v>
      </c>
      <c r="L236" s="17" t="s">
        <v>31</v>
      </c>
      <c r="M236" s="14" t="s">
        <v>26</v>
      </c>
      <c r="N236" s="14" t="s">
        <v>26</v>
      </c>
      <c r="O236" s="104" t="s">
        <v>876</v>
      </c>
      <c r="P236" s="17" t="s">
        <v>28</v>
      </c>
      <c r="Q236" s="17" t="s">
        <v>29</v>
      </c>
      <c r="R236" s="17" t="s">
        <v>30</v>
      </c>
      <c r="S236" s="103">
        <v>4350</v>
      </c>
      <c r="T236" s="104" t="s">
        <v>31</v>
      </c>
      <c r="U236" s="96" t="s">
        <v>31</v>
      </c>
      <c r="V236" s="100"/>
      <c r="W236" s="100"/>
      <c r="X236" s="100"/>
      <c r="Y236" s="100"/>
      <c r="Z236" s="100"/>
    </row>
    <row r="237" spans="1:26" x14ac:dyDescent="0.25">
      <c r="A237" s="96">
        <v>234</v>
      </c>
      <c r="B237" s="15">
        <v>210290</v>
      </c>
      <c r="C237" s="15">
        <v>2022</v>
      </c>
      <c r="D237" s="15">
        <f t="shared" si="3"/>
        <v>1</v>
      </c>
      <c r="E237" s="16">
        <v>44396</v>
      </c>
      <c r="F237" s="24">
        <v>44589</v>
      </c>
      <c r="G237" s="14" t="s">
        <v>877</v>
      </c>
      <c r="H237" s="98" t="s">
        <v>878</v>
      </c>
      <c r="I237" s="20" t="s">
        <v>24</v>
      </c>
      <c r="J237" s="99">
        <v>42</v>
      </c>
      <c r="K237" s="17" t="s">
        <v>1115</v>
      </c>
      <c r="L237" s="17" t="s">
        <v>1118</v>
      </c>
      <c r="M237" s="14" t="s">
        <v>36</v>
      </c>
      <c r="N237" s="14" t="s">
        <v>36</v>
      </c>
      <c r="O237" s="104" t="s">
        <v>297</v>
      </c>
      <c r="P237" s="17" t="s">
        <v>176</v>
      </c>
      <c r="Q237" s="17" t="s">
        <v>29</v>
      </c>
      <c r="R237" s="17" t="s">
        <v>879</v>
      </c>
      <c r="S237" s="103">
        <v>2000</v>
      </c>
      <c r="T237" s="104" t="s">
        <v>58</v>
      </c>
      <c r="U237" s="96" t="s">
        <v>880</v>
      </c>
      <c r="V237" s="100"/>
      <c r="W237" s="100"/>
      <c r="X237" s="100"/>
      <c r="Y237" s="100"/>
      <c r="Z237" s="100"/>
    </row>
    <row r="238" spans="1:26" x14ac:dyDescent="0.25">
      <c r="A238" s="96">
        <v>235</v>
      </c>
      <c r="B238" s="15">
        <v>210293</v>
      </c>
      <c r="C238" s="15">
        <v>2022</v>
      </c>
      <c r="D238" s="15">
        <f t="shared" si="3"/>
        <v>1</v>
      </c>
      <c r="E238" s="16">
        <v>44407</v>
      </c>
      <c r="F238" s="24">
        <v>44587</v>
      </c>
      <c r="G238" s="14" t="s">
        <v>881</v>
      </c>
      <c r="H238" s="98" t="s">
        <v>882</v>
      </c>
      <c r="I238" s="20" t="s">
        <v>24</v>
      </c>
      <c r="J238" s="99">
        <v>21</v>
      </c>
      <c r="K238" s="17" t="s">
        <v>1115</v>
      </c>
      <c r="L238" s="17" t="s">
        <v>1118</v>
      </c>
      <c r="M238" s="14" t="s">
        <v>36</v>
      </c>
      <c r="N238" s="14" t="s">
        <v>223</v>
      </c>
      <c r="O238" s="104" t="s">
        <v>883</v>
      </c>
      <c r="P238" s="17" t="s">
        <v>28</v>
      </c>
      <c r="Q238" s="17" t="s">
        <v>29</v>
      </c>
      <c r="R238" s="17" t="s">
        <v>225</v>
      </c>
      <c r="S238" s="103">
        <v>4000</v>
      </c>
      <c r="T238" s="104" t="s">
        <v>58</v>
      </c>
      <c r="U238" s="96" t="s">
        <v>884</v>
      </c>
      <c r="V238" s="100"/>
      <c r="W238" s="100"/>
      <c r="X238" s="100"/>
      <c r="Y238" s="100"/>
      <c r="Z238" s="100"/>
    </row>
    <row r="239" spans="1:26" x14ac:dyDescent="0.25">
      <c r="A239" s="96">
        <v>236</v>
      </c>
      <c r="B239" s="15">
        <v>210295</v>
      </c>
      <c r="C239" s="15">
        <v>2022</v>
      </c>
      <c r="D239" s="15">
        <f t="shared" si="3"/>
        <v>1</v>
      </c>
      <c r="E239" s="16">
        <v>44368</v>
      </c>
      <c r="F239" s="24">
        <v>44586</v>
      </c>
      <c r="G239" s="14">
        <v>2607212021</v>
      </c>
      <c r="H239" s="98" t="s">
        <v>885</v>
      </c>
      <c r="I239" s="20" t="s">
        <v>24</v>
      </c>
      <c r="J239" s="99">
        <v>88</v>
      </c>
      <c r="K239" s="17" t="s">
        <v>1116</v>
      </c>
      <c r="L239" s="17" t="s">
        <v>31</v>
      </c>
      <c r="M239" s="14" t="s">
        <v>153</v>
      </c>
      <c r="N239" s="14" t="s">
        <v>153</v>
      </c>
      <c r="O239" s="104" t="s">
        <v>886</v>
      </c>
      <c r="P239" s="17" t="s">
        <v>28</v>
      </c>
      <c r="Q239" s="17" t="s">
        <v>29</v>
      </c>
      <c r="R239" s="17" t="s">
        <v>30</v>
      </c>
      <c r="S239" s="103">
        <v>4000</v>
      </c>
      <c r="T239" s="104" t="s">
        <v>31</v>
      </c>
      <c r="U239" s="96" t="s">
        <v>31</v>
      </c>
      <c r="V239" s="100"/>
      <c r="W239" s="100"/>
      <c r="X239" s="100"/>
      <c r="Y239" s="100"/>
      <c r="Z239" s="100"/>
    </row>
    <row r="240" spans="1:26" x14ac:dyDescent="0.25">
      <c r="A240" s="96">
        <v>237</v>
      </c>
      <c r="B240" s="15">
        <v>210301</v>
      </c>
      <c r="C240" s="15">
        <v>2022</v>
      </c>
      <c r="D240" s="15">
        <f t="shared" si="3"/>
        <v>1</v>
      </c>
      <c r="E240" s="16">
        <v>44427</v>
      </c>
      <c r="F240" s="24">
        <v>44589</v>
      </c>
      <c r="G240" s="14" t="s">
        <v>887</v>
      </c>
      <c r="H240" s="98" t="s">
        <v>888</v>
      </c>
      <c r="I240" s="20" t="s">
        <v>24</v>
      </c>
      <c r="J240" s="99">
        <v>17</v>
      </c>
      <c r="K240" s="17" t="s">
        <v>1115</v>
      </c>
      <c r="L240" s="17" t="s">
        <v>1118</v>
      </c>
      <c r="M240" s="14" t="s">
        <v>36</v>
      </c>
      <c r="N240" s="14" t="s">
        <v>36</v>
      </c>
      <c r="O240" s="104" t="s">
        <v>239</v>
      </c>
      <c r="P240" s="17" t="s">
        <v>176</v>
      </c>
      <c r="Q240" s="17" t="s">
        <v>29</v>
      </c>
      <c r="R240" s="17" t="s">
        <v>552</v>
      </c>
      <c r="S240" s="103">
        <v>8000</v>
      </c>
      <c r="T240" s="104" t="s">
        <v>186</v>
      </c>
      <c r="U240" s="96" t="s">
        <v>186</v>
      </c>
      <c r="V240" s="100"/>
      <c r="W240" s="100"/>
      <c r="X240" s="100"/>
      <c r="Y240" s="100"/>
      <c r="Z240" s="100"/>
    </row>
    <row r="241" spans="1:26" x14ac:dyDescent="0.25">
      <c r="A241" s="96">
        <v>238</v>
      </c>
      <c r="B241" s="15">
        <v>210310</v>
      </c>
      <c r="C241" s="15">
        <v>2022</v>
      </c>
      <c r="D241" s="15">
        <f t="shared" si="3"/>
        <v>9</v>
      </c>
      <c r="E241" s="16">
        <v>44246</v>
      </c>
      <c r="F241" s="24">
        <v>44824</v>
      </c>
      <c r="G241" s="14" t="s">
        <v>889</v>
      </c>
      <c r="H241" s="98" t="s">
        <v>890</v>
      </c>
      <c r="I241" s="20" t="s">
        <v>63</v>
      </c>
      <c r="J241" s="99">
        <v>27</v>
      </c>
      <c r="K241" s="17" t="s">
        <v>1116</v>
      </c>
      <c r="L241" s="17" t="s">
        <v>31</v>
      </c>
      <c r="M241" s="14" t="s">
        <v>638</v>
      </c>
      <c r="N241" s="14" t="s">
        <v>167</v>
      </c>
      <c r="O241" s="17" t="s">
        <v>891</v>
      </c>
      <c r="P241" s="17" t="s">
        <v>176</v>
      </c>
      <c r="Q241" s="17" t="s">
        <v>29</v>
      </c>
      <c r="R241" s="17" t="s">
        <v>30</v>
      </c>
      <c r="S241" s="102">
        <v>4400</v>
      </c>
      <c r="T241" s="20" t="s">
        <v>31</v>
      </c>
      <c r="U241" s="96" t="s">
        <v>31</v>
      </c>
      <c r="V241" s="100"/>
      <c r="W241" s="100"/>
      <c r="X241" s="100"/>
      <c r="Y241" s="100"/>
      <c r="Z241" s="100"/>
    </row>
    <row r="242" spans="1:26" x14ac:dyDescent="0.25">
      <c r="A242" s="96">
        <v>239</v>
      </c>
      <c r="B242" s="15">
        <v>210315</v>
      </c>
      <c r="C242" s="15">
        <v>2022</v>
      </c>
      <c r="D242" s="15">
        <f t="shared" si="3"/>
        <v>2</v>
      </c>
      <c r="E242" s="16">
        <v>44397</v>
      </c>
      <c r="F242" s="24">
        <v>44607</v>
      </c>
      <c r="G242" s="14" t="s">
        <v>892</v>
      </c>
      <c r="H242" s="98" t="s">
        <v>893</v>
      </c>
      <c r="I242" s="20" t="s">
        <v>24</v>
      </c>
      <c r="J242" s="99">
        <v>80</v>
      </c>
      <c r="K242" s="17" t="s">
        <v>1115</v>
      </c>
      <c r="L242" s="17" t="s">
        <v>1118</v>
      </c>
      <c r="M242" s="14" t="s">
        <v>239</v>
      </c>
      <c r="N242" s="14" t="s">
        <v>36</v>
      </c>
      <c r="O242" s="17" t="s">
        <v>239</v>
      </c>
      <c r="P242" s="17" t="s">
        <v>56</v>
      </c>
      <c r="Q242" s="17" t="s">
        <v>29</v>
      </c>
      <c r="R242" s="17" t="s">
        <v>38</v>
      </c>
      <c r="S242" s="102">
        <v>2000</v>
      </c>
      <c r="T242" s="20" t="s">
        <v>39</v>
      </c>
      <c r="U242" s="96" t="s">
        <v>39</v>
      </c>
      <c r="V242" s="100"/>
      <c r="W242" s="100"/>
      <c r="X242" s="100"/>
      <c r="Y242" s="100"/>
      <c r="Z242" s="100"/>
    </row>
    <row r="243" spans="1:26" x14ac:dyDescent="0.25">
      <c r="A243" s="96">
        <v>240</v>
      </c>
      <c r="B243" s="15">
        <v>210317</v>
      </c>
      <c r="C243" s="15">
        <v>2022</v>
      </c>
      <c r="D243" s="15">
        <f t="shared" si="3"/>
        <v>5</v>
      </c>
      <c r="E243" s="16">
        <v>44109</v>
      </c>
      <c r="F243" s="24">
        <v>44707</v>
      </c>
      <c r="G243" s="14" t="s">
        <v>894</v>
      </c>
      <c r="H243" s="98" t="s">
        <v>895</v>
      </c>
      <c r="I243" s="20" t="s">
        <v>24</v>
      </c>
      <c r="J243" s="99">
        <v>54</v>
      </c>
      <c r="K243" s="17" t="s">
        <v>1115</v>
      </c>
      <c r="L243" s="17" t="s">
        <v>1118</v>
      </c>
      <c r="M243" s="14" t="s">
        <v>148</v>
      </c>
      <c r="N243" s="14" t="s">
        <v>148</v>
      </c>
      <c r="O243" s="17" t="s">
        <v>148</v>
      </c>
      <c r="P243" s="17" t="s">
        <v>104</v>
      </c>
      <c r="Q243" s="17" t="s">
        <v>29</v>
      </c>
      <c r="R243" s="17" t="s">
        <v>588</v>
      </c>
      <c r="S243" s="102">
        <v>500</v>
      </c>
      <c r="T243" s="20" t="s">
        <v>97</v>
      </c>
      <c r="U243" s="96" t="s">
        <v>896</v>
      </c>
      <c r="V243" s="100"/>
      <c r="W243" s="100"/>
      <c r="X243" s="100"/>
      <c r="Y243" s="100"/>
      <c r="Z243" s="100"/>
    </row>
    <row r="244" spans="1:26" x14ac:dyDescent="0.25">
      <c r="A244" s="96">
        <v>241</v>
      </c>
      <c r="B244" s="15">
        <v>210330</v>
      </c>
      <c r="C244" s="15">
        <v>2022</v>
      </c>
      <c r="D244" s="15">
        <f t="shared" si="3"/>
        <v>2</v>
      </c>
      <c r="E244" s="16">
        <v>44452</v>
      </c>
      <c r="F244" s="24">
        <v>44603</v>
      </c>
      <c r="G244" s="14" t="s">
        <v>897</v>
      </c>
      <c r="H244" s="98" t="s">
        <v>898</v>
      </c>
      <c r="I244" s="20" t="s">
        <v>24</v>
      </c>
      <c r="J244" s="99">
        <v>36</v>
      </c>
      <c r="K244" s="17" t="s">
        <v>1115</v>
      </c>
      <c r="L244" s="17" t="s">
        <v>1118</v>
      </c>
      <c r="M244" s="14" t="s">
        <v>174</v>
      </c>
      <c r="N244" s="14" t="s">
        <v>36</v>
      </c>
      <c r="O244" s="17" t="s">
        <v>694</v>
      </c>
      <c r="P244" s="17" t="s">
        <v>28</v>
      </c>
      <c r="Q244" s="17" t="s">
        <v>29</v>
      </c>
      <c r="R244" s="17" t="s">
        <v>867</v>
      </c>
      <c r="S244" s="102">
        <v>22000</v>
      </c>
      <c r="T244" s="20" t="s">
        <v>46</v>
      </c>
      <c r="U244" s="96" t="s">
        <v>899</v>
      </c>
      <c r="V244" s="100"/>
      <c r="W244" s="100"/>
      <c r="X244" s="100"/>
      <c r="Y244" s="100"/>
      <c r="Z244" s="100"/>
    </row>
    <row r="245" spans="1:26" x14ac:dyDescent="0.25">
      <c r="A245" s="96">
        <v>242</v>
      </c>
      <c r="B245" s="15">
        <v>210340</v>
      </c>
      <c r="C245" s="15">
        <v>2022</v>
      </c>
      <c r="D245" s="15">
        <f t="shared" si="3"/>
        <v>4</v>
      </c>
      <c r="E245" s="16">
        <v>44447</v>
      </c>
      <c r="F245" s="24">
        <v>44657</v>
      </c>
      <c r="G245" s="14" t="s">
        <v>900</v>
      </c>
      <c r="H245" s="98" t="s">
        <v>901</v>
      </c>
      <c r="I245" s="20" t="s">
        <v>24</v>
      </c>
      <c r="J245" s="99">
        <v>69</v>
      </c>
      <c r="K245" s="17" t="s">
        <v>1115</v>
      </c>
      <c r="L245" s="17" t="s">
        <v>1118</v>
      </c>
      <c r="M245" s="14" t="s">
        <v>593</v>
      </c>
      <c r="N245" s="14" t="s">
        <v>593</v>
      </c>
      <c r="O245" s="17" t="s">
        <v>902</v>
      </c>
      <c r="P245" s="17" t="s">
        <v>28</v>
      </c>
      <c r="Q245" s="17" t="s">
        <v>29</v>
      </c>
      <c r="R245" s="17" t="s">
        <v>903</v>
      </c>
      <c r="S245" s="102">
        <v>22000</v>
      </c>
      <c r="T245" s="20" t="s">
        <v>58</v>
      </c>
      <c r="U245" s="96" t="s">
        <v>715</v>
      </c>
      <c r="V245" s="100"/>
      <c r="W245" s="100"/>
      <c r="X245" s="100"/>
      <c r="Y245" s="100"/>
      <c r="Z245" s="100"/>
    </row>
    <row r="246" spans="1:26" x14ac:dyDescent="0.25">
      <c r="A246" s="96">
        <v>243</v>
      </c>
      <c r="B246" s="15">
        <v>210351</v>
      </c>
      <c r="C246" s="15">
        <v>2022</v>
      </c>
      <c r="D246" s="15">
        <f t="shared" si="3"/>
        <v>3</v>
      </c>
      <c r="E246" s="16">
        <v>44461</v>
      </c>
      <c r="F246" s="24">
        <v>44623</v>
      </c>
      <c r="G246" s="14" t="s">
        <v>904</v>
      </c>
      <c r="H246" s="98" t="s">
        <v>905</v>
      </c>
      <c r="I246" s="20" t="s">
        <v>24</v>
      </c>
      <c r="J246" s="99">
        <v>57</v>
      </c>
      <c r="K246" s="17" t="s">
        <v>1116</v>
      </c>
      <c r="L246" s="17" t="s">
        <v>31</v>
      </c>
      <c r="M246" s="14" t="s">
        <v>906</v>
      </c>
      <c r="N246" s="14" t="s">
        <v>26</v>
      </c>
      <c r="O246" s="17" t="s">
        <v>906</v>
      </c>
      <c r="P246" s="17" t="s">
        <v>28</v>
      </c>
      <c r="Q246" s="17" t="s">
        <v>29</v>
      </c>
      <c r="R246" s="17" t="s">
        <v>30</v>
      </c>
      <c r="S246" s="102">
        <v>4400</v>
      </c>
      <c r="T246" s="20" t="s">
        <v>31</v>
      </c>
      <c r="U246" s="96" t="s">
        <v>31</v>
      </c>
      <c r="V246" s="100"/>
      <c r="W246" s="100"/>
      <c r="X246" s="100"/>
      <c r="Y246" s="100"/>
      <c r="Z246" s="100"/>
    </row>
    <row r="247" spans="1:26" x14ac:dyDescent="0.25">
      <c r="A247" s="96">
        <v>244</v>
      </c>
      <c r="B247" s="15">
        <v>210354</v>
      </c>
      <c r="C247" s="15">
        <v>2022</v>
      </c>
      <c r="D247" s="15">
        <f t="shared" si="3"/>
        <v>4</v>
      </c>
      <c r="E247" s="16">
        <v>44461</v>
      </c>
      <c r="F247" s="24">
        <v>44678</v>
      </c>
      <c r="G247" s="14" t="s">
        <v>907</v>
      </c>
      <c r="H247" s="98" t="s">
        <v>908</v>
      </c>
      <c r="I247" s="20" t="s">
        <v>24</v>
      </c>
      <c r="J247" s="99">
        <v>31</v>
      </c>
      <c r="K247" s="17" t="s">
        <v>1115</v>
      </c>
      <c r="L247" s="17" t="s">
        <v>1118</v>
      </c>
      <c r="M247" s="14" t="s">
        <v>148</v>
      </c>
      <c r="N247" s="14" t="s">
        <v>148</v>
      </c>
      <c r="O247" s="17" t="s">
        <v>148</v>
      </c>
      <c r="P247" s="17" t="s">
        <v>104</v>
      </c>
      <c r="Q247" s="17" t="s">
        <v>29</v>
      </c>
      <c r="R247" s="17" t="s">
        <v>588</v>
      </c>
      <c r="S247" s="102">
        <v>200</v>
      </c>
      <c r="T247" s="20" t="s">
        <v>97</v>
      </c>
      <c r="U247" s="96" t="s">
        <v>909</v>
      </c>
      <c r="V247" s="100"/>
      <c r="W247" s="100"/>
      <c r="X247" s="100"/>
      <c r="Y247" s="100"/>
      <c r="Z247" s="100"/>
    </row>
    <row r="248" spans="1:26" x14ac:dyDescent="0.25">
      <c r="A248" s="96">
        <v>245</v>
      </c>
      <c r="B248" s="15">
        <v>210364</v>
      </c>
      <c r="C248" s="15">
        <v>2022</v>
      </c>
      <c r="D248" s="15">
        <f t="shared" si="3"/>
        <v>3</v>
      </c>
      <c r="E248" s="16">
        <v>44440</v>
      </c>
      <c r="F248" s="24">
        <v>44648</v>
      </c>
      <c r="G248" s="14" t="s">
        <v>910</v>
      </c>
      <c r="H248" s="98" t="s">
        <v>911</v>
      </c>
      <c r="I248" s="20" t="s">
        <v>24</v>
      </c>
      <c r="J248" s="99">
        <v>34</v>
      </c>
      <c r="K248" s="17" t="s">
        <v>1116</v>
      </c>
      <c r="L248" s="17" t="s">
        <v>31</v>
      </c>
      <c r="M248" s="14" t="s">
        <v>26</v>
      </c>
      <c r="N248" s="14" t="s">
        <v>26</v>
      </c>
      <c r="O248" s="17" t="s">
        <v>912</v>
      </c>
      <c r="P248" s="17" t="s">
        <v>28</v>
      </c>
      <c r="Q248" s="17" t="s">
        <v>29</v>
      </c>
      <c r="R248" s="17" t="s">
        <v>30</v>
      </c>
      <c r="S248" s="102">
        <v>4400</v>
      </c>
      <c r="T248" s="20" t="s">
        <v>31</v>
      </c>
      <c r="U248" s="96" t="s">
        <v>31</v>
      </c>
      <c r="V248" s="100"/>
      <c r="W248" s="100"/>
      <c r="X248" s="100"/>
      <c r="Y248" s="100"/>
      <c r="Z248" s="100"/>
    </row>
    <row r="249" spans="1:26" x14ac:dyDescent="0.25">
      <c r="A249" s="96">
        <v>246</v>
      </c>
      <c r="B249" s="15">
        <v>210372</v>
      </c>
      <c r="C249" s="15">
        <v>2022</v>
      </c>
      <c r="D249" s="15">
        <f t="shared" si="3"/>
        <v>2</v>
      </c>
      <c r="E249" s="16">
        <v>44477</v>
      </c>
      <c r="F249" s="24">
        <v>44599</v>
      </c>
      <c r="G249" s="14" t="s">
        <v>913</v>
      </c>
      <c r="H249" s="98" t="s">
        <v>914</v>
      </c>
      <c r="I249" s="20" t="s">
        <v>24</v>
      </c>
      <c r="J249" s="99">
        <v>62</v>
      </c>
      <c r="K249" s="17" t="s">
        <v>1115</v>
      </c>
      <c r="L249" s="17" t="s">
        <v>1118</v>
      </c>
      <c r="M249" s="14" t="s">
        <v>36</v>
      </c>
      <c r="N249" s="14" t="s">
        <v>36</v>
      </c>
      <c r="O249" s="17" t="s">
        <v>410</v>
      </c>
      <c r="P249" s="17" t="s">
        <v>28</v>
      </c>
      <c r="Q249" s="17" t="s">
        <v>29</v>
      </c>
      <c r="R249" s="17" t="s">
        <v>479</v>
      </c>
      <c r="S249" s="102">
        <v>21600</v>
      </c>
      <c r="T249" s="20" t="s">
        <v>46</v>
      </c>
      <c r="U249" s="96" t="s">
        <v>115</v>
      </c>
      <c r="V249" s="100"/>
      <c r="W249" s="100"/>
      <c r="X249" s="100"/>
      <c r="Y249" s="100"/>
      <c r="Z249" s="100"/>
    </row>
    <row r="250" spans="1:26" x14ac:dyDescent="0.25">
      <c r="A250" s="96">
        <v>247</v>
      </c>
      <c r="B250" s="15">
        <v>210378</v>
      </c>
      <c r="C250" s="15">
        <v>2022</v>
      </c>
      <c r="D250" s="15">
        <f t="shared" si="3"/>
        <v>2</v>
      </c>
      <c r="E250" s="16">
        <v>44430</v>
      </c>
      <c r="F250" s="24">
        <v>44595</v>
      </c>
      <c r="G250" s="14" t="s">
        <v>915</v>
      </c>
      <c r="H250" s="98" t="s">
        <v>916</v>
      </c>
      <c r="I250" s="20" t="s">
        <v>24</v>
      </c>
      <c r="J250" s="99">
        <v>36</v>
      </c>
      <c r="K250" s="17" t="s">
        <v>1116</v>
      </c>
      <c r="L250" s="17" t="s">
        <v>31</v>
      </c>
      <c r="M250" s="14" t="s">
        <v>706</v>
      </c>
      <c r="N250" s="14" t="s">
        <v>706</v>
      </c>
      <c r="O250" s="17" t="s">
        <v>917</v>
      </c>
      <c r="P250" s="17" t="s">
        <v>28</v>
      </c>
      <c r="Q250" s="17" t="s">
        <v>29</v>
      </c>
      <c r="R250" s="17" t="s">
        <v>30</v>
      </c>
      <c r="S250" s="102">
        <v>4400</v>
      </c>
      <c r="T250" s="20" t="s">
        <v>31</v>
      </c>
      <c r="U250" s="96" t="s">
        <v>31</v>
      </c>
      <c r="V250" s="100"/>
      <c r="W250" s="100"/>
      <c r="X250" s="100"/>
      <c r="Y250" s="100"/>
      <c r="Z250" s="100"/>
    </row>
    <row r="251" spans="1:26" x14ac:dyDescent="0.25">
      <c r="A251" s="96">
        <v>248</v>
      </c>
      <c r="B251" s="15">
        <v>210379</v>
      </c>
      <c r="C251" s="15">
        <v>2022</v>
      </c>
      <c r="D251" s="15">
        <f t="shared" si="3"/>
        <v>3</v>
      </c>
      <c r="E251" s="16">
        <v>43957</v>
      </c>
      <c r="F251" s="24">
        <v>44629</v>
      </c>
      <c r="G251" s="14" t="s">
        <v>918</v>
      </c>
      <c r="H251" s="98" t="s">
        <v>919</v>
      </c>
      <c r="I251" s="20" t="s">
        <v>24</v>
      </c>
      <c r="J251" s="99">
        <v>38</v>
      </c>
      <c r="K251" s="17" t="s">
        <v>1115</v>
      </c>
      <c r="L251" s="17" t="s">
        <v>1118</v>
      </c>
      <c r="M251" s="14" t="s">
        <v>261</v>
      </c>
      <c r="N251" s="14" t="s">
        <v>261</v>
      </c>
      <c r="O251" s="17" t="s">
        <v>525</v>
      </c>
      <c r="P251" s="17" t="s">
        <v>28</v>
      </c>
      <c r="Q251" s="17" t="s">
        <v>29</v>
      </c>
      <c r="R251" s="17" t="s">
        <v>119</v>
      </c>
      <c r="S251" s="102">
        <v>7000</v>
      </c>
      <c r="T251" s="20" t="s">
        <v>58</v>
      </c>
      <c r="U251" s="96" t="s">
        <v>920</v>
      </c>
      <c r="V251" s="100"/>
      <c r="W251" s="100"/>
      <c r="X251" s="100"/>
      <c r="Y251" s="100"/>
      <c r="Z251" s="100"/>
    </row>
    <row r="252" spans="1:26" x14ac:dyDescent="0.25">
      <c r="A252" s="96">
        <v>249</v>
      </c>
      <c r="B252" s="15">
        <v>210382</v>
      </c>
      <c r="C252" s="15">
        <v>2022</v>
      </c>
      <c r="D252" s="15">
        <f t="shared" si="3"/>
        <v>4</v>
      </c>
      <c r="E252" s="16">
        <v>44478</v>
      </c>
      <c r="F252" s="24">
        <v>44670</v>
      </c>
      <c r="G252" s="14" t="s">
        <v>921</v>
      </c>
      <c r="H252" s="98" t="s">
        <v>922</v>
      </c>
      <c r="I252" s="20" t="s">
        <v>24</v>
      </c>
      <c r="J252" s="99">
        <v>81</v>
      </c>
      <c r="K252" s="17" t="s">
        <v>1115</v>
      </c>
      <c r="L252" s="17" t="s">
        <v>1118</v>
      </c>
      <c r="M252" s="14" t="s">
        <v>593</v>
      </c>
      <c r="N252" s="14" t="s">
        <v>593</v>
      </c>
      <c r="O252" s="17" t="s">
        <v>594</v>
      </c>
      <c r="P252" s="17" t="s">
        <v>28</v>
      </c>
      <c r="Q252" s="17" t="s">
        <v>29</v>
      </c>
      <c r="R252" s="17" t="s">
        <v>923</v>
      </c>
      <c r="S252" s="102">
        <v>22000</v>
      </c>
      <c r="T252" s="20" t="s">
        <v>58</v>
      </c>
      <c r="U252" s="96" t="s">
        <v>715</v>
      </c>
      <c r="V252" s="100"/>
      <c r="W252" s="100"/>
      <c r="X252" s="100"/>
      <c r="Y252" s="100"/>
      <c r="Z252" s="100"/>
    </row>
    <row r="253" spans="1:26" x14ac:dyDescent="0.25">
      <c r="A253" s="96">
        <v>250</v>
      </c>
      <c r="B253" s="15">
        <v>210384</v>
      </c>
      <c r="C253" s="15">
        <v>2022</v>
      </c>
      <c r="D253" s="15">
        <f t="shared" si="3"/>
        <v>3</v>
      </c>
      <c r="E253" s="16">
        <v>44486</v>
      </c>
      <c r="F253" s="24">
        <v>44643</v>
      </c>
      <c r="G253" s="14" t="s">
        <v>924</v>
      </c>
      <c r="H253" s="98" t="s">
        <v>925</v>
      </c>
      <c r="I253" s="20" t="s">
        <v>24</v>
      </c>
      <c r="J253" s="99">
        <v>28</v>
      </c>
      <c r="K253" s="17" t="s">
        <v>1115</v>
      </c>
      <c r="L253" s="17" t="s">
        <v>1118</v>
      </c>
      <c r="M253" s="14" t="s">
        <v>148</v>
      </c>
      <c r="N253" s="14" t="s">
        <v>148</v>
      </c>
      <c r="O253" s="17" t="s">
        <v>926</v>
      </c>
      <c r="P253" s="17" t="s">
        <v>28</v>
      </c>
      <c r="Q253" s="17" t="s">
        <v>29</v>
      </c>
      <c r="R253" s="17" t="s">
        <v>927</v>
      </c>
      <c r="S253" s="102">
        <v>11000</v>
      </c>
      <c r="T253" s="20" t="s">
        <v>39</v>
      </c>
      <c r="U253" s="96" t="s">
        <v>39</v>
      </c>
      <c r="V253" s="100"/>
      <c r="W253" s="100"/>
      <c r="X253" s="100"/>
      <c r="Y253" s="100"/>
      <c r="Z253" s="100"/>
    </row>
    <row r="254" spans="1:26" x14ac:dyDescent="0.25">
      <c r="A254" s="96">
        <v>251</v>
      </c>
      <c r="B254" s="15">
        <v>210389</v>
      </c>
      <c r="C254" s="15">
        <v>2022</v>
      </c>
      <c r="D254" s="15">
        <f t="shared" si="3"/>
        <v>4</v>
      </c>
      <c r="E254" s="16">
        <v>44338</v>
      </c>
      <c r="F254" s="24">
        <v>44670</v>
      </c>
      <c r="G254" s="14" t="s">
        <v>928</v>
      </c>
      <c r="H254" s="98" t="s">
        <v>929</v>
      </c>
      <c r="I254" s="20" t="s">
        <v>63</v>
      </c>
      <c r="J254" s="99">
        <v>39</v>
      </c>
      <c r="K254" s="17" t="s">
        <v>1115</v>
      </c>
      <c r="L254" s="17" t="s">
        <v>1118</v>
      </c>
      <c r="M254" s="14" t="s">
        <v>25</v>
      </c>
      <c r="N254" s="14" t="s">
        <v>26</v>
      </c>
      <c r="O254" s="17" t="s">
        <v>246</v>
      </c>
      <c r="P254" s="17" t="s">
        <v>104</v>
      </c>
      <c r="Q254" s="17" t="s">
        <v>29</v>
      </c>
      <c r="R254" s="17" t="s">
        <v>930</v>
      </c>
      <c r="S254" s="102">
        <v>6500</v>
      </c>
      <c r="T254" s="20" t="s">
        <v>58</v>
      </c>
      <c r="U254" s="96" t="s">
        <v>715</v>
      </c>
      <c r="V254" s="100"/>
      <c r="W254" s="100"/>
      <c r="X254" s="100"/>
      <c r="Y254" s="100"/>
      <c r="Z254" s="100"/>
    </row>
    <row r="255" spans="1:26" x14ac:dyDescent="0.25">
      <c r="A255" s="96">
        <v>252</v>
      </c>
      <c r="B255" s="15">
        <v>210404</v>
      </c>
      <c r="C255" s="15">
        <v>2022</v>
      </c>
      <c r="D255" s="15">
        <f t="shared" si="3"/>
        <v>7</v>
      </c>
      <c r="E255" s="16">
        <v>44437</v>
      </c>
      <c r="F255" s="24">
        <v>44753</v>
      </c>
      <c r="G255" s="14" t="s">
        <v>931</v>
      </c>
      <c r="H255" s="98" t="s">
        <v>932</v>
      </c>
      <c r="I255" s="20" t="s">
        <v>24</v>
      </c>
      <c r="J255" s="99">
        <v>33</v>
      </c>
      <c r="K255" s="17" t="s">
        <v>1116</v>
      </c>
      <c r="L255" s="17" t="s">
        <v>31</v>
      </c>
      <c r="M255" s="14" t="s">
        <v>167</v>
      </c>
      <c r="N255" s="14" t="s">
        <v>167</v>
      </c>
      <c r="O255" s="17" t="s">
        <v>167</v>
      </c>
      <c r="P255" s="17" t="s">
        <v>28</v>
      </c>
      <c r="Q255" s="17" t="s">
        <v>29</v>
      </c>
      <c r="R255" s="17" t="s">
        <v>30</v>
      </c>
      <c r="S255" s="102">
        <v>4400</v>
      </c>
      <c r="T255" s="20" t="s">
        <v>31</v>
      </c>
      <c r="U255" s="96" t="s">
        <v>31</v>
      </c>
      <c r="V255" s="100"/>
      <c r="W255" s="100"/>
      <c r="X255" s="100"/>
      <c r="Y255" s="100"/>
      <c r="Z255" s="100"/>
    </row>
    <row r="256" spans="1:26" x14ac:dyDescent="0.25">
      <c r="A256" s="96">
        <v>253</v>
      </c>
      <c r="B256" s="15">
        <v>210409</v>
      </c>
      <c r="C256" s="15">
        <v>2022</v>
      </c>
      <c r="D256" s="15">
        <f t="shared" si="3"/>
        <v>3</v>
      </c>
      <c r="E256" s="16">
        <v>44446</v>
      </c>
      <c r="F256" s="24">
        <v>44638</v>
      </c>
      <c r="G256" s="14" t="s">
        <v>933</v>
      </c>
      <c r="H256" s="98" t="s">
        <v>934</v>
      </c>
      <c r="I256" s="20" t="s">
        <v>24</v>
      </c>
      <c r="J256" s="99">
        <v>30</v>
      </c>
      <c r="K256" s="17" t="s">
        <v>1115</v>
      </c>
      <c r="L256" s="17" t="s">
        <v>1118</v>
      </c>
      <c r="M256" s="14" t="s">
        <v>223</v>
      </c>
      <c r="N256" s="14" t="s">
        <v>36</v>
      </c>
      <c r="O256" s="17" t="s">
        <v>935</v>
      </c>
      <c r="P256" s="17" t="s">
        <v>190</v>
      </c>
      <c r="Q256" s="17" t="s">
        <v>29</v>
      </c>
      <c r="R256" s="17" t="s">
        <v>225</v>
      </c>
      <c r="S256" s="102">
        <v>9000</v>
      </c>
      <c r="T256" s="20" t="s">
        <v>58</v>
      </c>
      <c r="U256" s="96" t="s">
        <v>936</v>
      </c>
      <c r="V256" s="100"/>
      <c r="W256" s="100"/>
      <c r="X256" s="100"/>
      <c r="Y256" s="100"/>
      <c r="Z256" s="100"/>
    </row>
    <row r="257" spans="1:26" x14ac:dyDescent="0.25">
      <c r="A257" s="96">
        <v>254</v>
      </c>
      <c r="B257" s="15">
        <v>210429</v>
      </c>
      <c r="C257" s="15">
        <v>2022</v>
      </c>
      <c r="D257" s="15">
        <f t="shared" si="3"/>
        <v>2</v>
      </c>
      <c r="E257" s="16">
        <v>44477</v>
      </c>
      <c r="F257" s="24">
        <v>44593</v>
      </c>
      <c r="G257" s="14" t="s">
        <v>937</v>
      </c>
      <c r="H257" s="98" t="s">
        <v>938</v>
      </c>
      <c r="I257" s="20" t="s">
        <v>24</v>
      </c>
      <c r="J257" s="99">
        <v>23</v>
      </c>
      <c r="K257" s="17" t="s">
        <v>1115</v>
      </c>
      <c r="L257" s="17" t="s">
        <v>1118</v>
      </c>
      <c r="M257" s="14" t="s">
        <v>616</v>
      </c>
      <c r="N257" s="14" t="s">
        <v>284</v>
      </c>
      <c r="O257" s="17" t="s">
        <v>939</v>
      </c>
      <c r="P257" s="17" t="s">
        <v>104</v>
      </c>
      <c r="Q257" s="17" t="s">
        <v>29</v>
      </c>
      <c r="R257" s="17" t="s">
        <v>674</v>
      </c>
      <c r="S257" s="102">
        <v>4000</v>
      </c>
      <c r="T257" s="20" t="s">
        <v>58</v>
      </c>
      <c r="U257" s="96" t="s">
        <v>940</v>
      </c>
      <c r="V257" s="100"/>
      <c r="W257" s="100"/>
      <c r="X257" s="100"/>
      <c r="Y257" s="100"/>
      <c r="Z257" s="100"/>
    </row>
    <row r="258" spans="1:26" x14ac:dyDescent="0.25">
      <c r="A258" s="96">
        <v>255</v>
      </c>
      <c r="B258" s="14">
        <v>210439</v>
      </c>
      <c r="C258" s="15">
        <v>2022</v>
      </c>
      <c r="D258" s="15">
        <f t="shared" si="3"/>
        <v>2</v>
      </c>
      <c r="E258" s="16">
        <v>44505</v>
      </c>
      <c r="F258" s="24">
        <v>44617</v>
      </c>
      <c r="G258" s="14" t="s">
        <v>941</v>
      </c>
      <c r="H258" s="98" t="s">
        <v>942</v>
      </c>
      <c r="I258" s="20" t="s">
        <v>24</v>
      </c>
      <c r="J258" s="99">
        <v>76</v>
      </c>
      <c r="K258" s="17" t="s">
        <v>1115</v>
      </c>
      <c r="L258" s="17" t="s">
        <v>1118</v>
      </c>
      <c r="M258" s="14" t="s">
        <v>662</v>
      </c>
      <c r="N258" s="14" t="s">
        <v>148</v>
      </c>
      <c r="O258" s="17" t="s">
        <v>943</v>
      </c>
      <c r="P258" s="17" t="s">
        <v>28</v>
      </c>
      <c r="Q258" s="17" t="s">
        <v>29</v>
      </c>
      <c r="R258" s="17" t="s">
        <v>663</v>
      </c>
      <c r="S258" s="102">
        <v>2000</v>
      </c>
      <c r="T258" s="20" t="s">
        <v>39</v>
      </c>
      <c r="U258" s="96" t="s">
        <v>39</v>
      </c>
      <c r="V258" s="100"/>
      <c r="W258" s="100"/>
      <c r="X258" s="100"/>
      <c r="Y258" s="100"/>
      <c r="Z258" s="100"/>
    </row>
    <row r="259" spans="1:26" x14ac:dyDescent="0.25">
      <c r="A259" s="96">
        <v>256</v>
      </c>
      <c r="B259" s="14">
        <v>210443</v>
      </c>
      <c r="C259" s="15">
        <v>2022</v>
      </c>
      <c r="D259" s="15">
        <f t="shared" ref="D259:D293" si="4">IF(ISBLANK(F259),0,MONTH(F259))</f>
        <v>9</v>
      </c>
      <c r="E259" s="16">
        <v>44214</v>
      </c>
      <c r="F259" s="24">
        <v>44806</v>
      </c>
      <c r="G259" s="14" t="s">
        <v>944</v>
      </c>
      <c r="H259" s="98" t="s">
        <v>945</v>
      </c>
      <c r="I259" s="20" t="s">
        <v>24</v>
      </c>
      <c r="J259" s="99">
        <v>47</v>
      </c>
      <c r="K259" s="17" t="s">
        <v>1115</v>
      </c>
      <c r="L259" s="17" t="s">
        <v>1118</v>
      </c>
      <c r="M259" s="14" t="s">
        <v>525</v>
      </c>
      <c r="N259" s="14" t="s">
        <v>261</v>
      </c>
      <c r="O259" s="17" t="s">
        <v>946</v>
      </c>
      <c r="P259" s="17" t="s">
        <v>28</v>
      </c>
      <c r="Q259" s="17" t="s">
        <v>29</v>
      </c>
      <c r="R259" s="17" t="s">
        <v>947</v>
      </c>
      <c r="S259" s="102">
        <v>4500</v>
      </c>
      <c r="T259" s="20" t="s">
        <v>58</v>
      </c>
      <c r="U259" s="96" t="s">
        <v>226</v>
      </c>
      <c r="V259" s="100"/>
      <c r="W259" s="100"/>
      <c r="X259" s="100"/>
      <c r="Y259" s="100"/>
      <c r="Z259" s="100"/>
    </row>
    <row r="260" spans="1:26" x14ac:dyDescent="0.25">
      <c r="A260" s="96">
        <v>257</v>
      </c>
      <c r="B260" s="14">
        <v>210444</v>
      </c>
      <c r="C260" s="15">
        <v>2022</v>
      </c>
      <c r="D260" s="15">
        <f t="shared" si="4"/>
        <v>2</v>
      </c>
      <c r="E260" s="16">
        <v>44506</v>
      </c>
      <c r="F260" s="24">
        <v>44601</v>
      </c>
      <c r="G260" s="14" t="s">
        <v>948</v>
      </c>
      <c r="H260" s="98" t="s">
        <v>949</v>
      </c>
      <c r="I260" s="20" t="s">
        <v>24</v>
      </c>
      <c r="J260" s="99">
        <v>60</v>
      </c>
      <c r="K260" s="17" t="s">
        <v>1115</v>
      </c>
      <c r="L260" s="17" t="s">
        <v>1118</v>
      </c>
      <c r="M260" s="14" t="s">
        <v>950</v>
      </c>
      <c r="N260" s="14" t="s">
        <v>135</v>
      </c>
      <c r="O260" s="17" t="s">
        <v>951</v>
      </c>
      <c r="P260" s="17" t="s">
        <v>104</v>
      </c>
      <c r="Q260" s="17" t="s">
        <v>29</v>
      </c>
      <c r="R260" s="17" t="s">
        <v>952</v>
      </c>
      <c r="S260" s="102">
        <v>4000</v>
      </c>
      <c r="T260" s="20" t="s">
        <v>39</v>
      </c>
      <c r="U260" s="96" t="s">
        <v>39</v>
      </c>
      <c r="V260" s="100"/>
      <c r="W260" s="100"/>
      <c r="X260" s="100"/>
      <c r="Y260" s="100"/>
      <c r="Z260" s="100"/>
    </row>
    <row r="261" spans="1:26" x14ac:dyDescent="0.25">
      <c r="A261" s="96">
        <v>258</v>
      </c>
      <c r="B261" s="14">
        <v>210445</v>
      </c>
      <c r="C261" s="15">
        <v>2022</v>
      </c>
      <c r="D261" s="15">
        <f t="shared" si="4"/>
        <v>2</v>
      </c>
      <c r="E261" s="16">
        <v>44506</v>
      </c>
      <c r="F261" s="24">
        <v>44601</v>
      </c>
      <c r="G261" s="14" t="s">
        <v>948</v>
      </c>
      <c r="H261" s="98" t="s">
        <v>953</v>
      </c>
      <c r="I261" s="20" t="s">
        <v>63</v>
      </c>
      <c r="J261" s="99">
        <v>59</v>
      </c>
      <c r="K261" s="17" t="s">
        <v>1115</v>
      </c>
      <c r="L261" s="17" t="s">
        <v>1118</v>
      </c>
      <c r="M261" s="14" t="s">
        <v>950</v>
      </c>
      <c r="N261" s="14" t="s">
        <v>135</v>
      </c>
      <c r="O261" s="17" t="s">
        <v>951</v>
      </c>
      <c r="P261" s="17" t="s">
        <v>104</v>
      </c>
      <c r="Q261" s="17" t="s">
        <v>29</v>
      </c>
      <c r="R261" s="17" t="s">
        <v>952</v>
      </c>
      <c r="S261" s="102">
        <v>4000</v>
      </c>
      <c r="T261" s="20" t="s">
        <v>39</v>
      </c>
      <c r="U261" s="96" t="s">
        <v>39</v>
      </c>
      <c r="V261" s="100"/>
      <c r="W261" s="100"/>
      <c r="X261" s="100"/>
      <c r="Y261" s="100"/>
      <c r="Z261" s="100"/>
    </row>
    <row r="262" spans="1:26" x14ac:dyDescent="0.25">
      <c r="A262" s="96">
        <v>259</v>
      </c>
      <c r="B262" s="14">
        <v>210446</v>
      </c>
      <c r="C262" s="15">
        <v>2022</v>
      </c>
      <c r="D262" s="15">
        <f t="shared" si="4"/>
        <v>5</v>
      </c>
      <c r="E262" s="16">
        <v>44416</v>
      </c>
      <c r="F262" s="24">
        <v>44694</v>
      </c>
      <c r="G262" s="14" t="s">
        <v>954</v>
      </c>
      <c r="H262" s="98" t="s">
        <v>955</v>
      </c>
      <c r="I262" s="20" t="s">
        <v>24</v>
      </c>
      <c r="J262" s="99">
        <v>35</v>
      </c>
      <c r="K262" s="17" t="s">
        <v>1116</v>
      </c>
      <c r="L262" s="17" t="s">
        <v>31</v>
      </c>
      <c r="M262" s="14" t="s">
        <v>43</v>
      </c>
      <c r="N262" s="14" t="s">
        <v>36</v>
      </c>
      <c r="O262" s="17" t="s">
        <v>189</v>
      </c>
      <c r="P262" s="17" t="s">
        <v>28</v>
      </c>
      <c r="Q262" s="17" t="s">
        <v>29</v>
      </c>
      <c r="R262" s="17" t="s">
        <v>30</v>
      </c>
      <c r="S262" s="102">
        <v>4400</v>
      </c>
      <c r="T262" s="20" t="s">
        <v>31</v>
      </c>
      <c r="U262" s="96" t="s">
        <v>31</v>
      </c>
      <c r="V262" s="100"/>
      <c r="W262" s="100"/>
      <c r="X262" s="100"/>
      <c r="Y262" s="100"/>
      <c r="Z262" s="100"/>
    </row>
    <row r="263" spans="1:26" x14ac:dyDescent="0.25">
      <c r="A263" s="96">
        <v>260</v>
      </c>
      <c r="B263" s="14">
        <v>210453</v>
      </c>
      <c r="C263" s="15">
        <v>2022</v>
      </c>
      <c r="D263" s="15">
        <f t="shared" si="4"/>
        <v>1</v>
      </c>
      <c r="E263" s="16">
        <v>44509</v>
      </c>
      <c r="F263" s="24">
        <v>44592</v>
      </c>
      <c r="G263" s="14" t="s">
        <v>956</v>
      </c>
      <c r="H263" s="98" t="s">
        <v>957</v>
      </c>
      <c r="I263" s="20" t="s">
        <v>24</v>
      </c>
      <c r="J263" s="99">
        <v>21</v>
      </c>
      <c r="K263" s="17" t="s">
        <v>1115</v>
      </c>
      <c r="L263" s="17" t="s">
        <v>1118</v>
      </c>
      <c r="M263" s="14" t="s">
        <v>36</v>
      </c>
      <c r="N263" s="14" t="s">
        <v>36</v>
      </c>
      <c r="O263" s="17" t="s">
        <v>958</v>
      </c>
      <c r="P263" s="17" t="s">
        <v>28</v>
      </c>
      <c r="Q263" s="17" t="s">
        <v>29</v>
      </c>
      <c r="R263" s="17" t="s">
        <v>867</v>
      </c>
      <c r="S263" s="102">
        <v>4000</v>
      </c>
      <c r="T263" s="20" t="s">
        <v>58</v>
      </c>
      <c r="U263" s="96" t="s">
        <v>959</v>
      </c>
      <c r="V263" s="100"/>
      <c r="W263" s="100"/>
      <c r="X263" s="100"/>
      <c r="Y263" s="100"/>
      <c r="Z263" s="100"/>
    </row>
    <row r="264" spans="1:26" x14ac:dyDescent="0.25">
      <c r="A264" s="96">
        <v>261</v>
      </c>
      <c r="B264" s="14">
        <v>210455</v>
      </c>
      <c r="C264" s="15">
        <v>2022</v>
      </c>
      <c r="D264" s="15">
        <f t="shared" si="4"/>
        <v>2</v>
      </c>
      <c r="E264" s="16">
        <v>44498</v>
      </c>
      <c r="F264" s="24">
        <v>44609</v>
      </c>
      <c r="G264" s="14" t="s">
        <v>960</v>
      </c>
      <c r="H264" s="98" t="s">
        <v>961</v>
      </c>
      <c r="I264" s="20" t="s">
        <v>24</v>
      </c>
      <c r="J264" s="99">
        <v>28</v>
      </c>
      <c r="K264" s="17" t="s">
        <v>1115</v>
      </c>
      <c r="L264" s="17" t="s">
        <v>1118</v>
      </c>
      <c r="M264" s="14" t="s">
        <v>36</v>
      </c>
      <c r="N264" s="14" t="s">
        <v>36</v>
      </c>
      <c r="O264" s="17" t="s">
        <v>171</v>
      </c>
      <c r="P264" s="17" t="s">
        <v>161</v>
      </c>
      <c r="Q264" s="17" t="s">
        <v>29</v>
      </c>
      <c r="R264" s="17" t="s">
        <v>38</v>
      </c>
      <c r="S264" s="102">
        <v>200</v>
      </c>
      <c r="T264" s="20" t="s">
        <v>90</v>
      </c>
      <c r="U264" s="96" t="s">
        <v>962</v>
      </c>
      <c r="V264" s="100"/>
      <c r="W264" s="100"/>
      <c r="X264" s="100"/>
      <c r="Y264" s="100"/>
      <c r="Z264" s="100"/>
    </row>
    <row r="265" spans="1:26" x14ac:dyDescent="0.25">
      <c r="A265" s="96">
        <v>262</v>
      </c>
      <c r="B265" s="14">
        <v>210457</v>
      </c>
      <c r="C265" s="15">
        <v>2022</v>
      </c>
      <c r="D265" s="15">
        <f t="shared" si="4"/>
        <v>3</v>
      </c>
      <c r="E265" s="16">
        <v>44505</v>
      </c>
      <c r="F265" s="24">
        <v>44634</v>
      </c>
      <c r="G265" s="14">
        <v>2674212021</v>
      </c>
      <c r="H265" s="98" t="s">
        <v>963</v>
      </c>
      <c r="I265" s="20" t="s">
        <v>24</v>
      </c>
      <c r="J265" s="99">
        <v>52</v>
      </c>
      <c r="K265" s="17" t="s">
        <v>1115</v>
      </c>
      <c r="L265" s="17" t="s">
        <v>1118</v>
      </c>
      <c r="M265" s="14" t="s">
        <v>616</v>
      </c>
      <c r="N265" s="14" t="s">
        <v>36</v>
      </c>
      <c r="O265" s="17" t="s">
        <v>616</v>
      </c>
      <c r="P265" s="17" t="s">
        <v>28</v>
      </c>
      <c r="Q265" s="17" t="s">
        <v>29</v>
      </c>
      <c r="R265" s="17" t="s">
        <v>251</v>
      </c>
      <c r="S265" s="102">
        <v>4000</v>
      </c>
      <c r="T265" s="20" t="s">
        <v>186</v>
      </c>
      <c r="U265" s="96" t="s">
        <v>186</v>
      </c>
      <c r="V265" s="100"/>
      <c r="W265" s="100"/>
      <c r="X265" s="100"/>
      <c r="Y265" s="100"/>
      <c r="Z265" s="100"/>
    </row>
    <row r="266" spans="1:26" x14ac:dyDescent="0.25">
      <c r="A266" s="96">
        <v>263</v>
      </c>
      <c r="B266" s="14">
        <v>210460</v>
      </c>
      <c r="C266" s="15">
        <v>2022</v>
      </c>
      <c r="D266" s="15">
        <f t="shared" si="4"/>
        <v>1</v>
      </c>
      <c r="E266" s="16">
        <v>44478</v>
      </c>
      <c r="F266" s="24">
        <v>44589</v>
      </c>
      <c r="G266" s="14" t="s">
        <v>964</v>
      </c>
      <c r="H266" s="98" t="s">
        <v>965</v>
      </c>
      <c r="I266" s="20" t="s">
        <v>24</v>
      </c>
      <c r="J266" s="99">
        <v>64</v>
      </c>
      <c r="K266" s="17" t="s">
        <v>1116</v>
      </c>
      <c r="L266" s="17" t="s">
        <v>31</v>
      </c>
      <c r="M266" s="14" t="s">
        <v>167</v>
      </c>
      <c r="N266" s="14" t="s">
        <v>167</v>
      </c>
      <c r="O266" s="17" t="s">
        <v>741</v>
      </c>
      <c r="P266" s="17" t="s">
        <v>28</v>
      </c>
      <c r="Q266" s="17" t="s">
        <v>29</v>
      </c>
      <c r="R266" s="17" t="s">
        <v>30</v>
      </c>
      <c r="S266" s="102">
        <v>4400</v>
      </c>
      <c r="T266" s="20" t="s">
        <v>31</v>
      </c>
      <c r="U266" s="96" t="s">
        <v>31</v>
      </c>
      <c r="V266" s="100"/>
      <c r="W266" s="100"/>
      <c r="X266" s="100"/>
      <c r="Y266" s="100"/>
      <c r="Z266" s="100"/>
    </row>
    <row r="267" spans="1:26" x14ac:dyDescent="0.25">
      <c r="A267" s="96">
        <v>264</v>
      </c>
      <c r="B267" s="14">
        <v>210461</v>
      </c>
      <c r="C267" s="15">
        <v>2022</v>
      </c>
      <c r="D267" s="15">
        <f t="shared" si="4"/>
        <v>3</v>
      </c>
      <c r="E267" s="16">
        <v>44515</v>
      </c>
      <c r="F267" s="24">
        <v>44643</v>
      </c>
      <c r="G267" s="14" t="s">
        <v>966</v>
      </c>
      <c r="H267" s="98" t="s">
        <v>967</v>
      </c>
      <c r="I267" s="20" t="s">
        <v>24</v>
      </c>
      <c r="J267" s="99">
        <v>50</v>
      </c>
      <c r="K267" s="17" t="s">
        <v>1115</v>
      </c>
      <c r="L267" s="17" t="s">
        <v>1118</v>
      </c>
      <c r="M267" s="14" t="s">
        <v>36</v>
      </c>
      <c r="N267" s="14" t="s">
        <v>36</v>
      </c>
      <c r="O267" s="17" t="s">
        <v>500</v>
      </c>
      <c r="P267" s="17" t="s">
        <v>28</v>
      </c>
      <c r="Q267" s="17" t="s">
        <v>29</v>
      </c>
      <c r="R267" s="17" t="s">
        <v>479</v>
      </c>
      <c r="S267" s="102">
        <v>500</v>
      </c>
      <c r="T267" s="20" t="s">
        <v>39</v>
      </c>
      <c r="U267" s="96" t="s">
        <v>39</v>
      </c>
      <c r="V267" s="100"/>
      <c r="W267" s="100"/>
      <c r="X267" s="100"/>
      <c r="Y267" s="100"/>
      <c r="Z267" s="100"/>
    </row>
    <row r="268" spans="1:26" x14ac:dyDescent="0.25">
      <c r="A268" s="96">
        <v>265</v>
      </c>
      <c r="B268" s="15">
        <v>210477</v>
      </c>
      <c r="C268" s="15">
        <v>2022</v>
      </c>
      <c r="D268" s="15">
        <f t="shared" si="4"/>
        <v>11</v>
      </c>
      <c r="E268" s="16">
        <v>44521</v>
      </c>
      <c r="F268" s="24">
        <v>44880</v>
      </c>
      <c r="G268" s="14" t="s">
        <v>968</v>
      </c>
      <c r="H268" s="98" t="s">
        <v>969</v>
      </c>
      <c r="I268" s="20" t="s">
        <v>24</v>
      </c>
      <c r="J268" s="99">
        <v>47</v>
      </c>
      <c r="K268" s="17" t="s">
        <v>1115</v>
      </c>
      <c r="L268" s="17" t="s">
        <v>1118</v>
      </c>
      <c r="M268" s="14" t="s">
        <v>36</v>
      </c>
      <c r="N268" s="14" t="s">
        <v>36</v>
      </c>
      <c r="O268" s="17" t="s">
        <v>410</v>
      </c>
      <c r="P268" s="17" t="s">
        <v>28</v>
      </c>
      <c r="Q268" s="17" t="s">
        <v>29</v>
      </c>
      <c r="R268" s="17" t="s">
        <v>479</v>
      </c>
      <c r="S268" s="102">
        <v>21000</v>
      </c>
      <c r="T268" s="20" t="s">
        <v>39</v>
      </c>
      <c r="U268" s="96"/>
      <c r="V268" s="100"/>
      <c r="W268" s="100"/>
      <c r="X268" s="100"/>
      <c r="Y268" s="100"/>
      <c r="Z268" s="100"/>
    </row>
    <row r="269" spans="1:26" x14ac:dyDescent="0.25">
      <c r="A269" s="96">
        <v>266</v>
      </c>
      <c r="B269" s="15">
        <v>210478</v>
      </c>
      <c r="C269" s="15">
        <v>2022</v>
      </c>
      <c r="D269" s="15">
        <f t="shared" si="4"/>
        <v>4</v>
      </c>
      <c r="E269" s="16">
        <v>44522</v>
      </c>
      <c r="F269" s="24">
        <v>44679</v>
      </c>
      <c r="G269" s="14" t="s">
        <v>970</v>
      </c>
      <c r="H269" s="98" t="s">
        <v>971</v>
      </c>
      <c r="I269" s="20" t="s">
        <v>63</v>
      </c>
      <c r="J269" s="99">
        <v>46</v>
      </c>
      <c r="K269" s="17" t="s">
        <v>1115</v>
      </c>
      <c r="L269" s="17" t="s">
        <v>1118</v>
      </c>
      <c r="M269" s="14" t="s">
        <v>318</v>
      </c>
      <c r="N269" s="14" t="s">
        <v>36</v>
      </c>
      <c r="O269" s="17" t="s">
        <v>318</v>
      </c>
      <c r="P269" s="17" t="s">
        <v>56</v>
      </c>
      <c r="Q269" s="17" t="s">
        <v>29</v>
      </c>
      <c r="R269" s="17" t="s">
        <v>320</v>
      </c>
      <c r="S269" s="102">
        <v>500</v>
      </c>
      <c r="T269" s="20" t="s">
        <v>39</v>
      </c>
      <c r="U269" s="96"/>
      <c r="V269" s="100"/>
      <c r="W269" s="100"/>
      <c r="X269" s="100"/>
      <c r="Y269" s="100"/>
      <c r="Z269" s="100"/>
    </row>
    <row r="270" spans="1:26" x14ac:dyDescent="0.25">
      <c r="A270" s="96">
        <v>267</v>
      </c>
      <c r="B270" s="15">
        <v>210482</v>
      </c>
      <c r="C270" s="15">
        <v>2022</v>
      </c>
      <c r="D270" s="15">
        <f t="shared" si="4"/>
        <v>6</v>
      </c>
      <c r="E270" s="16">
        <v>44435</v>
      </c>
      <c r="F270" s="24">
        <v>44732</v>
      </c>
      <c r="G270" s="14" t="s">
        <v>972</v>
      </c>
      <c r="H270" s="98" t="s">
        <v>973</v>
      </c>
      <c r="I270" s="20" t="s">
        <v>63</v>
      </c>
      <c r="J270" s="99">
        <v>43</v>
      </c>
      <c r="K270" s="17" t="s">
        <v>1116</v>
      </c>
      <c r="L270" s="17" t="s">
        <v>31</v>
      </c>
      <c r="M270" s="14" t="s">
        <v>516</v>
      </c>
      <c r="N270" s="14" t="s">
        <v>167</v>
      </c>
      <c r="O270" s="17" t="s">
        <v>516</v>
      </c>
      <c r="P270" s="17" t="s">
        <v>28</v>
      </c>
      <c r="Q270" s="17" t="s">
        <v>29</v>
      </c>
      <c r="R270" s="17" t="s">
        <v>30</v>
      </c>
      <c r="S270" s="102">
        <v>4400</v>
      </c>
      <c r="T270" s="20" t="s">
        <v>31</v>
      </c>
      <c r="U270" s="96"/>
      <c r="V270" s="100"/>
      <c r="W270" s="100"/>
      <c r="X270" s="100"/>
      <c r="Y270" s="100"/>
      <c r="Z270" s="100"/>
    </row>
    <row r="271" spans="1:26" x14ac:dyDescent="0.25">
      <c r="A271" s="96">
        <v>268</v>
      </c>
      <c r="B271" s="15">
        <v>210483</v>
      </c>
      <c r="C271" s="15">
        <v>2022</v>
      </c>
      <c r="D271" s="15">
        <f t="shared" si="4"/>
        <v>6</v>
      </c>
      <c r="E271" s="16">
        <v>44334</v>
      </c>
      <c r="F271" s="24">
        <v>44732</v>
      </c>
      <c r="G271" s="14" t="s">
        <v>974</v>
      </c>
      <c r="H271" s="98" t="s">
        <v>975</v>
      </c>
      <c r="I271" s="20" t="s">
        <v>24</v>
      </c>
      <c r="J271" s="99">
        <v>31</v>
      </c>
      <c r="K271" s="17" t="s">
        <v>1116</v>
      </c>
      <c r="L271" s="17" t="s">
        <v>31</v>
      </c>
      <c r="M271" s="14" t="s">
        <v>516</v>
      </c>
      <c r="N271" s="14" t="s">
        <v>167</v>
      </c>
      <c r="O271" s="17" t="s">
        <v>516</v>
      </c>
      <c r="P271" s="17" t="s">
        <v>28</v>
      </c>
      <c r="Q271" s="17" t="s">
        <v>29</v>
      </c>
      <c r="R271" s="17" t="s">
        <v>30</v>
      </c>
      <c r="S271" s="102">
        <v>4400</v>
      </c>
      <c r="T271" s="20" t="s">
        <v>31</v>
      </c>
      <c r="U271" s="96"/>
      <c r="V271" s="100"/>
      <c r="W271" s="100"/>
      <c r="X271" s="100"/>
      <c r="Y271" s="100"/>
      <c r="Z271" s="100"/>
    </row>
    <row r="272" spans="1:26" x14ac:dyDescent="0.25">
      <c r="A272" s="96">
        <v>269</v>
      </c>
      <c r="B272" s="15">
        <v>210484</v>
      </c>
      <c r="C272" s="15">
        <v>2022</v>
      </c>
      <c r="D272" s="15">
        <f t="shared" si="4"/>
        <v>7</v>
      </c>
      <c r="E272" s="16">
        <v>44406</v>
      </c>
      <c r="F272" s="24">
        <v>44762</v>
      </c>
      <c r="G272" s="14" t="s">
        <v>976</v>
      </c>
      <c r="H272" s="98" t="s">
        <v>977</v>
      </c>
      <c r="I272" s="20" t="s">
        <v>24</v>
      </c>
      <c r="J272" s="99">
        <v>44</v>
      </c>
      <c r="K272" s="17" t="s">
        <v>1116</v>
      </c>
      <c r="L272" s="17" t="s">
        <v>31</v>
      </c>
      <c r="M272" s="14" t="s">
        <v>666</v>
      </c>
      <c r="N272" s="14" t="s">
        <v>26</v>
      </c>
      <c r="O272" s="17" t="s">
        <v>759</v>
      </c>
      <c r="P272" s="17" t="s">
        <v>28</v>
      </c>
      <c r="Q272" s="17" t="s">
        <v>29</v>
      </c>
      <c r="R272" s="17" t="s">
        <v>30</v>
      </c>
      <c r="S272" s="102">
        <v>4400</v>
      </c>
      <c r="T272" s="20" t="s">
        <v>31</v>
      </c>
      <c r="U272" s="96"/>
      <c r="V272" s="100"/>
      <c r="W272" s="100"/>
      <c r="X272" s="100"/>
      <c r="Y272" s="100"/>
      <c r="Z272" s="100"/>
    </row>
    <row r="273" spans="1:26" x14ac:dyDescent="0.25">
      <c r="A273" s="96">
        <v>270</v>
      </c>
      <c r="B273" s="15">
        <v>210485</v>
      </c>
      <c r="C273" s="15">
        <v>2022</v>
      </c>
      <c r="D273" s="15">
        <f t="shared" si="4"/>
        <v>2</v>
      </c>
      <c r="E273" s="16">
        <v>44452</v>
      </c>
      <c r="F273" s="24">
        <v>44607</v>
      </c>
      <c r="G273" s="14" t="s">
        <v>978</v>
      </c>
      <c r="H273" s="98" t="s">
        <v>979</v>
      </c>
      <c r="I273" s="20" t="s">
        <v>24</v>
      </c>
      <c r="J273" s="99">
        <v>56</v>
      </c>
      <c r="K273" s="17" t="s">
        <v>1116</v>
      </c>
      <c r="L273" s="17" t="s">
        <v>31</v>
      </c>
      <c r="M273" s="14" t="s">
        <v>261</v>
      </c>
      <c r="N273" s="14" t="s">
        <v>261</v>
      </c>
      <c r="O273" s="17" t="s">
        <v>980</v>
      </c>
      <c r="P273" s="17" t="s">
        <v>28</v>
      </c>
      <c r="Q273" s="17" t="s">
        <v>29</v>
      </c>
      <c r="R273" s="17" t="s">
        <v>30</v>
      </c>
      <c r="S273" s="102">
        <v>2880</v>
      </c>
      <c r="T273" s="20" t="s">
        <v>31</v>
      </c>
      <c r="U273" s="96"/>
      <c r="V273" s="100"/>
      <c r="W273" s="100"/>
      <c r="X273" s="100"/>
      <c r="Y273" s="100"/>
      <c r="Z273" s="100"/>
    </row>
    <row r="274" spans="1:26" x14ac:dyDescent="0.25">
      <c r="A274" s="96">
        <v>271</v>
      </c>
      <c r="B274" s="15">
        <v>210492</v>
      </c>
      <c r="C274" s="15">
        <v>2022</v>
      </c>
      <c r="D274" s="15">
        <f t="shared" si="4"/>
        <v>2</v>
      </c>
      <c r="E274" s="16">
        <v>44529</v>
      </c>
      <c r="F274" s="24">
        <v>44613</v>
      </c>
      <c r="G274" s="14" t="s">
        <v>981</v>
      </c>
      <c r="H274" s="98" t="s">
        <v>982</v>
      </c>
      <c r="I274" s="20" t="s">
        <v>24</v>
      </c>
      <c r="J274" s="99">
        <v>61</v>
      </c>
      <c r="K274" s="17" t="s">
        <v>1115</v>
      </c>
      <c r="L274" s="17" t="s">
        <v>1118</v>
      </c>
      <c r="M274" s="14" t="s">
        <v>318</v>
      </c>
      <c r="N274" s="14" t="s">
        <v>36</v>
      </c>
      <c r="O274" s="17" t="s">
        <v>983</v>
      </c>
      <c r="P274" s="17" t="s">
        <v>56</v>
      </c>
      <c r="Q274" s="17" t="s">
        <v>29</v>
      </c>
      <c r="R274" s="17" t="s">
        <v>320</v>
      </c>
      <c r="S274" s="102">
        <v>3000</v>
      </c>
      <c r="T274" s="20" t="s">
        <v>39</v>
      </c>
      <c r="U274" s="96"/>
      <c r="V274" s="100"/>
      <c r="W274" s="100"/>
      <c r="X274" s="100"/>
      <c r="Y274" s="100"/>
      <c r="Z274" s="100"/>
    </row>
    <row r="275" spans="1:26" x14ac:dyDescent="0.25">
      <c r="A275" s="96">
        <v>272</v>
      </c>
      <c r="B275" s="15">
        <v>210493</v>
      </c>
      <c r="C275" s="15">
        <v>2022</v>
      </c>
      <c r="D275" s="15">
        <f t="shared" si="4"/>
        <v>1</v>
      </c>
      <c r="E275" s="16">
        <v>44454</v>
      </c>
      <c r="F275" s="24">
        <v>44587</v>
      </c>
      <c r="G275" s="14" t="s">
        <v>984</v>
      </c>
      <c r="H275" s="98" t="s">
        <v>985</v>
      </c>
      <c r="I275" s="20" t="s">
        <v>24</v>
      </c>
      <c r="J275" s="99">
        <v>29</v>
      </c>
      <c r="K275" s="17" t="s">
        <v>1115</v>
      </c>
      <c r="L275" s="17" t="s">
        <v>1118</v>
      </c>
      <c r="M275" s="14" t="s">
        <v>127</v>
      </c>
      <c r="N275" s="14" t="s">
        <v>36</v>
      </c>
      <c r="O275" s="17" t="s">
        <v>986</v>
      </c>
      <c r="P275" s="17" t="s">
        <v>383</v>
      </c>
      <c r="Q275" s="17" t="s">
        <v>29</v>
      </c>
      <c r="R275" s="17" t="s">
        <v>987</v>
      </c>
      <c r="S275" s="102">
        <v>5000</v>
      </c>
      <c r="T275" s="20" t="s">
        <v>58</v>
      </c>
      <c r="U275" s="96"/>
      <c r="V275" s="100"/>
      <c r="W275" s="100"/>
      <c r="X275" s="100"/>
      <c r="Y275" s="100"/>
      <c r="Z275" s="100"/>
    </row>
    <row r="276" spans="1:26" x14ac:dyDescent="0.25">
      <c r="A276" s="96">
        <v>273</v>
      </c>
      <c r="B276" s="15">
        <v>210494</v>
      </c>
      <c r="C276" s="15">
        <v>2022</v>
      </c>
      <c r="D276" s="15">
        <f t="shared" si="4"/>
        <v>4</v>
      </c>
      <c r="E276" s="16">
        <v>44501</v>
      </c>
      <c r="F276" s="24">
        <v>44664</v>
      </c>
      <c r="G276" s="14" t="s">
        <v>988</v>
      </c>
      <c r="H276" s="98" t="s">
        <v>989</v>
      </c>
      <c r="I276" s="20" t="s">
        <v>24</v>
      </c>
      <c r="J276" s="99">
        <v>44</v>
      </c>
      <c r="K276" s="17" t="s">
        <v>1115</v>
      </c>
      <c r="L276" s="17" t="s">
        <v>1118</v>
      </c>
      <c r="M276" s="14" t="s">
        <v>261</v>
      </c>
      <c r="N276" s="14" t="s">
        <v>261</v>
      </c>
      <c r="O276" s="17" t="s">
        <v>292</v>
      </c>
      <c r="P276" s="17" t="s">
        <v>990</v>
      </c>
      <c r="Q276" s="17" t="s">
        <v>29</v>
      </c>
      <c r="R276" s="17" t="s">
        <v>991</v>
      </c>
      <c r="S276" s="102">
        <v>14000</v>
      </c>
      <c r="T276" s="20" t="s">
        <v>992</v>
      </c>
      <c r="U276" s="96"/>
      <c r="V276" s="100"/>
      <c r="W276" s="100"/>
      <c r="X276" s="100"/>
      <c r="Y276" s="100"/>
      <c r="Z276" s="100"/>
    </row>
    <row r="277" spans="1:26" x14ac:dyDescent="0.25">
      <c r="A277" s="96">
        <v>274</v>
      </c>
      <c r="B277" s="15">
        <v>210499</v>
      </c>
      <c r="C277" s="15">
        <v>2022</v>
      </c>
      <c r="D277" s="15">
        <f t="shared" si="4"/>
        <v>2</v>
      </c>
      <c r="E277" s="16">
        <v>44535</v>
      </c>
      <c r="F277" s="24">
        <v>44595</v>
      </c>
      <c r="G277" s="14" t="s">
        <v>993</v>
      </c>
      <c r="H277" s="98" t="s">
        <v>994</v>
      </c>
      <c r="I277" s="20" t="s">
        <v>24</v>
      </c>
      <c r="J277" s="99">
        <v>88</v>
      </c>
      <c r="K277" s="17" t="s">
        <v>1115</v>
      </c>
      <c r="L277" s="17" t="s">
        <v>1118</v>
      </c>
      <c r="M277" s="14" t="s">
        <v>123</v>
      </c>
      <c r="N277" s="14" t="s">
        <v>123</v>
      </c>
      <c r="O277" s="17" t="s">
        <v>434</v>
      </c>
      <c r="P277" s="17" t="s">
        <v>56</v>
      </c>
      <c r="Q277" s="17" t="s">
        <v>29</v>
      </c>
      <c r="R277" s="17" t="s">
        <v>995</v>
      </c>
      <c r="S277" s="102">
        <v>12000</v>
      </c>
      <c r="T277" s="20" t="s">
        <v>58</v>
      </c>
      <c r="U277" s="96" t="s">
        <v>58</v>
      </c>
      <c r="V277" s="100"/>
      <c r="W277" s="100"/>
      <c r="X277" s="100"/>
      <c r="Y277" s="100"/>
      <c r="Z277" s="100"/>
    </row>
    <row r="278" spans="1:26" x14ac:dyDescent="0.25">
      <c r="A278" s="96">
        <v>275</v>
      </c>
      <c r="B278" s="15">
        <v>210501</v>
      </c>
      <c r="C278" s="15">
        <v>2022</v>
      </c>
      <c r="D278" s="15">
        <f t="shared" si="4"/>
        <v>6</v>
      </c>
      <c r="E278" s="16">
        <v>44536</v>
      </c>
      <c r="F278" s="24">
        <v>44715</v>
      </c>
      <c r="G278" s="14" t="s">
        <v>996</v>
      </c>
      <c r="H278" s="98" t="s">
        <v>997</v>
      </c>
      <c r="I278" s="20" t="s">
        <v>24</v>
      </c>
      <c r="J278" s="99">
        <v>29</v>
      </c>
      <c r="K278" s="17" t="s">
        <v>1115</v>
      </c>
      <c r="L278" s="17" t="s">
        <v>1118</v>
      </c>
      <c r="M278" s="14" t="s">
        <v>318</v>
      </c>
      <c r="N278" s="14" t="s">
        <v>36</v>
      </c>
      <c r="O278" s="17" t="s">
        <v>318</v>
      </c>
      <c r="P278" s="17" t="s">
        <v>161</v>
      </c>
      <c r="Q278" s="17" t="s">
        <v>29</v>
      </c>
      <c r="R278" s="17" t="s">
        <v>320</v>
      </c>
      <c r="S278" s="102">
        <v>4500</v>
      </c>
      <c r="T278" s="20" t="s">
        <v>46</v>
      </c>
      <c r="U278" s="96" t="s">
        <v>46</v>
      </c>
      <c r="V278" s="100"/>
      <c r="W278" s="100"/>
      <c r="X278" s="100"/>
      <c r="Y278" s="100"/>
      <c r="Z278" s="100"/>
    </row>
    <row r="279" spans="1:26" x14ac:dyDescent="0.25">
      <c r="A279" s="96">
        <v>276</v>
      </c>
      <c r="B279" s="15">
        <v>210504</v>
      </c>
      <c r="C279" s="15">
        <v>2022</v>
      </c>
      <c r="D279" s="15">
        <f t="shared" si="4"/>
        <v>12</v>
      </c>
      <c r="E279" s="16">
        <v>44534</v>
      </c>
      <c r="F279" s="24">
        <v>44902</v>
      </c>
      <c r="G279" s="14" t="s">
        <v>998</v>
      </c>
      <c r="H279" s="98" t="s">
        <v>999</v>
      </c>
      <c r="I279" s="20" t="s">
        <v>24</v>
      </c>
      <c r="J279" s="99">
        <v>42</v>
      </c>
      <c r="K279" s="17" t="s">
        <v>1115</v>
      </c>
      <c r="L279" s="17" t="s">
        <v>1118</v>
      </c>
      <c r="M279" s="14" t="s">
        <v>577</v>
      </c>
      <c r="N279" s="14" t="s">
        <v>577</v>
      </c>
      <c r="O279" s="17" t="s">
        <v>1000</v>
      </c>
      <c r="P279" s="17" t="s">
        <v>161</v>
      </c>
      <c r="Q279" s="17" t="s">
        <v>29</v>
      </c>
      <c r="R279" s="17" t="s">
        <v>1001</v>
      </c>
      <c r="S279" s="102">
        <v>22000</v>
      </c>
      <c r="T279" s="20" t="s">
        <v>39</v>
      </c>
      <c r="U279" s="96" t="s">
        <v>39</v>
      </c>
      <c r="V279" s="100"/>
      <c r="W279" s="100"/>
      <c r="X279" s="100"/>
      <c r="Y279" s="100"/>
      <c r="Z279" s="100"/>
    </row>
    <row r="280" spans="1:26" x14ac:dyDescent="0.25">
      <c r="A280" s="96">
        <v>277</v>
      </c>
      <c r="B280" s="15">
        <v>210508</v>
      </c>
      <c r="C280" s="15">
        <v>2022</v>
      </c>
      <c r="D280" s="15">
        <f t="shared" si="4"/>
        <v>1</v>
      </c>
      <c r="E280" s="16">
        <v>44488</v>
      </c>
      <c r="F280" s="24">
        <v>44587</v>
      </c>
      <c r="G280" s="14" t="s">
        <v>1002</v>
      </c>
      <c r="H280" s="98" t="s">
        <v>1003</v>
      </c>
      <c r="I280" s="20" t="s">
        <v>63</v>
      </c>
      <c r="J280" s="99">
        <v>75</v>
      </c>
      <c r="K280" s="17" t="s">
        <v>1116</v>
      </c>
      <c r="L280" s="17" t="s">
        <v>31</v>
      </c>
      <c r="M280" s="14" t="s">
        <v>706</v>
      </c>
      <c r="N280" s="14" t="s">
        <v>706</v>
      </c>
      <c r="O280" s="17" t="s">
        <v>917</v>
      </c>
      <c r="P280" s="17" t="s">
        <v>28</v>
      </c>
      <c r="Q280" s="17" t="s">
        <v>29</v>
      </c>
      <c r="R280" s="17" t="s">
        <v>30</v>
      </c>
      <c r="S280" s="102">
        <v>4400</v>
      </c>
      <c r="T280" s="20" t="s">
        <v>31</v>
      </c>
      <c r="U280" s="96" t="s">
        <v>31</v>
      </c>
      <c r="V280" s="100"/>
      <c r="W280" s="100"/>
      <c r="X280" s="100"/>
      <c r="Y280" s="100"/>
      <c r="Z280" s="100"/>
    </row>
    <row r="281" spans="1:26" x14ac:dyDescent="0.25">
      <c r="A281" s="96">
        <v>278</v>
      </c>
      <c r="B281" s="15">
        <v>210512</v>
      </c>
      <c r="C281" s="15">
        <v>2022</v>
      </c>
      <c r="D281" s="15">
        <f t="shared" si="4"/>
        <v>4</v>
      </c>
      <c r="E281" s="16">
        <v>44467</v>
      </c>
      <c r="F281" s="24">
        <v>44678</v>
      </c>
      <c r="G281" s="14" t="s">
        <v>1004</v>
      </c>
      <c r="H281" s="98" t="s">
        <v>1005</v>
      </c>
      <c r="I281" s="20" t="s">
        <v>24</v>
      </c>
      <c r="J281" s="99">
        <v>42</v>
      </c>
      <c r="K281" s="17" t="s">
        <v>1116</v>
      </c>
      <c r="L281" s="17" t="s">
        <v>31</v>
      </c>
      <c r="M281" s="14" t="s">
        <v>666</v>
      </c>
      <c r="N281" s="14" t="s">
        <v>26</v>
      </c>
      <c r="O281" s="17" t="s">
        <v>759</v>
      </c>
      <c r="P281" s="17" t="s">
        <v>28</v>
      </c>
      <c r="Q281" s="17" t="s">
        <v>29</v>
      </c>
      <c r="R281" s="17" t="s">
        <v>30</v>
      </c>
      <c r="S281" s="102">
        <v>4400</v>
      </c>
      <c r="T281" s="20" t="s">
        <v>31</v>
      </c>
      <c r="U281" s="96" t="s">
        <v>31</v>
      </c>
      <c r="V281" s="100"/>
      <c r="W281" s="100"/>
      <c r="X281" s="100"/>
      <c r="Y281" s="100"/>
      <c r="Z281" s="100"/>
    </row>
    <row r="282" spans="1:26" x14ac:dyDescent="0.25">
      <c r="A282" s="96">
        <v>279</v>
      </c>
      <c r="B282" s="15">
        <v>210514</v>
      </c>
      <c r="C282" s="15">
        <v>2022</v>
      </c>
      <c r="D282" s="15">
        <f t="shared" si="4"/>
        <v>4</v>
      </c>
      <c r="E282" s="16">
        <v>44542</v>
      </c>
      <c r="F282" s="24">
        <v>44677</v>
      </c>
      <c r="G282" s="14" t="s">
        <v>1006</v>
      </c>
      <c r="H282" s="98" t="s">
        <v>1007</v>
      </c>
      <c r="I282" s="20" t="s">
        <v>63</v>
      </c>
      <c r="J282" s="99">
        <v>50</v>
      </c>
      <c r="K282" s="17" t="s">
        <v>1115</v>
      </c>
      <c r="L282" s="17" t="s">
        <v>1118</v>
      </c>
      <c r="M282" s="14" t="s">
        <v>276</v>
      </c>
      <c r="N282" s="14" t="s">
        <v>36</v>
      </c>
      <c r="O282" s="17" t="s">
        <v>1008</v>
      </c>
      <c r="P282" s="17" t="s">
        <v>28</v>
      </c>
      <c r="Q282" s="17" t="s">
        <v>29</v>
      </c>
      <c r="R282" s="17" t="s">
        <v>320</v>
      </c>
      <c r="S282" s="102">
        <v>5500</v>
      </c>
      <c r="T282" s="20" t="s">
        <v>58</v>
      </c>
      <c r="U282" s="96" t="s">
        <v>226</v>
      </c>
      <c r="V282" s="100"/>
      <c r="W282" s="100"/>
      <c r="X282" s="100"/>
      <c r="Y282" s="100"/>
      <c r="Z282" s="100"/>
    </row>
    <row r="283" spans="1:26" x14ac:dyDescent="0.25">
      <c r="A283" s="96">
        <v>280</v>
      </c>
      <c r="B283" s="15">
        <v>210517</v>
      </c>
      <c r="C283" s="15">
        <v>2022</v>
      </c>
      <c r="D283" s="15">
        <f t="shared" si="4"/>
        <v>1</v>
      </c>
      <c r="E283" s="16">
        <v>44527</v>
      </c>
      <c r="F283" s="24">
        <v>44589</v>
      </c>
      <c r="G283" s="14" t="s">
        <v>1009</v>
      </c>
      <c r="H283" s="98" t="s">
        <v>1010</v>
      </c>
      <c r="I283" s="20" t="s">
        <v>24</v>
      </c>
      <c r="J283" s="99">
        <v>56</v>
      </c>
      <c r="K283" s="17" t="s">
        <v>1116</v>
      </c>
      <c r="L283" s="17" t="s">
        <v>31</v>
      </c>
      <c r="M283" s="14" t="s">
        <v>36</v>
      </c>
      <c r="N283" s="14" t="s">
        <v>36</v>
      </c>
      <c r="O283" s="17" t="s">
        <v>1011</v>
      </c>
      <c r="P283" s="17" t="s">
        <v>28</v>
      </c>
      <c r="Q283" s="17" t="s">
        <v>29</v>
      </c>
      <c r="R283" s="17" t="s">
        <v>30</v>
      </c>
      <c r="S283" s="102">
        <v>3090.02</v>
      </c>
      <c r="T283" s="20" t="s">
        <v>31</v>
      </c>
      <c r="U283" s="96" t="s">
        <v>31</v>
      </c>
      <c r="V283" s="100"/>
      <c r="W283" s="100"/>
      <c r="X283" s="100"/>
      <c r="Y283" s="100"/>
      <c r="Z283" s="100"/>
    </row>
    <row r="284" spans="1:26" x14ac:dyDescent="0.25">
      <c r="A284" s="96">
        <v>281</v>
      </c>
      <c r="B284" s="15">
        <v>210518</v>
      </c>
      <c r="C284" s="15">
        <v>2022</v>
      </c>
      <c r="D284" s="15">
        <f t="shared" si="4"/>
        <v>2</v>
      </c>
      <c r="E284" s="16">
        <v>44539</v>
      </c>
      <c r="F284" s="24">
        <v>44593</v>
      </c>
      <c r="G284" s="14" t="s">
        <v>1012</v>
      </c>
      <c r="H284" s="98" t="s">
        <v>1013</v>
      </c>
      <c r="I284" s="20" t="s">
        <v>24</v>
      </c>
      <c r="J284" s="99">
        <v>14</v>
      </c>
      <c r="K284" s="17" t="s">
        <v>1115</v>
      </c>
      <c r="L284" s="17" t="s">
        <v>1118</v>
      </c>
      <c r="M284" s="14" t="s">
        <v>577</v>
      </c>
      <c r="N284" s="14" t="s">
        <v>577</v>
      </c>
      <c r="O284" s="17" t="s">
        <v>1014</v>
      </c>
      <c r="P284" s="17" t="s">
        <v>28</v>
      </c>
      <c r="Q284" s="17" t="s">
        <v>29</v>
      </c>
      <c r="R284" s="17" t="s">
        <v>1015</v>
      </c>
      <c r="S284" s="102">
        <v>4000</v>
      </c>
      <c r="T284" s="20" t="s">
        <v>58</v>
      </c>
      <c r="U284" s="96" t="s">
        <v>1016</v>
      </c>
      <c r="V284" s="100"/>
      <c r="W284" s="100"/>
      <c r="X284" s="100"/>
      <c r="Y284" s="100"/>
      <c r="Z284" s="100"/>
    </row>
    <row r="285" spans="1:26" x14ac:dyDescent="0.25">
      <c r="A285" s="96">
        <v>282</v>
      </c>
      <c r="B285" s="15">
        <v>210519</v>
      </c>
      <c r="C285" s="15">
        <v>2022</v>
      </c>
      <c r="D285" s="15">
        <f t="shared" si="4"/>
        <v>2</v>
      </c>
      <c r="E285" s="16">
        <v>44535</v>
      </c>
      <c r="F285" s="24">
        <v>44595</v>
      </c>
      <c r="G285" s="14" t="s">
        <v>1017</v>
      </c>
      <c r="H285" s="98" t="s">
        <v>1018</v>
      </c>
      <c r="I285" s="20" t="s">
        <v>63</v>
      </c>
      <c r="J285" s="99">
        <v>26</v>
      </c>
      <c r="K285" s="17" t="s">
        <v>1115</v>
      </c>
      <c r="L285" s="17" t="s">
        <v>1118</v>
      </c>
      <c r="M285" s="14" t="s">
        <v>261</v>
      </c>
      <c r="N285" s="14" t="s">
        <v>261</v>
      </c>
      <c r="O285" s="17" t="s">
        <v>118</v>
      </c>
      <c r="P285" s="17" t="s">
        <v>56</v>
      </c>
      <c r="Q285" s="17" t="s">
        <v>29</v>
      </c>
      <c r="R285" s="17" t="s">
        <v>119</v>
      </c>
      <c r="S285" s="102">
        <v>128.08000000000001</v>
      </c>
      <c r="T285" s="20" t="s">
        <v>97</v>
      </c>
      <c r="U285" s="96" t="s">
        <v>1019</v>
      </c>
      <c r="V285" s="100"/>
      <c r="W285" s="100"/>
      <c r="X285" s="100"/>
      <c r="Y285" s="100"/>
      <c r="Z285" s="100"/>
    </row>
    <row r="286" spans="1:26" x14ac:dyDescent="0.25">
      <c r="A286" s="96">
        <v>283</v>
      </c>
      <c r="B286" s="15">
        <v>210522</v>
      </c>
      <c r="C286" s="15">
        <v>2022</v>
      </c>
      <c r="D286" s="15">
        <f t="shared" si="4"/>
        <v>2</v>
      </c>
      <c r="E286" s="16">
        <v>44504</v>
      </c>
      <c r="F286" s="24">
        <v>44609</v>
      </c>
      <c r="G286" s="14" t="s">
        <v>1020</v>
      </c>
      <c r="H286" s="98" t="s">
        <v>1021</v>
      </c>
      <c r="I286" s="20" t="s">
        <v>63</v>
      </c>
      <c r="J286" s="99">
        <v>54</v>
      </c>
      <c r="K286" s="17" t="s">
        <v>1115</v>
      </c>
      <c r="L286" s="17" t="s">
        <v>1118</v>
      </c>
      <c r="M286" s="14" t="s">
        <v>51</v>
      </c>
      <c r="N286" s="14" t="s">
        <v>36</v>
      </c>
      <c r="O286" s="17" t="s">
        <v>36</v>
      </c>
      <c r="P286" s="17" t="s">
        <v>56</v>
      </c>
      <c r="Q286" s="17" t="s">
        <v>29</v>
      </c>
      <c r="R286" s="17" t="s">
        <v>1022</v>
      </c>
      <c r="S286" s="102">
        <v>4000</v>
      </c>
      <c r="T286" s="20" t="s">
        <v>39</v>
      </c>
      <c r="U286" s="96" t="s">
        <v>39</v>
      </c>
      <c r="V286" s="100"/>
      <c r="W286" s="100"/>
      <c r="X286" s="100"/>
      <c r="Y286" s="100"/>
      <c r="Z286" s="100"/>
    </row>
    <row r="287" spans="1:26" x14ac:dyDescent="0.25">
      <c r="A287" s="96">
        <v>284</v>
      </c>
      <c r="B287" s="15">
        <v>210525</v>
      </c>
      <c r="C287" s="15">
        <v>2022</v>
      </c>
      <c r="D287" s="15">
        <f t="shared" si="4"/>
        <v>2</v>
      </c>
      <c r="E287" s="16">
        <v>44521</v>
      </c>
      <c r="F287" s="24">
        <v>44593</v>
      </c>
      <c r="G287" s="14" t="s">
        <v>1023</v>
      </c>
      <c r="H287" s="98" t="s">
        <v>1024</v>
      </c>
      <c r="I287" s="20" t="s">
        <v>24</v>
      </c>
      <c r="J287" s="99">
        <v>66</v>
      </c>
      <c r="K287" s="17" t="s">
        <v>1115</v>
      </c>
      <c r="L287" s="17" t="s">
        <v>1118</v>
      </c>
      <c r="M287" s="14" t="s">
        <v>261</v>
      </c>
      <c r="N287" s="14" t="s">
        <v>261</v>
      </c>
      <c r="O287" s="17" t="s">
        <v>1025</v>
      </c>
      <c r="P287" s="17" t="s">
        <v>56</v>
      </c>
      <c r="Q287" s="17" t="s">
        <v>29</v>
      </c>
      <c r="R287" s="17" t="s">
        <v>119</v>
      </c>
      <c r="S287" s="102">
        <v>1000</v>
      </c>
      <c r="T287" s="20" t="s">
        <v>39</v>
      </c>
      <c r="U287" s="96" t="s">
        <v>39</v>
      </c>
      <c r="V287" s="100"/>
      <c r="W287" s="100"/>
      <c r="X287" s="100"/>
      <c r="Y287" s="100"/>
      <c r="Z287" s="100"/>
    </row>
    <row r="288" spans="1:26" x14ac:dyDescent="0.25">
      <c r="A288" s="96">
        <v>285</v>
      </c>
      <c r="B288" s="15">
        <v>210526</v>
      </c>
      <c r="C288" s="15">
        <v>2022</v>
      </c>
      <c r="D288" s="15">
        <f t="shared" si="4"/>
        <v>1</v>
      </c>
      <c r="E288" s="16">
        <v>44526</v>
      </c>
      <c r="F288" s="24">
        <v>44586</v>
      </c>
      <c r="G288" s="14" t="s">
        <v>1026</v>
      </c>
      <c r="H288" s="98" t="s">
        <v>1027</v>
      </c>
      <c r="I288" s="20" t="s">
        <v>24</v>
      </c>
      <c r="J288" s="99">
        <v>29</v>
      </c>
      <c r="K288" s="17" t="s">
        <v>1116</v>
      </c>
      <c r="L288" s="17" t="s">
        <v>31</v>
      </c>
      <c r="M288" s="14" t="s">
        <v>167</v>
      </c>
      <c r="N288" s="14" t="s">
        <v>167</v>
      </c>
      <c r="O288" s="17" t="s">
        <v>168</v>
      </c>
      <c r="P288" s="17" t="s">
        <v>28</v>
      </c>
      <c r="Q288" s="17" t="s">
        <v>29</v>
      </c>
      <c r="R288" s="17" t="s">
        <v>30</v>
      </c>
      <c r="S288" s="102">
        <v>4400</v>
      </c>
      <c r="T288" s="20" t="s">
        <v>31</v>
      </c>
      <c r="U288" s="96" t="s">
        <v>31</v>
      </c>
      <c r="V288" s="100"/>
      <c r="W288" s="100"/>
      <c r="X288" s="100"/>
      <c r="Y288" s="100"/>
      <c r="Z288" s="100"/>
    </row>
    <row r="289" spans="1:26" x14ac:dyDescent="0.25">
      <c r="A289" s="96">
        <v>286</v>
      </c>
      <c r="B289" s="15">
        <v>210531</v>
      </c>
      <c r="C289" s="15">
        <v>2022</v>
      </c>
      <c r="D289" s="15">
        <f t="shared" si="4"/>
        <v>2</v>
      </c>
      <c r="E289" s="16">
        <v>44547</v>
      </c>
      <c r="F289" s="24">
        <v>44595</v>
      </c>
      <c r="G289" s="14" t="s">
        <v>1028</v>
      </c>
      <c r="H289" s="98" t="s">
        <v>1029</v>
      </c>
      <c r="I289" s="20" t="s">
        <v>63</v>
      </c>
      <c r="J289" s="99">
        <v>13</v>
      </c>
      <c r="K289" s="17" t="s">
        <v>1115</v>
      </c>
      <c r="L289" s="17" t="s">
        <v>1118</v>
      </c>
      <c r="M289" s="14" t="s">
        <v>36</v>
      </c>
      <c r="N289" s="14" t="s">
        <v>36</v>
      </c>
      <c r="O289" s="17" t="s">
        <v>1030</v>
      </c>
      <c r="P289" s="17" t="s">
        <v>56</v>
      </c>
      <c r="Q289" s="17" t="s">
        <v>29</v>
      </c>
      <c r="R289" s="17" t="s">
        <v>251</v>
      </c>
      <c r="S289" s="102">
        <v>6000</v>
      </c>
      <c r="T289" s="20" t="s">
        <v>39</v>
      </c>
      <c r="U289" s="96" t="s">
        <v>39</v>
      </c>
      <c r="V289" s="100"/>
      <c r="W289" s="100"/>
      <c r="X289" s="100"/>
      <c r="Y289" s="100"/>
      <c r="Z289" s="100"/>
    </row>
    <row r="290" spans="1:26" x14ac:dyDescent="0.25">
      <c r="A290" s="96">
        <v>287</v>
      </c>
      <c r="B290" s="15">
        <v>210538</v>
      </c>
      <c r="C290" s="15">
        <v>2022</v>
      </c>
      <c r="D290" s="15">
        <f t="shared" si="4"/>
        <v>2</v>
      </c>
      <c r="E290" s="16">
        <v>44545</v>
      </c>
      <c r="F290" s="24">
        <v>44602</v>
      </c>
      <c r="G290" s="14" t="s">
        <v>1031</v>
      </c>
      <c r="H290" s="98" t="s">
        <v>1032</v>
      </c>
      <c r="I290" s="20" t="s">
        <v>24</v>
      </c>
      <c r="J290" s="99">
        <v>48</v>
      </c>
      <c r="K290" s="17" t="s">
        <v>1115</v>
      </c>
      <c r="L290" s="17" t="s">
        <v>1118</v>
      </c>
      <c r="M290" s="14" t="s">
        <v>616</v>
      </c>
      <c r="N290" s="14" t="s">
        <v>36</v>
      </c>
      <c r="O290" s="104" t="s">
        <v>616</v>
      </c>
      <c r="P290" s="17" t="s">
        <v>56</v>
      </c>
      <c r="Q290" s="17" t="s">
        <v>29</v>
      </c>
      <c r="R290" s="17" t="s">
        <v>251</v>
      </c>
      <c r="S290" s="103">
        <v>4000</v>
      </c>
      <c r="T290" s="104" t="s">
        <v>58</v>
      </c>
      <c r="U290" s="96" t="s">
        <v>1033</v>
      </c>
      <c r="V290" s="100"/>
      <c r="W290" s="100"/>
      <c r="X290" s="100"/>
      <c r="Y290" s="100"/>
      <c r="Z290" s="100"/>
    </row>
    <row r="291" spans="1:26" x14ac:dyDescent="0.25">
      <c r="A291" s="96">
        <v>288</v>
      </c>
      <c r="B291" s="15">
        <v>210542</v>
      </c>
      <c r="C291" s="15">
        <v>2022</v>
      </c>
      <c r="D291" s="15">
        <f t="shared" si="4"/>
        <v>3</v>
      </c>
      <c r="E291" s="16">
        <v>44555</v>
      </c>
      <c r="F291" s="24">
        <v>44643</v>
      </c>
      <c r="G291" s="14" t="s">
        <v>1034</v>
      </c>
      <c r="H291" s="98" t="s">
        <v>1035</v>
      </c>
      <c r="I291" s="20" t="s">
        <v>24</v>
      </c>
      <c r="J291" s="99">
        <v>56</v>
      </c>
      <c r="K291" s="17" t="s">
        <v>1115</v>
      </c>
      <c r="L291" s="17" t="s">
        <v>1118</v>
      </c>
      <c r="M291" s="14" t="s">
        <v>26</v>
      </c>
      <c r="N291" s="14" t="s">
        <v>26</v>
      </c>
      <c r="O291" s="104" t="s">
        <v>413</v>
      </c>
      <c r="P291" s="17" t="s">
        <v>176</v>
      </c>
      <c r="Q291" s="17" t="s">
        <v>29</v>
      </c>
      <c r="R291" s="17" t="s">
        <v>301</v>
      </c>
      <c r="S291" s="103">
        <v>5000</v>
      </c>
      <c r="T291" s="104" t="s">
        <v>58</v>
      </c>
      <c r="U291" s="96" t="s">
        <v>58</v>
      </c>
      <c r="V291" s="100"/>
      <c r="W291" s="100"/>
      <c r="X291" s="100"/>
      <c r="Y291" s="100"/>
      <c r="Z291" s="100"/>
    </row>
    <row r="292" spans="1:26" x14ac:dyDescent="0.25">
      <c r="A292" s="96">
        <v>289</v>
      </c>
      <c r="B292" s="15">
        <v>210543</v>
      </c>
      <c r="C292" s="15">
        <v>2022</v>
      </c>
      <c r="D292" s="15">
        <f t="shared" si="4"/>
        <v>3</v>
      </c>
      <c r="E292" s="16">
        <v>44544</v>
      </c>
      <c r="F292" s="24">
        <v>44621</v>
      </c>
      <c r="G292" s="14" t="s">
        <v>1036</v>
      </c>
      <c r="H292" s="98" t="s">
        <v>1037</v>
      </c>
      <c r="I292" s="20" t="s">
        <v>24</v>
      </c>
      <c r="J292" s="99">
        <v>72</v>
      </c>
      <c r="K292" s="17" t="s">
        <v>1115</v>
      </c>
      <c r="L292" s="17" t="s">
        <v>1118</v>
      </c>
      <c r="M292" s="14" t="s">
        <v>593</v>
      </c>
      <c r="N292" s="14" t="s">
        <v>593</v>
      </c>
      <c r="O292" s="104" t="s">
        <v>593</v>
      </c>
      <c r="P292" s="17" t="s">
        <v>56</v>
      </c>
      <c r="Q292" s="17" t="s">
        <v>29</v>
      </c>
      <c r="R292" s="17" t="s">
        <v>903</v>
      </c>
      <c r="S292" s="103">
        <v>1000</v>
      </c>
      <c r="T292" s="104" t="s">
        <v>39</v>
      </c>
      <c r="U292" s="96" t="s">
        <v>39</v>
      </c>
      <c r="V292" s="100"/>
      <c r="W292" s="100"/>
      <c r="X292" s="100"/>
      <c r="Y292" s="100"/>
      <c r="Z292" s="100"/>
    </row>
    <row r="293" spans="1:26" x14ac:dyDescent="0.25">
      <c r="A293" s="96">
        <v>290</v>
      </c>
      <c r="B293" s="14">
        <v>210546</v>
      </c>
      <c r="C293" s="15">
        <v>2022</v>
      </c>
      <c r="D293" s="15">
        <f t="shared" si="4"/>
        <v>4</v>
      </c>
      <c r="E293" s="16">
        <v>44560</v>
      </c>
      <c r="F293" s="24">
        <v>44659</v>
      </c>
      <c r="G293" s="14" t="s">
        <v>1038</v>
      </c>
      <c r="H293" s="98" t="s">
        <v>1039</v>
      </c>
      <c r="I293" s="20" t="s">
        <v>63</v>
      </c>
      <c r="J293" s="99">
        <v>62</v>
      </c>
      <c r="K293" s="17" t="s">
        <v>1115</v>
      </c>
      <c r="L293" s="17" t="s">
        <v>1118</v>
      </c>
      <c r="M293" s="14" t="s">
        <v>389</v>
      </c>
      <c r="N293" s="14" t="s">
        <v>389</v>
      </c>
      <c r="O293" s="104" t="s">
        <v>1040</v>
      </c>
      <c r="P293" s="17" t="s">
        <v>56</v>
      </c>
      <c r="Q293" s="17" t="s">
        <v>29</v>
      </c>
      <c r="R293" s="17" t="s">
        <v>1041</v>
      </c>
      <c r="S293" s="103">
        <v>3000</v>
      </c>
      <c r="T293" s="104" t="s">
        <v>58</v>
      </c>
      <c r="U293" s="96" t="s">
        <v>1042</v>
      </c>
      <c r="V293" s="100"/>
      <c r="W293" s="100"/>
      <c r="X293" s="100"/>
      <c r="Y293" s="100"/>
      <c r="Z293" s="100"/>
    </row>
    <row r="294" spans="1:26" x14ac:dyDescent="0.25">
      <c r="A294" s="1"/>
      <c r="B294" s="27"/>
      <c r="C294" s="27"/>
      <c r="D294" s="27"/>
      <c r="E294" s="27"/>
      <c r="F294" s="27"/>
      <c r="G294" s="27"/>
      <c r="H294" s="27"/>
      <c r="I294" s="27"/>
      <c r="J294" s="28"/>
      <c r="K294" s="29"/>
      <c r="L294" s="29"/>
      <c r="M294" s="30"/>
      <c r="N294" s="30"/>
      <c r="O294" s="31"/>
      <c r="P294" s="27"/>
      <c r="Q294" s="27"/>
      <c r="R294" s="29"/>
      <c r="S294" s="29"/>
      <c r="T294" s="31"/>
      <c r="U294" s="29"/>
    </row>
    <row r="295" spans="1:26" x14ac:dyDescent="0.25">
      <c r="A295" s="1"/>
      <c r="B295" s="27"/>
      <c r="C295" s="27"/>
      <c r="D295" s="27"/>
      <c r="E295" s="27"/>
      <c r="F295" s="27"/>
      <c r="G295" s="27"/>
      <c r="H295" s="27"/>
      <c r="I295" s="27"/>
      <c r="J295" s="28"/>
      <c r="K295" s="29"/>
      <c r="L295" s="29"/>
      <c r="M295" s="30"/>
      <c r="N295" s="30"/>
      <c r="O295" s="31"/>
      <c r="P295" s="27"/>
      <c r="Q295" s="27"/>
      <c r="R295" s="29"/>
      <c r="S295" s="29"/>
      <c r="T295" s="31"/>
      <c r="U295" s="29"/>
    </row>
    <row r="296" spans="1:26" x14ac:dyDescent="0.25">
      <c r="A296" s="1"/>
      <c r="B296" s="27"/>
      <c r="C296" s="27"/>
      <c r="D296" s="27"/>
      <c r="E296" s="27"/>
      <c r="F296" s="27"/>
      <c r="G296" s="27"/>
      <c r="H296" s="27"/>
      <c r="I296" s="27"/>
      <c r="J296" s="28"/>
      <c r="K296" s="29"/>
      <c r="L296" s="29"/>
      <c r="M296" s="30"/>
      <c r="N296" s="30"/>
      <c r="O296" s="31"/>
      <c r="P296" s="27"/>
      <c r="Q296" s="27"/>
      <c r="R296" s="29"/>
      <c r="S296" s="29"/>
      <c r="T296" s="31"/>
      <c r="U296" s="29"/>
    </row>
    <row r="297" spans="1:26" x14ac:dyDescent="0.25">
      <c r="A297" s="1"/>
      <c r="B297" s="27"/>
      <c r="C297" s="27"/>
      <c r="D297" s="27"/>
      <c r="E297" s="27"/>
      <c r="F297" s="27"/>
      <c r="G297" s="27"/>
      <c r="H297" s="27"/>
      <c r="I297" s="27"/>
      <c r="J297" s="28"/>
      <c r="K297" s="29"/>
      <c r="L297" s="29"/>
      <c r="M297" s="30"/>
      <c r="N297" s="30"/>
      <c r="O297" s="31"/>
      <c r="P297" s="27"/>
      <c r="Q297" s="27"/>
      <c r="R297" s="29"/>
      <c r="S297" s="29"/>
      <c r="T297" s="31"/>
      <c r="U297" s="29"/>
    </row>
    <row r="298" spans="1:26" x14ac:dyDescent="0.25">
      <c r="A298" s="1"/>
      <c r="B298" s="27"/>
      <c r="C298" s="27"/>
      <c r="D298" s="27"/>
      <c r="E298" s="27"/>
      <c r="F298" s="27"/>
      <c r="G298" s="27"/>
      <c r="H298" s="27"/>
      <c r="I298" s="27"/>
      <c r="J298" s="28"/>
      <c r="K298" s="29"/>
      <c r="L298" s="29"/>
      <c r="M298" s="30"/>
      <c r="N298" s="30"/>
      <c r="O298" s="31"/>
      <c r="P298" s="27"/>
      <c r="Q298" s="27"/>
      <c r="R298" s="29"/>
      <c r="S298" s="29"/>
      <c r="T298" s="31"/>
      <c r="U298" s="29"/>
    </row>
    <row r="299" spans="1:26" x14ac:dyDescent="0.25">
      <c r="A299" s="1"/>
      <c r="B299" s="27"/>
      <c r="C299" s="27"/>
      <c r="D299" s="27"/>
      <c r="E299" s="27"/>
      <c r="F299" s="27"/>
      <c r="G299" s="27"/>
      <c r="H299" s="27"/>
      <c r="I299" s="27"/>
      <c r="J299" s="28"/>
      <c r="K299" s="29"/>
      <c r="L299" s="29"/>
      <c r="M299" s="30"/>
      <c r="N299" s="30"/>
      <c r="O299" s="31"/>
      <c r="P299" s="27"/>
      <c r="Q299" s="27"/>
      <c r="R299" s="29"/>
      <c r="S299" s="29"/>
      <c r="T299" s="31"/>
      <c r="U299" s="29"/>
    </row>
    <row r="300" spans="1:26" x14ac:dyDescent="0.25">
      <c r="A300" s="1"/>
      <c r="B300" s="27"/>
      <c r="C300" s="27"/>
      <c r="D300" s="27"/>
      <c r="E300" s="27"/>
      <c r="F300" s="27"/>
      <c r="G300" s="27"/>
      <c r="H300" s="27"/>
      <c r="I300" s="27"/>
      <c r="J300" s="28"/>
      <c r="K300" s="29"/>
      <c r="L300" s="29"/>
      <c r="M300" s="30"/>
      <c r="N300" s="30"/>
      <c r="O300" s="31"/>
      <c r="P300" s="27"/>
      <c r="Q300" s="27"/>
      <c r="R300" s="29"/>
      <c r="S300" s="29"/>
      <c r="T300" s="31"/>
      <c r="U300" s="29"/>
    </row>
    <row r="301" spans="1:26" x14ac:dyDescent="0.25">
      <c r="A301" s="1"/>
      <c r="B301" s="27"/>
      <c r="C301" s="27"/>
      <c r="D301" s="27"/>
      <c r="E301" s="27"/>
      <c r="F301" s="27"/>
      <c r="G301" s="27"/>
      <c r="H301" s="27"/>
      <c r="I301" s="27"/>
      <c r="J301" s="28"/>
      <c r="K301" s="29"/>
      <c r="L301" s="29"/>
      <c r="M301" s="30"/>
      <c r="N301" s="30"/>
      <c r="O301" s="31"/>
      <c r="P301" s="27"/>
      <c r="Q301" s="27"/>
      <c r="R301" s="29"/>
      <c r="S301" s="29"/>
      <c r="T301" s="31"/>
      <c r="U301" s="29"/>
    </row>
    <row r="302" spans="1:26" x14ac:dyDescent="0.25">
      <c r="A302" s="1"/>
      <c r="B302" s="27"/>
      <c r="C302" s="27"/>
      <c r="D302" s="27"/>
      <c r="E302" s="27"/>
      <c r="F302" s="27"/>
      <c r="G302" s="27"/>
      <c r="H302" s="27"/>
      <c r="I302" s="27"/>
      <c r="J302" s="28"/>
      <c r="K302" s="29"/>
      <c r="L302" s="29"/>
      <c r="M302" s="30"/>
      <c r="N302" s="30"/>
      <c r="O302" s="31"/>
      <c r="P302" s="27"/>
      <c r="Q302" s="27"/>
      <c r="R302" s="29"/>
      <c r="S302" s="29"/>
      <c r="T302" s="31"/>
      <c r="U302" s="29"/>
    </row>
    <row r="303" spans="1:26" x14ac:dyDescent="0.25">
      <c r="A303" s="1"/>
      <c r="B303" s="2"/>
      <c r="C303" s="2"/>
      <c r="D303" s="2"/>
      <c r="E303" s="2"/>
      <c r="F303" s="2"/>
      <c r="G303" s="2"/>
      <c r="H303" s="1"/>
      <c r="I303" s="2"/>
      <c r="J303" s="3"/>
      <c r="K303" s="4"/>
      <c r="L303" s="4"/>
      <c r="M303" s="5"/>
      <c r="N303" s="5"/>
      <c r="O303" s="4"/>
      <c r="P303" s="2"/>
      <c r="Q303" s="2"/>
      <c r="R303" s="2"/>
      <c r="S303" s="6"/>
      <c r="T303" s="2"/>
      <c r="U303" s="7"/>
    </row>
    <row r="304" spans="1:26" x14ac:dyDescent="0.25">
      <c r="A304" s="1"/>
      <c r="B304" s="2"/>
      <c r="C304" s="2"/>
      <c r="D304" s="2"/>
      <c r="E304" s="2"/>
      <c r="F304" s="2"/>
      <c r="G304" s="2"/>
      <c r="H304" s="1"/>
      <c r="I304" s="2"/>
      <c r="J304" s="3"/>
      <c r="K304" s="4"/>
      <c r="L304" s="4"/>
      <c r="M304" s="5"/>
      <c r="N304" s="5"/>
      <c r="O304" s="4"/>
      <c r="P304" s="2"/>
      <c r="Q304" s="2"/>
      <c r="R304" s="2"/>
      <c r="S304" s="6"/>
      <c r="T304" s="2"/>
      <c r="U304" s="7"/>
    </row>
    <row r="305" spans="1:21" x14ac:dyDescent="0.25">
      <c r="A305" s="1"/>
      <c r="B305" s="2"/>
      <c r="C305" s="2"/>
      <c r="D305" s="2"/>
      <c r="E305" s="2"/>
      <c r="F305" s="2"/>
      <c r="G305" s="2"/>
      <c r="H305" s="1"/>
      <c r="I305" s="2"/>
      <c r="J305" s="3"/>
      <c r="K305" s="4"/>
      <c r="L305" s="4"/>
      <c r="M305" s="5"/>
      <c r="N305" s="5"/>
      <c r="O305" s="4"/>
      <c r="P305" s="2"/>
      <c r="Q305" s="2"/>
      <c r="R305" s="2"/>
      <c r="S305" s="6"/>
      <c r="T305" s="2"/>
      <c r="U305" s="7"/>
    </row>
    <row r="306" spans="1:21" x14ac:dyDescent="0.25">
      <c r="A306" s="1"/>
      <c r="B306" s="2"/>
      <c r="C306" s="2"/>
      <c r="D306" s="2"/>
      <c r="E306" s="2"/>
      <c r="F306" s="2"/>
      <c r="G306" s="2"/>
      <c r="H306" s="1"/>
      <c r="I306" s="2"/>
      <c r="J306" s="3"/>
      <c r="K306" s="4"/>
      <c r="L306" s="4"/>
      <c r="M306" s="5"/>
      <c r="N306" s="5"/>
      <c r="O306" s="4"/>
      <c r="P306" s="2"/>
      <c r="Q306" s="2"/>
      <c r="R306" s="2"/>
      <c r="S306" s="6"/>
      <c r="T306" s="2"/>
      <c r="U306" s="7"/>
    </row>
    <row r="307" spans="1:21" x14ac:dyDescent="0.25">
      <c r="A307" s="1"/>
      <c r="B307" s="2"/>
      <c r="C307" s="2"/>
      <c r="D307" s="2"/>
      <c r="E307" s="2"/>
      <c r="F307" s="2"/>
      <c r="G307" s="2"/>
      <c r="H307" s="1"/>
      <c r="I307" s="2"/>
      <c r="J307" s="3"/>
      <c r="K307" s="4"/>
      <c r="L307" s="4"/>
      <c r="M307" s="5"/>
      <c r="N307" s="5"/>
      <c r="O307" s="4"/>
      <c r="P307" s="2"/>
      <c r="Q307" s="2"/>
      <c r="R307" s="2"/>
      <c r="S307" s="6"/>
      <c r="T307" s="2"/>
      <c r="U307" s="7"/>
    </row>
    <row r="308" spans="1:21" x14ac:dyDescent="0.25">
      <c r="A308" s="1"/>
      <c r="B308" s="2"/>
      <c r="C308" s="2"/>
      <c r="D308" s="2"/>
      <c r="E308" s="2"/>
      <c r="F308" s="2"/>
      <c r="G308" s="2"/>
      <c r="H308" s="1"/>
      <c r="I308" s="2"/>
      <c r="J308" s="3"/>
      <c r="K308" s="4"/>
      <c r="L308" s="4"/>
      <c r="M308" s="5"/>
      <c r="N308" s="5"/>
      <c r="O308" s="4"/>
      <c r="P308" s="2"/>
      <c r="Q308" s="2"/>
      <c r="R308" s="2"/>
      <c r="S308" s="6"/>
      <c r="T308" s="2"/>
      <c r="U308" s="7"/>
    </row>
    <row r="309" spans="1:21" x14ac:dyDescent="0.25">
      <c r="A309" s="1"/>
      <c r="B309" s="2"/>
      <c r="C309" s="2"/>
      <c r="D309" s="2"/>
      <c r="E309" s="2"/>
      <c r="F309" s="2"/>
      <c r="G309" s="2"/>
      <c r="H309" s="1"/>
      <c r="I309" s="2"/>
      <c r="J309" s="3"/>
      <c r="K309" s="4"/>
      <c r="L309" s="4"/>
      <c r="M309" s="5"/>
      <c r="N309" s="5"/>
      <c r="O309" s="4"/>
      <c r="P309" s="2"/>
      <c r="Q309" s="2"/>
      <c r="R309" s="2"/>
      <c r="S309" s="6"/>
      <c r="T309" s="2"/>
      <c r="U309" s="7"/>
    </row>
    <row r="310" spans="1:21" x14ac:dyDescent="0.25">
      <c r="A310" s="1"/>
      <c r="B310" s="2"/>
      <c r="C310" s="2"/>
      <c r="D310" s="2"/>
      <c r="E310" s="2"/>
      <c r="F310" s="2"/>
      <c r="G310" s="2"/>
      <c r="H310" s="1"/>
      <c r="I310" s="2"/>
      <c r="J310" s="3"/>
      <c r="K310" s="4"/>
      <c r="L310" s="4"/>
      <c r="M310" s="5"/>
      <c r="N310" s="5"/>
      <c r="O310" s="4"/>
      <c r="P310" s="2"/>
      <c r="Q310" s="2"/>
      <c r="R310" s="2"/>
      <c r="S310" s="6"/>
      <c r="T310" s="2"/>
      <c r="U310" s="7"/>
    </row>
    <row r="311" spans="1:21" x14ac:dyDescent="0.25">
      <c r="A311" s="1"/>
      <c r="B311" s="2"/>
      <c r="C311" s="2"/>
      <c r="D311" s="2"/>
      <c r="E311" s="2"/>
      <c r="F311" s="2"/>
      <c r="G311" s="2"/>
      <c r="H311" s="1"/>
      <c r="I311" s="2"/>
      <c r="J311" s="3"/>
      <c r="K311" s="4"/>
      <c r="L311" s="4"/>
      <c r="M311" s="5"/>
      <c r="N311" s="5"/>
      <c r="O311" s="4"/>
      <c r="P311" s="2"/>
      <c r="Q311" s="2"/>
      <c r="R311" s="2"/>
      <c r="S311" s="6"/>
      <c r="T311" s="2"/>
      <c r="U311" s="7"/>
    </row>
    <row r="312" spans="1:21" x14ac:dyDescent="0.25">
      <c r="A312" s="1"/>
      <c r="B312" s="2"/>
      <c r="C312" s="2"/>
      <c r="D312" s="2"/>
      <c r="E312" s="2"/>
      <c r="F312" s="2"/>
      <c r="G312" s="2"/>
      <c r="H312" s="1"/>
      <c r="I312" s="2"/>
      <c r="J312" s="3"/>
      <c r="K312" s="4"/>
      <c r="L312" s="4"/>
      <c r="M312" s="5"/>
      <c r="N312" s="5"/>
      <c r="O312" s="4"/>
      <c r="P312" s="2"/>
      <c r="Q312" s="2"/>
      <c r="R312" s="2"/>
      <c r="S312" s="6"/>
      <c r="T312" s="2"/>
      <c r="U312" s="7"/>
    </row>
    <row r="313" spans="1:21" x14ac:dyDescent="0.25">
      <c r="A313" s="1"/>
      <c r="B313" s="2"/>
      <c r="C313" s="2"/>
      <c r="D313" s="2"/>
      <c r="E313" s="2"/>
      <c r="F313" s="2"/>
      <c r="G313" s="2"/>
      <c r="H313" s="1"/>
      <c r="I313" s="2"/>
      <c r="J313" s="3"/>
      <c r="K313" s="4"/>
      <c r="L313" s="4"/>
      <c r="M313" s="5"/>
      <c r="N313" s="5"/>
      <c r="O313" s="4"/>
      <c r="P313" s="2"/>
      <c r="Q313" s="2"/>
      <c r="R313" s="2"/>
      <c r="S313" s="6"/>
      <c r="T313" s="2"/>
      <c r="U313" s="7"/>
    </row>
    <row r="314" spans="1:21" x14ac:dyDescent="0.25">
      <c r="A314" s="1"/>
      <c r="B314" s="2"/>
      <c r="C314" s="2"/>
      <c r="D314" s="2"/>
      <c r="E314" s="2"/>
      <c r="F314" s="2"/>
      <c r="G314" s="2"/>
      <c r="H314" s="1"/>
      <c r="I314" s="2"/>
      <c r="J314" s="3"/>
      <c r="K314" s="4"/>
      <c r="L314" s="4"/>
      <c r="M314" s="5"/>
      <c r="N314" s="5"/>
      <c r="O314" s="4"/>
      <c r="P314" s="2"/>
      <c r="Q314" s="2"/>
      <c r="R314" s="2"/>
      <c r="S314" s="6"/>
      <c r="T314" s="2"/>
      <c r="U314" s="7"/>
    </row>
    <row r="315" spans="1:21" x14ac:dyDescent="0.25">
      <c r="A315" s="1"/>
      <c r="B315" s="2"/>
      <c r="C315" s="2"/>
      <c r="D315" s="2"/>
      <c r="E315" s="2"/>
      <c r="F315" s="2"/>
      <c r="G315" s="2"/>
      <c r="H315" s="1"/>
      <c r="I315" s="2"/>
      <c r="J315" s="3"/>
      <c r="K315" s="4"/>
      <c r="L315" s="4"/>
      <c r="M315" s="5"/>
      <c r="N315" s="5"/>
      <c r="O315" s="4"/>
      <c r="P315" s="2"/>
      <c r="Q315" s="2"/>
      <c r="R315" s="2"/>
      <c r="S315" s="6"/>
      <c r="T315" s="2"/>
      <c r="U315" s="7"/>
    </row>
    <row r="316" spans="1:21" x14ac:dyDescent="0.25">
      <c r="A316" s="1"/>
      <c r="B316" s="2"/>
      <c r="C316" s="2"/>
      <c r="D316" s="2"/>
      <c r="E316" s="2"/>
      <c r="F316" s="2"/>
      <c r="G316" s="2"/>
      <c r="H316" s="1"/>
      <c r="I316" s="2"/>
      <c r="J316" s="3"/>
      <c r="K316" s="4"/>
      <c r="L316" s="4"/>
      <c r="M316" s="5"/>
      <c r="N316" s="5"/>
      <c r="O316" s="4"/>
      <c r="P316" s="2"/>
      <c r="Q316" s="2"/>
      <c r="R316" s="2"/>
      <c r="S316" s="6"/>
      <c r="T316" s="2"/>
      <c r="U316" s="7"/>
    </row>
    <row r="317" spans="1:21" x14ac:dyDescent="0.25">
      <c r="A317" s="1"/>
      <c r="B317" s="2"/>
      <c r="C317" s="2"/>
      <c r="D317" s="2"/>
      <c r="E317" s="2"/>
      <c r="F317" s="2"/>
      <c r="G317" s="2"/>
      <c r="H317" s="1"/>
      <c r="I317" s="2"/>
      <c r="J317" s="3"/>
      <c r="K317" s="4"/>
      <c r="L317" s="4"/>
      <c r="M317" s="5"/>
      <c r="N317" s="5"/>
      <c r="O317" s="4"/>
      <c r="P317" s="2"/>
      <c r="Q317" s="2"/>
      <c r="R317" s="2"/>
      <c r="S317" s="6"/>
      <c r="T317" s="2"/>
      <c r="U317" s="7"/>
    </row>
    <row r="318" spans="1:21" x14ac:dyDescent="0.25">
      <c r="A318" s="1"/>
      <c r="B318" s="2"/>
      <c r="C318" s="2"/>
      <c r="D318" s="2"/>
      <c r="E318" s="2"/>
      <c r="F318" s="2"/>
      <c r="G318" s="2"/>
      <c r="H318" s="1"/>
      <c r="I318" s="2"/>
      <c r="J318" s="3"/>
      <c r="K318" s="4"/>
      <c r="L318" s="4"/>
      <c r="M318" s="5"/>
      <c r="N318" s="5"/>
      <c r="O318" s="4"/>
      <c r="P318" s="2"/>
      <c r="Q318" s="2"/>
      <c r="R318" s="2"/>
      <c r="S318" s="6"/>
      <c r="T318" s="2"/>
      <c r="U318" s="7"/>
    </row>
    <row r="319" spans="1:21" x14ac:dyDescent="0.25">
      <c r="A319" s="1"/>
      <c r="B319" s="2"/>
      <c r="C319" s="2"/>
      <c r="D319" s="2"/>
      <c r="E319" s="2"/>
      <c r="F319" s="2"/>
      <c r="G319" s="2"/>
      <c r="H319" s="1"/>
      <c r="I319" s="2"/>
      <c r="J319" s="3"/>
      <c r="K319" s="4"/>
      <c r="L319" s="4"/>
      <c r="M319" s="5"/>
      <c r="N319" s="5"/>
      <c r="O319" s="4"/>
      <c r="P319" s="2"/>
      <c r="Q319" s="2"/>
      <c r="R319" s="2"/>
      <c r="S319" s="6"/>
      <c r="T319" s="2"/>
      <c r="U319" s="7"/>
    </row>
    <row r="320" spans="1:21" x14ac:dyDescent="0.25">
      <c r="A320" s="1"/>
      <c r="B320" s="2"/>
      <c r="C320" s="2"/>
      <c r="D320" s="2"/>
      <c r="E320" s="2"/>
      <c r="F320" s="2"/>
      <c r="G320" s="2"/>
      <c r="H320" s="1"/>
      <c r="I320" s="2"/>
      <c r="J320" s="3"/>
      <c r="K320" s="4"/>
      <c r="L320" s="4"/>
      <c r="M320" s="5"/>
      <c r="N320" s="5"/>
      <c r="O320" s="4"/>
      <c r="P320" s="2"/>
      <c r="Q320" s="2"/>
      <c r="R320" s="2"/>
      <c r="S320" s="6"/>
      <c r="T320" s="2"/>
      <c r="U320" s="7"/>
    </row>
    <row r="321" spans="1:21" x14ac:dyDescent="0.25">
      <c r="A321" s="1"/>
      <c r="B321" s="2"/>
      <c r="C321" s="2"/>
      <c r="D321" s="2"/>
      <c r="E321" s="2"/>
      <c r="F321" s="2"/>
      <c r="G321" s="2"/>
      <c r="H321" s="1"/>
      <c r="I321" s="2"/>
      <c r="J321" s="3"/>
      <c r="K321" s="4"/>
      <c r="L321" s="4"/>
      <c r="M321" s="5"/>
      <c r="N321" s="5"/>
      <c r="O321" s="4"/>
      <c r="P321" s="2"/>
      <c r="Q321" s="2"/>
      <c r="R321" s="2"/>
      <c r="S321" s="6"/>
      <c r="T321" s="2"/>
      <c r="U321" s="7"/>
    </row>
    <row r="322" spans="1:21" x14ac:dyDescent="0.25">
      <c r="A322" s="1"/>
      <c r="B322" s="2"/>
      <c r="C322" s="2"/>
      <c r="D322" s="2"/>
      <c r="E322" s="2"/>
      <c r="F322" s="2"/>
      <c r="G322" s="2"/>
      <c r="H322" s="1"/>
      <c r="I322" s="2"/>
      <c r="J322" s="3"/>
      <c r="K322" s="4"/>
      <c r="L322" s="4"/>
      <c r="M322" s="5"/>
      <c r="N322" s="5"/>
      <c r="O322" s="4"/>
      <c r="P322" s="2"/>
      <c r="Q322" s="2"/>
      <c r="R322" s="2"/>
      <c r="S322" s="6"/>
      <c r="T322" s="2"/>
      <c r="U322" s="7"/>
    </row>
    <row r="323" spans="1:21" x14ac:dyDescent="0.25">
      <c r="A323" s="1"/>
      <c r="B323" s="2"/>
      <c r="C323" s="2"/>
      <c r="D323" s="2"/>
      <c r="E323" s="2"/>
      <c r="F323" s="2"/>
      <c r="G323" s="2"/>
      <c r="H323" s="1"/>
      <c r="I323" s="2"/>
      <c r="J323" s="3"/>
      <c r="K323" s="4"/>
      <c r="L323" s="4"/>
      <c r="M323" s="5"/>
      <c r="N323" s="5"/>
      <c r="O323" s="4"/>
      <c r="P323" s="2"/>
      <c r="Q323" s="2"/>
      <c r="R323" s="2"/>
      <c r="S323" s="6"/>
      <c r="T323" s="2"/>
      <c r="U323" s="7"/>
    </row>
    <row r="324" spans="1:21" x14ac:dyDescent="0.25">
      <c r="A324" s="1"/>
      <c r="B324" s="2"/>
      <c r="C324" s="2"/>
      <c r="D324" s="2"/>
      <c r="E324" s="2"/>
      <c r="F324" s="2"/>
      <c r="G324" s="2"/>
      <c r="H324" s="1"/>
      <c r="I324" s="2"/>
      <c r="J324" s="3"/>
      <c r="K324" s="4"/>
      <c r="L324" s="4"/>
      <c r="M324" s="5"/>
      <c r="N324" s="5"/>
      <c r="O324" s="4"/>
      <c r="P324" s="2"/>
      <c r="Q324" s="2"/>
      <c r="R324" s="2"/>
      <c r="S324" s="6"/>
      <c r="T324" s="2"/>
      <c r="U324" s="7"/>
    </row>
    <row r="325" spans="1:21" x14ac:dyDescent="0.25">
      <c r="A325" s="1"/>
      <c r="B325" s="2"/>
      <c r="C325" s="2"/>
      <c r="D325" s="2"/>
      <c r="E325" s="2"/>
      <c r="F325" s="2"/>
      <c r="G325" s="2"/>
      <c r="H325" s="1"/>
      <c r="I325" s="2"/>
      <c r="J325" s="3"/>
      <c r="K325" s="4"/>
      <c r="L325" s="4"/>
      <c r="M325" s="5"/>
      <c r="N325" s="5"/>
      <c r="O325" s="4"/>
      <c r="P325" s="2"/>
      <c r="Q325" s="2"/>
      <c r="R325" s="2"/>
      <c r="S325" s="6"/>
      <c r="T325" s="2"/>
      <c r="U325" s="7"/>
    </row>
    <row r="326" spans="1:21" x14ac:dyDescent="0.25">
      <c r="A326" s="1"/>
      <c r="B326" s="2"/>
      <c r="C326" s="2"/>
      <c r="D326" s="2"/>
      <c r="E326" s="2"/>
      <c r="F326" s="2"/>
      <c r="G326" s="2"/>
      <c r="H326" s="1"/>
      <c r="I326" s="2"/>
      <c r="J326" s="3"/>
      <c r="K326" s="4"/>
      <c r="L326" s="4"/>
      <c r="M326" s="5"/>
      <c r="N326" s="5"/>
      <c r="O326" s="4"/>
      <c r="P326" s="2"/>
      <c r="Q326" s="2"/>
      <c r="R326" s="2"/>
      <c r="S326" s="6"/>
      <c r="T326" s="2"/>
      <c r="U326" s="7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5"/>
  <sheetViews>
    <sheetView workbookViewId="0">
      <selection activeCell="E195" sqref="E195"/>
    </sheetView>
  </sheetViews>
  <sheetFormatPr baseColWidth="10" defaultRowHeight="15" x14ac:dyDescent="0.25"/>
  <cols>
    <col min="4" max="4" width="33.85546875" customWidth="1"/>
    <col min="5" max="5" width="16.4257812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Distrito!A2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x14ac:dyDescent="0.25">
      <c r="A4" s="42"/>
      <c r="B4" s="42"/>
      <c r="C4" s="42"/>
      <c r="D4" s="42"/>
      <c r="E4" s="42"/>
      <c r="F4" s="42"/>
      <c r="G4" s="42"/>
    </row>
    <row r="5" spans="1:7" ht="18" x14ac:dyDescent="0.25">
      <c r="A5" s="32"/>
      <c r="B5" s="114" t="s">
        <v>1097</v>
      </c>
      <c r="C5" s="114"/>
      <c r="D5" s="114"/>
      <c r="E5" s="114"/>
      <c r="F5" s="114"/>
      <c r="G5" s="32"/>
    </row>
    <row r="6" spans="1:7" ht="18" x14ac:dyDescent="0.25">
      <c r="A6" s="32"/>
      <c r="B6" s="48"/>
      <c r="C6" s="48"/>
      <c r="D6" s="48"/>
      <c r="E6" s="48"/>
      <c r="F6" s="48"/>
      <c r="G6" s="32"/>
    </row>
    <row r="7" spans="1:7" x14ac:dyDescent="0.25">
      <c r="A7" s="32"/>
      <c r="B7" s="32"/>
      <c r="C7" s="32"/>
      <c r="D7" s="32"/>
      <c r="E7" s="32"/>
      <c r="F7" s="32"/>
      <c r="G7" s="32"/>
    </row>
    <row r="8" spans="1:7" x14ac:dyDescent="0.25">
      <c r="A8" s="32"/>
      <c r="B8" s="35" t="s">
        <v>1046</v>
      </c>
      <c r="C8" s="32"/>
      <c r="D8" s="32"/>
      <c r="E8" s="32"/>
      <c r="F8" s="32"/>
      <c r="G8" s="32"/>
    </row>
    <row r="9" spans="1:7" ht="15.75" thickBot="1" x14ac:dyDescent="0.3">
      <c r="A9" s="32"/>
      <c r="B9" s="32"/>
      <c r="C9" s="32"/>
      <c r="D9" s="32"/>
      <c r="E9" s="32"/>
      <c r="F9" s="32"/>
      <c r="G9" s="32"/>
    </row>
    <row r="10" spans="1:7" x14ac:dyDescent="0.25">
      <c r="A10" s="40"/>
      <c r="B10" s="36" t="s">
        <v>1047</v>
      </c>
      <c r="C10" s="36" t="s">
        <v>1048</v>
      </c>
      <c r="D10" s="36" t="s">
        <v>1098</v>
      </c>
      <c r="E10" s="37" t="s">
        <v>1050</v>
      </c>
      <c r="F10" s="37" t="s">
        <v>1051</v>
      </c>
      <c r="G10" s="40"/>
    </row>
    <row r="11" spans="1:7" x14ac:dyDescent="0.25">
      <c r="A11" s="40"/>
      <c r="B11" s="76" t="s">
        <v>1099</v>
      </c>
      <c r="C11" s="76">
        <f>SUM(E11:E188)</f>
        <v>290</v>
      </c>
      <c r="D11" s="77" t="s">
        <v>157</v>
      </c>
      <c r="E11" s="40">
        <f>+COUNTIF('Gastos medicos y sepelios'!$O$4:$O$299,Comisaria!D11)</f>
        <v>1</v>
      </c>
      <c r="F11" s="72">
        <f t="shared" ref="F11:F163" si="0">E11/$C$11*100</f>
        <v>0.34482758620689657</v>
      </c>
      <c r="G11" s="40"/>
    </row>
    <row r="12" spans="1:7" x14ac:dyDescent="0.25">
      <c r="A12" s="40"/>
      <c r="B12" s="43"/>
      <c r="C12" s="43"/>
      <c r="D12" s="32" t="s">
        <v>912</v>
      </c>
      <c r="E12" s="40">
        <f>+COUNTIF('Gastos medicos y sepelios'!$O$4:$O$299,Comisaria!D12)</f>
        <v>1</v>
      </c>
      <c r="F12" s="72">
        <f>E12/$C$11*100</f>
        <v>0.34482758620689657</v>
      </c>
      <c r="G12" s="40"/>
    </row>
    <row r="13" spans="1:7" x14ac:dyDescent="0.25">
      <c r="A13" s="40"/>
      <c r="B13" s="43"/>
      <c r="C13" s="43"/>
      <c r="D13" s="40" t="s">
        <v>876</v>
      </c>
      <c r="E13" s="40">
        <f>+COUNTIF('Gastos medicos y sepelios'!$O$4:$O$299,Comisaria!D13)</f>
        <v>1</v>
      </c>
      <c r="F13" s="72">
        <f>E13/$C$11*100</f>
        <v>0.34482758620689657</v>
      </c>
      <c r="G13" s="40"/>
    </row>
    <row r="14" spans="1:7" x14ac:dyDescent="0.25">
      <c r="A14" s="40"/>
      <c r="B14" s="43"/>
      <c r="C14" s="43"/>
      <c r="D14" s="40" t="s">
        <v>184</v>
      </c>
      <c r="E14" s="40">
        <f>+COUNTIF('Gastos medicos y sepelios'!$O$4:$O$299,Comisaria!D14)</f>
        <v>1</v>
      </c>
      <c r="F14" s="72">
        <f>E14/$C$11*100</f>
        <v>0.34482758620689657</v>
      </c>
      <c r="G14" s="40"/>
    </row>
    <row r="15" spans="1:7" x14ac:dyDescent="0.25">
      <c r="A15" s="40"/>
      <c r="B15" s="40"/>
      <c r="C15" s="40"/>
      <c r="D15" s="40" t="s">
        <v>356</v>
      </c>
      <c r="E15" s="40">
        <f>+COUNTIF('Gastos medicos y sepelios'!$O$4:$O$299,Comisaria!D15)</f>
        <v>1</v>
      </c>
      <c r="F15" s="72">
        <f t="shared" si="0"/>
        <v>0.34482758620689657</v>
      </c>
      <c r="G15" s="40"/>
    </row>
    <row r="16" spans="1:7" x14ac:dyDescent="0.25">
      <c r="A16" s="40"/>
      <c r="B16" s="40"/>
      <c r="C16" s="40"/>
      <c r="D16" s="32" t="s">
        <v>628</v>
      </c>
      <c r="E16" s="40">
        <f>+COUNTIF('Gastos medicos y sepelios'!$O$4:$O$299,Comisaria!D16)</f>
        <v>1</v>
      </c>
      <c r="F16" s="72">
        <f t="shared" si="0"/>
        <v>0.34482758620689657</v>
      </c>
      <c r="G16" s="40"/>
    </row>
    <row r="17" spans="1:7" x14ac:dyDescent="0.25">
      <c r="A17" s="40"/>
      <c r="B17" s="40"/>
      <c r="C17" s="40"/>
      <c r="D17" s="40" t="s">
        <v>1025</v>
      </c>
      <c r="E17" s="40">
        <f>+COUNTIF('Gastos medicos y sepelios'!$O$4:$O$299,Comisaria!D17)</f>
        <v>1</v>
      </c>
      <c r="F17" s="72">
        <f t="shared" si="0"/>
        <v>0.34482758620689657</v>
      </c>
      <c r="G17" s="40"/>
    </row>
    <row r="18" spans="1:7" x14ac:dyDescent="0.25">
      <c r="A18" s="40"/>
      <c r="B18" s="40"/>
      <c r="C18" s="40"/>
      <c r="D18" s="32" t="s">
        <v>902</v>
      </c>
      <c r="E18" s="40">
        <f>+COUNTIF('Gastos medicos y sepelios'!$O$4:$O$299,Comisaria!D18)</f>
        <v>1</v>
      </c>
      <c r="F18" s="72">
        <f>E18/$C$11*100</f>
        <v>0.34482758620689657</v>
      </c>
      <c r="G18" s="40"/>
    </row>
    <row r="19" spans="1:7" x14ac:dyDescent="0.25">
      <c r="A19" s="40"/>
      <c r="B19" s="40"/>
      <c r="C19" s="40"/>
      <c r="D19" s="40" t="s">
        <v>870</v>
      </c>
      <c r="E19" s="40">
        <f>+COUNTIF('Gastos medicos y sepelios'!$O$4:$O$299,Comisaria!D19)</f>
        <v>1</v>
      </c>
      <c r="F19" s="72">
        <f t="shared" si="0"/>
        <v>0.34482758620689657</v>
      </c>
      <c r="G19" s="40"/>
    </row>
    <row r="20" spans="1:7" x14ac:dyDescent="0.25">
      <c r="A20" s="40"/>
      <c r="B20" s="40"/>
      <c r="C20" s="40"/>
      <c r="D20" s="40" t="s">
        <v>528</v>
      </c>
      <c r="E20" s="40">
        <f>+COUNTIF('Gastos medicos y sepelios'!$O$4:$O$299,Comisaria!D20)</f>
        <v>1</v>
      </c>
      <c r="F20" s="72">
        <f t="shared" si="0"/>
        <v>0.34482758620689657</v>
      </c>
      <c r="G20" s="40"/>
    </row>
    <row r="21" spans="1:7" x14ac:dyDescent="0.25">
      <c r="A21" s="40"/>
      <c r="B21" s="40"/>
      <c r="C21" s="40"/>
      <c r="D21" s="32" t="s">
        <v>906</v>
      </c>
      <c r="E21" s="40">
        <f>+COUNTIF('Gastos medicos y sepelios'!$O$4:$O$299,Comisaria!D21)</f>
        <v>1</v>
      </c>
      <c r="F21" s="72">
        <f>E21/$C$11*100</f>
        <v>0.34482758620689657</v>
      </c>
      <c r="G21" s="40"/>
    </row>
    <row r="22" spans="1:7" x14ac:dyDescent="0.25">
      <c r="A22" s="40"/>
      <c r="B22" s="40"/>
      <c r="C22" s="40"/>
      <c r="D22" s="40" t="s">
        <v>324</v>
      </c>
      <c r="E22" s="40">
        <f>+COUNTIF('Gastos medicos y sepelios'!$O$4:$O$299,Comisaria!D22)</f>
        <v>5</v>
      </c>
      <c r="F22" s="72">
        <f>E22/$C$11*100</f>
        <v>1.7241379310344827</v>
      </c>
      <c r="G22" s="40"/>
    </row>
    <row r="23" spans="1:7" x14ac:dyDescent="0.25">
      <c r="A23" s="40"/>
      <c r="B23" s="40"/>
      <c r="C23" s="40"/>
      <c r="D23" s="40" t="s">
        <v>454</v>
      </c>
      <c r="E23" s="40">
        <f>+COUNTIF('Gastos medicos y sepelios'!$O$4:$O$299,Comisaria!D23)</f>
        <v>1</v>
      </c>
      <c r="F23" s="72">
        <f t="shared" si="0"/>
        <v>0.34482758620689657</v>
      </c>
      <c r="G23" s="40"/>
    </row>
    <row r="24" spans="1:7" x14ac:dyDescent="0.25">
      <c r="A24" s="40"/>
      <c r="B24" s="40"/>
      <c r="C24" s="40"/>
      <c r="D24" s="40" t="s">
        <v>577</v>
      </c>
      <c r="E24" s="40">
        <f>+COUNTIF('Gastos medicos y sepelios'!$O$4:$O$299,Comisaria!D24)</f>
        <v>1</v>
      </c>
      <c r="F24" s="72">
        <f>E24/$C$11*100</f>
        <v>0.34482758620689657</v>
      </c>
      <c r="G24" s="40"/>
    </row>
    <row r="25" spans="1:7" x14ac:dyDescent="0.25">
      <c r="A25" s="40"/>
      <c r="B25" s="40"/>
      <c r="C25" s="40"/>
      <c r="D25" s="40" t="s">
        <v>617</v>
      </c>
      <c r="E25" s="40">
        <f>+COUNTIF('Gastos medicos y sepelios'!$O$4:$O$299,Comisaria!D25)</f>
        <v>2</v>
      </c>
      <c r="F25" s="72">
        <f t="shared" si="0"/>
        <v>0.68965517241379315</v>
      </c>
      <c r="G25" s="40"/>
    </row>
    <row r="26" spans="1:7" x14ac:dyDescent="0.25">
      <c r="A26" s="40"/>
      <c r="B26" s="40"/>
      <c r="C26" s="40"/>
      <c r="D26" s="40" t="s">
        <v>754</v>
      </c>
      <c r="E26" s="40">
        <f>+COUNTIF('Gastos medicos y sepelios'!$O$4:$O$299,Comisaria!D26)</f>
        <v>1</v>
      </c>
      <c r="F26" s="72">
        <f>E26/$C$11*100</f>
        <v>0.34482758620689657</v>
      </c>
      <c r="G26" s="40"/>
    </row>
    <row r="27" spans="1:7" x14ac:dyDescent="0.25">
      <c r="A27" s="40"/>
      <c r="B27" s="40"/>
      <c r="C27" s="40"/>
      <c r="D27" s="32" t="s">
        <v>95</v>
      </c>
      <c r="E27" s="40">
        <f>+COUNTIF('Gastos medicos y sepelios'!$O$4:$O$299,Comisaria!D27)</f>
        <v>1</v>
      </c>
      <c r="F27" s="72">
        <f>E27/$C$11*100</f>
        <v>0.34482758620689657</v>
      </c>
      <c r="G27" s="40"/>
    </row>
    <row r="28" spans="1:7" x14ac:dyDescent="0.25">
      <c r="A28" s="40"/>
      <c r="B28" s="40"/>
      <c r="C28" s="40"/>
      <c r="D28" s="40" t="s">
        <v>311</v>
      </c>
      <c r="E28" s="40">
        <f>+COUNTIF('Gastos medicos y sepelios'!$O$4:$O$299,Comisaria!D28)</f>
        <v>1</v>
      </c>
      <c r="F28" s="72">
        <f>E28/$C$11*100</f>
        <v>0.34482758620689657</v>
      </c>
      <c r="G28" s="40"/>
    </row>
    <row r="29" spans="1:7" x14ac:dyDescent="0.25">
      <c r="A29" s="40"/>
      <c r="B29" s="40"/>
      <c r="C29" s="40"/>
      <c r="D29" s="32" t="s">
        <v>224</v>
      </c>
      <c r="E29" s="40">
        <f>+COUNTIF('Gastos medicos y sepelios'!$O$4:$O$299,Comisaria!D29)</f>
        <v>4</v>
      </c>
      <c r="F29" s="72">
        <f t="shared" si="0"/>
        <v>1.3793103448275863</v>
      </c>
      <c r="G29" s="40"/>
    </row>
    <row r="30" spans="1:7" x14ac:dyDescent="0.25">
      <c r="A30" s="40"/>
      <c r="B30" s="40"/>
      <c r="C30" s="40"/>
      <c r="D30" s="40" t="s">
        <v>239</v>
      </c>
      <c r="E30" s="40">
        <f>+COUNTIF('Gastos medicos y sepelios'!$O$4:$O$299,Comisaria!D30)</f>
        <v>4</v>
      </c>
      <c r="F30" s="72">
        <f t="shared" si="0"/>
        <v>1.3793103448275863</v>
      </c>
      <c r="G30" s="40"/>
    </row>
    <row r="31" spans="1:7" x14ac:dyDescent="0.25">
      <c r="A31" s="40"/>
      <c r="B31" s="40"/>
      <c r="C31" s="40"/>
      <c r="D31" s="40" t="s">
        <v>124</v>
      </c>
      <c r="E31" s="40">
        <f>+COUNTIF('Gastos medicos y sepelios'!$O$4:$O$299,Comisaria!D31)</f>
        <v>1</v>
      </c>
      <c r="F31" s="72">
        <f t="shared" si="0"/>
        <v>0.34482758620689657</v>
      </c>
      <c r="G31" s="40"/>
    </row>
    <row r="32" spans="1:7" x14ac:dyDescent="0.25">
      <c r="A32" s="40"/>
      <c r="B32" s="40"/>
      <c r="C32" s="40"/>
      <c r="D32" s="40" t="s">
        <v>376</v>
      </c>
      <c r="E32" s="40">
        <f>+COUNTIF('Gastos medicos y sepelios'!$O$4:$O$299,Comisaria!D32)</f>
        <v>1</v>
      </c>
      <c r="F32" s="72">
        <f t="shared" si="0"/>
        <v>0.34482758620689657</v>
      </c>
      <c r="G32" s="40"/>
    </row>
    <row r="33" spans="1:7" x14ac:dyDescent="0.25">
      <c r="A33" s="40"/>
      <c r="B33" s="40"/>
      <c r="C33" s="40"/>
      <c r="D33" s="40" t="s">
        <v>154</v>
      </c>
      <c r="E33" s="40">
        <f>+COUNTIF('Gastos medicos y sepelios'!$O$4:$O$299,Comisaria!D33)</f>
        <v>3</v>
      </c>
      <c r="F33" s="72">
        <f t="shared" si="0"/>
        <v>1.0344827586206897</v>
      </c>
      <c r="G33" s="40"/>
    </row>
    <row r="34" spans="1:7" x14ac:dyDescent="0.25">
      <c r="A34" s="40"/>
      <c r="B34" s="40"/>
      <c r="C34" s="40"/>
      <c r="D34" s="32" t="s">
        <v>108</v>
      </c>
      <c r="E34" s="40">
        <f>+COUNTIF('Gastos medicos y sepelios'!$O$4:$O$299,Comisaria!D34)</f>
        <v>3</v>
      </c>
      <c r="F34" s="72">
        <f>E34/$C$11*100</f>
        <v>1.0344827586206897</v>
      </c>
      <c r="G34" s="40"/>
    </row>
    <row r="35" spans="1:7" x14ac:dyDescent="0.25">
      <c r="A35" s="40"/>
      <c r="B35" s="40"/>
      <c r="C35" s="40"/>
      <c r="D35" s="40" t="s">
        <v>307</v>
      </c>
      <c r="E35" s="40">
        <f>+COUNTIF('Gastos medicos y sepelios'!$O$4:$O$299,Comisaria!D35)</f>
        <v>4</v>
      </c>
      <c r="F35" s="72">
        <f>E35/$C$11*100</f>
        <v>1.3793103448275863</v>
      </c>
      <c r="G35" s="40"/>
    </row>
    <row r="36" spans="1:7" x14ac:dyDescent="0.25">
      <c r="A36" s="40"/>
      <c r="B36" s="40"/>
      <c r="C36" s="40"/>
      <c r="D36" s="32" t="s">
        <v>256</v>
      </c>
      <c r="E36" s="40">
        <f>+COUNTIF('Gastos medicos y sepelios'!$O$4:$O$299,Comisaria!D36)</f>
        <v>1</v>
      </c>
      <c r="F36" s="72">
        <f>E36/$C$11*100</f>
        <v>0.34482758620689657</v>
      </c>
      <c r="G36" s="40"/>
    </row>
    <row r="37" spans="1:7" x14ac:dyDescent="0.25">
      <c r="A37" s="40"/>
      <c r="B37" s="40"/>
      <c r="C37" s="40"/>
      <c r="D37" s="40" t="s">
        <v>852</v>
      </c>
      <c r="E37" s="40">
        <f>+COUNTIF('Gastos medicos y sepelios'!$O$4:$O$299,Comisaria!D37)</f>
        <v>1</v>
      </c>
      <c r="F37" s="72">
        <f t="shared" si="0"/>
        <v>0.34482758620689657</v>
      </c>
      <c r="G37" s="40"/>
    </row>
    <row r="38" spans="1:7" x14ac:dyDescent="0.25">
      <c r="A38" s="40"/>
      <c r="B38" s="40"/>
      <c r="C38" s="40"/>
      <c r="D38" s="40" t="s">
        <v>794</v>
      </c>
      <c r="E38" s="40">
        <f>+COUNTIF('Gastos medicos y sepelios'!$O$4:$O$299,Comisaria!D38)</f>
        <v>1</v>
      </c>
      <c r="F38" s="72">
        <f>E38/$C$11*100</f>
        <v>0.34482758620689657</v>
      </c>
      <c r="G38" s="40"/>
    </row>
    <row r="39" spans="1:7" x14ac:dyDescent="0.25">
      <c r="A39" s="40"/>
      <c r="B39" s="40"/>
      <c r="C39" s="40"/>
      <c r="D39" s="40" t="s">
        <v>425</v>
      </c>
      <c r="E39" s="40">
        <f>+COUNTIF('Gastos medicos y sepelios'!$O$4:$O$299,Comisaria!D39)</f>
        <v>1</v>
      </c>
      <c r="F39" s="72">
        <f t="shared" si="0"/>
        <v>0.34482758620689657</v>
      </c>
      <c r="G39" s="40"/>
    </row>
    <row r="40" spans="1:7" x14ac:dyDescent="0.25">
      <c r="A40" s="40"/>
      <c r="B40" s="40"/>
      <c r="C40" s="40"/>
      <c r="D40" s="40" t="s">
        <v>594</v>
      </c>
      <c r="E40" s="40">
        <f>+COUNTIF('Gastos medicos y sepelios'!$O$4:$O$299,Comisaria!D40)</f>
        <v>2</v>
      </c>
      <c r="F40" s="72">
        <f t="shared" si="0"/>
        <v>0.68965517241379315</v>
      </c>
      <c r="G40" s="40"/>
    </row>
    <row r="41" spans="1:7" x14ac:dyDescent="0.25">
      <c r="A41" s="40"/>
      <c r="B41" s="40"/>
      <c r="C41" s="40"/>
      <c r="D41" s="32" t="s">
        <v>669</v>
      </c>
      <c r="E41" s="40">
        <f>+COUNTIF('Gastos medicos y sepelios'!$O$4:$O$299,Comisaria!D41)</f>
        <v>1</v>
      </c>
      <c r="F41" s="72">
        <f>E41/$C$11*100</f>
        <v>0.34482758620689657</v>
      </c>
      <c r="G41" s="40"/>
    </row>
    <row r="42" spans="1:7" x14ac:dyDescent="0.25">
      <c r="A42" s="40"/>
      <c r="B42" s="40"/>
      <c r="C42" s="40"/>
      <c r="D42" s="40" t="s">
        <v>525</v>
      </c>
      <c r="E42" s="40">
        <f>+COUNTIF('Gastos medicos y sepelios'!$O$4:$O$299,Comisaria!D42)</f>
        <v>2</v>
      </c>
      <c r="F42" s="72">
        <f>E42/$C$11*100</f>
        <v>0.68965517241379315</v>
      </c>
      <c r="G42" s="40"/>
    </row>
    <row r="43" spans="1:7" x14ac:dyDescent="0.25">
      <c r="A43" s="40"/>
      <c r="B43" s="40"/>
      <c r="C43" s="40"/>
      <c r="D43" s="32" t="s">
        <v>635</v>
      </c>
      <c r="E43" s="40">
        <f>+COUNTIF('Gastos medicos y sepelios'!$O$4:$O$299,Comisaria!D43)</f>
        <v>1</v>
      </c>
      <c r="F43" s="72">
        <f>E43/$C$11*100</f>
        <v>0.34482758620689657</v>
      </c>
      <c r="G43" s="40"/>
    </row>
    <row r="44" spans="1:7" x14ac:dyDescent="0.25">
      <c r="A44" s="40"/>
      <c r="B44" s="40"/>
      <c r="C44" s="40"/>
      <c r="D44" s="40" t="s">
        <v>1014</v>
      </c>
      <c r="E44" s="40">
        <f>+COUNTIF('Gastos medicos y sepelios'!$O$4:$O$299,Comisaria!D44)</f>
        <v>1</v>
      </c>
      <c r="F44" s="72">
        <f t="shared" si="0"/>
        <v>0.34482758620689657</v>
      </c>
      <c r="G44" s="40"/>
    </row>
    <row r="45" spans="1:7" x14ac:dyDescent="0.25">
      <c r="A45" s="40"/>
      <c r="B45" s="40"/>
      <c r="C45" s="40"/>
      <c r="D45" s="40" t="s">
        <v>343</v>
      </c>
      <c r="E45" s="40">
        <f>+COUNTIF('Gastos medicos y sepelios'!$O$4:$O$299,Comisaria!D45)</f>
        <v>2</v>
      </c>
      <c r="F45" s="72">
        <f t="shared" si="0"/>
        <v>0.68965517241379315</v>
      </c>
      <c r="G45" s="40"/>
    </row>
    <row r="46" spans="1:7" x14ac:dyDescent="0.25">
      <c r="A46" s="40"/>
      <c r="B46" s="40"/>
      <c r="C46" s="40"/>
      <c r="D46" s="32" t="s">
        <v>447</v>
      </c>
      <c r="E46" s="40">
        <f>+COUNTIF('Gastos medicos y sepelios'!$O$4:$O$299,Comisaria!D46)</f>
        <v>4</v>
      </c>
      <c r="F46" s="72">
        <f t="shared" si="0"/>
        <v>1.3793103448275863</v>
      </c>
      <c r="G46" s="40"/>
    </row>
    <row r="47" spans="1:7" x14ac:dyDescent="0.25">
      <c r="A47" s="40"/>
      <c r="B47" s="40"/>
      <c r="C47" s="40"/>
      <c r="D47" s="32" t="s">
        <v>492</v>
      </c>
      <c r="E47" s="40">
        <f>+COUNTIF('Gastos medicos y sepelios'!$O$4:$O$299,Comisaria!D47)</f>
        <v>1</v>
      </c>
      <c r="F47" s="72">
        <f t="shared" si="0"/>
        <v>0.34482758620689657</v>
      </c>
      <c r="G47" s="40"/>
    </row>
    <row r="48" spans="1:7" x14ac:dyDescent="0.25">
      <c r="A48" s="40"/>
      <c r="B48" s="40"/>
      <c r="C48" s="40"/>
      <c r="D48" s="40" t="s">
        <v>337</v>
      </c>
      <c r="E48" s="40">
        <f>+COUNTIF('Gastos medicos y sepelios'!$O$4:$O$299,Comisaria!D48)</f>
        <v>1</v>
      </c>
      <c r="F48" s="72">
        <f>E48/$C$11*100</f>
        <v>0.34482758620689657</v>
      </c>
      <c r="G48" s="40"/>
    </row>
    <row r="49" spans="1:7" x14ac:dyDescent="0.25">
      <c r="A49" s="40"/>
      <c r="B49" s="40"/>
      <c r="C49" s="40"/>
      <c r="D49" s="40" t="s">
        <v>1000</v>
      </c>
      <c r="E49" s="40">
        <f>+COUNTIF('Gastos medicos y sepelios'!$O$4:$O$299,Comisaria!D49)</f>
        <v>1</v>
      </c>
      <c r="F49" s="72">
        <f t="shared" si="0"/>
        <v>0.34482758620689657</v>
      </c>
      <c r="G49" s="40"/>
    </row>
    <row r="50" spans="1:7" x14ac:dyDescent="0.25">
      <c r="A50" s="40"/>
      <c r="B50" s="40"/>
      <c r="C50" s="40"/>
      <c r="D50" s="40" t="s">
        <v>333</v>
      </c>
      <c r="E50" s="40">
        <f>+COUNTIF('Gastos medicos y sepelios'!$O$4:$O$299,Comisaria!D50)</f>
        <v>2</v>
      </c>
      <c r="F50" s="72">
        <f t="shared" si="0"/>
        <v>0.68965517241379315</v>
      </c>
      <c r="G50" s="40"/>
    </row>
    <row r="51" spans="1:7" x14ac:dyDescent="0.25">
      <c r="A51" s="40"/>
      <c r="B51" s="40"/>
      <c r="C51" s="40"/>
      <c r="D51" s="32" t="s">
        <v>662</v>
      </c>
      <c r="E51" s="40">
        <f>+COUNTIF('Gastos medicos y sepelios'!$O$4:$O$299,Comisaria!D51)</f>
        <v>1</v>
      </c>
      <c r="F51" s="72">
        <f>E51/$C$11*100</f>
        <v>0.34482758620689657</v>
      </c>
      <c r="G51" s="40"/>
    </row>
    <row r="52" spans="1:7" x14ac:dyDescent="0.25">
      <c r="A52" s="40"/>
      <c r="B52" s="40"/>
      <c r="C52" s="40"/>
      <c r="D52" s="32" t="s">
        <v>328</v>
      </c>
      <c r="E52" s="40">
        <f>+COUNTIF('Gastos medicos y sepelios'!$O$4:$O$299,Comisaria!D52)</f>
        <v>1</v>
      </c>
      <c r="F52" s="72">
        <f t="shared" si="0"/>
        <v>0.34482758620689657</v>
      </c>
      <c r="G52" s="40"/>
    </row>
    <row r="53" spans="1:7" x14ac:dyDescent="0.25">
      <c r="A53" s="40"/>
      <c r="B53" s="40"/>
      <c r="C53" s="40"/>
      <c r="D53" s="32" t="s">
        <v>638</v>
      </c>
      <c r="E53" s="40">
        <f>+COUNTIF('Gastos medicos y sepelios'!$O$4:$O$299,Comisaria!D53)</f>
        <v>1</v>
      </c>
      <c r="F53" s="72">
        <f t="shared" si="0"/>
        <v>0.34482758620689657</v>
      </c>
      <c r="G53" s="40"/>
    </row>
    <row r="54" spans="1:7" x14ac:dyDescent="0.25">
      <c r="A54" s="40"/>
      <c r="B54" s="40"/>
      <c r="C54" s="40"/>
      <c r="D54" s="40" t="s">
        <v>246</v>
      </c>
      <c r="E54" s="40">
        <f>+COUNTIF('Gastos medicos y sepelios'!$O$4:$O$299,Comisaria!D54)</f>
        <v>3</v>
      </c>
      <c r="F54" s="72">
        <f t="shared" si="0"/>
        <v>1.0344827586206897</v>
      </c>
      <c r="G54" s="40"/>
    </row>
    <row r="55" spans="1:7" x14ac:dyDescent="0.25">
      <c r="A55" s="40"/>
      <c r="B55" s="40"/>
      <c r="C55" s="40"/>
      <c r="D55" s="32" t="s">
        <v>262</v>
      </c>
      <c r="E55" s="40">
        <f>+COUNTIF('Gastos medicos y sepelios'!$O$4:$O$299,Comisaria!D55)</f>
        <v>1</v>
      </c>
      <c r="F55" s="72">
        <f>E55/$C$11*100</f>
        <v>0.34482758620689657</v>
      </c>
      <c r="G55" s="40"/>
    </row>
    <row r="56" spans="1:7" x14ac:dyDescent="0.25">
      <c r="A56" s="40"/>
      <c r="B56" s="40"/>
      <c r="C56" s="40"/>
      <c r="D56" s="40" t="s">
        <v>845</v>
      </c>
      <c r="E56" s="40">
        <f>+COUNTIF('Gastos medicos y sepelios'!$O$4:$O$299,Comisaria!D56)</f>
        <v>1</v>
      </c>
      <c r="F56" s="72">
        <f t="shared" si="0"/>
        <v>0.34482758620689657</v>
      </c>
      <c r="G56" s="40"/>
    </row>
    <row r="57" spans="1:7" x14ac:dyDescent="0.25">
      <c r="A57" s="40"/>
      <c r="B57" s="40"/>
      <c r="C57" s="40"/>
      <c r="D57" s="40" t="s">
        <v>250</v>
      </c>
      <c r="E57" s="40">
        <f>+COUNTIF('Gastos medicos y sepelios'!$O$4:$O$299,Comisaria!D57)</f>
        <v>1</v>
      </c>
      <c r="F57" s="72">
        <f>E57/$C$11*100</f>
        <v>0.34482758620689657</v>
      </c>
      <c r="G57" s="40"/>
    </row>
    <row r="58" spans="1:7" x14ac:dyDescent="0.25">
      <c r="A58" s="40"/>
      <c r="B58" s="40"/>
      <c r="C58" s="40"/>
      <c r="D58" s="40" t="s">
        <v>180</v>
      </c>
      <c r="E58" s="40">
        <f>+COUNTIF('Gastos medicos y sepelios'!$O$4:$O$299,Comisaria!D58)</f>
        <v>2</v>
      </c>
      <c r="F58" s="72">
        <f t="shared" si="0"/>
        <v>0.68965517241379315</v>
      </c>
      <c r="G58" s="40"/>
    </row>
    <row r="59" spans="1:7" x14ac:dyDescent="0.25">
      <c r="A59" s="40"/>
      <c r="B59" s="40"/>
      <c r="C59" s="40"/>
      <c r="D59" s="40" t="s">
        <v>443</v>
      </c>
      <c r="E59" s="40">
        <f>+COUNTIF('Gastos medicos y sepelios'!$O$4:$O$299,Comisaria!D59)</f>
        <v>1</v>
      </c>
      <c r="F59" s="72">
        <f t="shared" si="0"/>
        <v>0.34482758620689657</v>
      </c>
      <c r="G59" s="40"/>
    </row>
    <row r="60" spans="1:7" x14ac:dyDescent="0.25">
      <c r="A60" s="40"/>
      <c r="B60" s="40"/>
      <c r="C60" s="40"/>
      <c r="D60" s="40" t="s">
        <v>51</v>
      </c>
      <c r="E60" s="40">
        <f>+COUNTIF('Gastos medicos y sepelios'!$O$4:$O$299,Comisaria!D60)</f>
        <v>1</v>
      </c>
      <c r="F60" s="72">
        <f t="shared" si="0"/>
        <v>0.34482758620689657</v>
      </c>
      <c r="G60" s="40"/>
    </row>
    <row r="61" spans="1:7" x14ac:dyDescent="0.25">
      <c r="A61" s="40"/>
      <c r="B61" s="40"/>
      <c r="C61" s="40"/>
      <c r="D61" s="40" t="s">
        <v>196</v>
      </c>
      <c r="E61" s="40">
        <f>+COUNTIF('Gastos medicos y sepelios'!$O$4:$O$299,Comisaria!D61)</f>
        <v>2</v>
      </c>
      <c r="F61" s="72">
        <f t="shared" si="0"/>
        <v>0.68965517241379315</v>
      </c>
      <c r="G61" s="40"/>
    </row>
    <row r="62" spans="1:7" x14ac:dyDescent="0.25">
      <c r="A62" s="40"/>
      <c r="B62" s="40"/>
      <c r="C62" s="40"/>
      <c r="D62" s="40" t="s">
        <v>500</v>
      </c>
      <c r="E62" s="40">
        <f>+COUNTIF('Gastos medicos y sepelios'!$O$4:$O$299,Comisaria!D62)</f>
        <v>2</v>
      </c>
      <c r="F62" s="72">
        <f t="shared" si="0"/>
        <v>0.68965517241379315</v>
      </c>
      <c r="G62" s="40"/>
    </row>
    <row r="63" spans="1:7" x14ac:dyDescent="0.25">
      <c r="A63" s="40"/>
      <c r="B63" s="40"/>
      <c r="C63" s="40"/>
      <c r="D63" s="40" t="s">
        <v>741</v>
      </c>
      <c r="E63" s="40">
        <f>+COUNTIF('Gastos medicos y sepelios'!$O$4:$O$299,Comisaria!D63)</f>
        <v>2</v>
      </c>
      <c r="F63" s="72">
        <f t="shared" si="0"/>
        <v>0.68965517241379315</v>
      </c>
      <c r="G63" s="40"/>
    </row>
    <row r="64" spans="1:7" x14ac:dyDescent="0.25">
      <c r="A64" s="40"/>
      <c r="B64" s="40"/>
      <c r="C64" s="40"/>
      <c r="D64" s="32" t="s">
        <v>65</v>
      </c>
      <c r="E64" s="40">
        <f>+COUNTIF('Gastos medicos y sepelios'!$O$4:$O$299,Comisaria!D64)</f>
        <v>11</v>
      </c>
      <c r="F64" s="72">
        <f>E64/$C$11*100</f>
        <v>3.7931034482758621</v>
      </c>
      <c r="G64" s="40"/>
    </row>
    <row r="65" spans="1:7" x14ac:dyDescent="0.25">
      <c r="A65" s="40"/>
      <c r="B65" s="40"/>
      <c r="C65" s="40"/>
      <c r="D65" s="32" t="s">
        <v>772</v>
      </c>
      <c r="E65" s="40">
        <f>+COUNTIF('Gastos medicos y sepelios'!$O$4:$O$299,Comisaria!D65)</f>
        <v>1</v>
      </c>
      <c r="F65" s="72">
        <f>E65/$C$11*100</f>
        <v>0.34482758620689657</v>
      </c>
      <c r="G65" s="40"/>
    </row>
    <row r="66" spans="1:7" x14ac:dyDescent="0.25">
      <c r="A66" s="40"/>
      <c r="B66" s="40"/>
      <c r="C66" s="40"/>
      <c r="D66" s="40" t="s">
        <v>136</v>
      </c>
      <c r="E66" s="40">
        <f>+COUNTIF('Gastos medicos y sepelios'!$O$4:$O$299,Comisaria!D66)</f>
        <v>1</v>
      </c>
      <c r="F66" s="72">
        <f t="shared" si="0"/>
        <v>0.34482758620689657</v>
      </c>
      <c r="G66" s="40"/>
    </row>
    <row r="67" spans="1:7" x14ac:dyDescent="0.25">
      <c r="A67" s="40"/>
      <c r="B67" s="40"/>
      <c r="C67" s="40"/>
      <c r="D67" s="40" t="s">
        <v>413</v>
      </c>
      <c r="E67" s="40">
        <f>+COUNTIF('Gastos medicos y sepelios'!$O$4:$O$299,Comisaria!D67)</f>
        <v>2</v>
      </c>
      <c r="F67" s="72">
        <f t="shared" si="0"/>
        <v>0.68965517241379315</v>
      </c>
      <c r="G67" s="40"/>
    </row>
    <row r="68" spans="1:7" x14ac:dyDescent="0.25">
      <c r="A68" s="40"/>
      <c r="B68" s="40"/>
      <c r="C68" s="40"/>
      <c r="D68" s="40" t="s">
        <v>765</v>
      </c>
      <c r="E68" s="40">
        <f>+COUNTIF('Gastos medicos y sepelios'!$O$4:$O$299,Comisaria!D68)</f>
        <v>1</v>
      </c>
      <c r="F68" s="72">
        <f t="shared" si="0"/>
        <v>0.34482758620689657</v>
      </c>
      <c r="G68" s="40"/>
    </row>
    <row r="69" spans="1:7" x14ac:dyDescent="0.25">
      <c r="A69" s="40"/>
      <c r="B69" s="40"/>
      <c r="C69" s="40"/>
      <c r="D69" s="40" t="s">
        <v>401</v>
      </c>
      <c r="E69" s="40">
        <f>+COUNTIF('Gastos medicos y sepelios'!$O$4:$O$299,Comisaria!D69)</f>
        <v>1</v>
      </c>
      <c r="F69" s="72">
        <f t="shared" si="0"/>
        <v>0.34482758620689657</v>
      </c>
      <c r="G69" s="40"/>
    </row>
    <row r="70" spans="1:7" x14ac:dyDescent="0.25">
      <c r="A70" s="40"/>
      <c r="B70" s="40"/>
      <c r="C70" s="40"/>
      <c r="D70" s="32" t="s">
        <v>943</v>
      </c>
      <c r="E70" s="40">
        <f>+COUNTIF('Gastos medicos y sepelios'!$O$4:$O$299,Comisaria!D70)</f>
        <v>1</v>
      </c>
      <c r="F70" s="72">
        <f>E70/$C$11*100</f>
        <v>0.34482758620689657</v>
      </c>
      <c r="G70" s="40"/>
    </row>
    <row r="71" spans="1:7" x14ac:dyDescent="0.25">
      <c r="A71" s="40"/>
      <c r="B71" s="40"/>
      <c r="C71" s="40"/>
      <c r="D71" s="32" t="s">
        <v>149</v>
      </c>
      <c r="E71" s="40">
        <f>+COUNTIF('Gastos medicos y sepelios'!$O$4:$O$299,Comisaria!D71)</f>
        <v>1</v>
      </c>
      <c r="F71" s="72">
        <f t="shared" si="0"/>
        <v>0.34482758620689657</v>
      </c>
      <c r="G71" s="40"/>
    </row>
    <row r="72" spans="1:7" x14ac:dyDescent="0.25">
      <c r="A72" s="40"/>
      <c r="B72" s="40"/>
      <c r="C72" s="40"/>
      <c r="D72" s="32" t="s">
        <v>144</v>
      </c>
      <c r="E72" s="40">
        <f>+COUNTIF('Gastos medicos y sepelios'!$O$4:$O$299,Comisaria!D72)</f>
        <v>1</v>
      </c>
      <c r="F72" s="72">
        <f>E72/$C$11*100</f>
        <v>0.34482758620689657</v>
      </c>
      <c r="G72" s="40"/>
    </row>
    <row r="73" spans="1:7" x14ac:dyDescent="0.25">
      <c r="A73" s="40"/>
      <c r="B73" s="40"/>
      <c r="C73" s="40"/>
      <c r="D73" s="40" t="s">
        <v>44</v>
      </c>
      <c r="E73" s="40">
        <f>+COUNTIF('Gastos medicos y sepelios'!$O$4:$O$299,Comisaria!D73)</f>
        <v>3</v>
      </c>
      <c r="F73" s="72">
        <f t="shared" si="0"/>
        <v>1.0344827586206897</v>
      </c>
      <c r="G73" s="40"/>
    </row>
    <row r="74" spans="1:7" x14ac:dyDescent="0.25">
      <c r="A74" s="40"/>
      <c r="B74" s="40"/>
      <c r="C74" s="40"/>
      <c r="D74" s="40" t="s">
        <v>189</v>
      </c>
      <c r="E74" s="40">
        <f>+COUNTIF('Gastos medicos y sepelios'!$O$4:$O$299,Comisaria!D74)</f>
        <v>2</v>
      </c>
      <c r="F74" s="72">
        <f t="shared" si="0"/>
        <v>0.68965517241379315</v>
      </c>
      <c r="G74" s="40"/>
    </row>
    <row r="75" spans="1:7" x14ac:dyDescent="0.25">
      <c r="A75" s="40"/>
      <c r="B75" s="40"/>
      <c r="C75" s="40"/>
      <c r="D75" s="40" t="s">
        <v>236</v>
      </c>
      <c r="E75" s="40">
        <f>+COUNTIF('Gastos medicos y sepelios'!$O$4:$O$299,Comisaria!D75)</f>
        <v>2</v>
      </c>
      <c r="F75" s="72">
        <f t="shared" si="0"/>
        <v>0.68965517241379315</v>
      </c>
      <c r="G75" s="40"/>
    </row>
    <row r="76" spans="1:7" x14ac:dyDescent="0.25">
      <c r="A76" s="40"/>
      <c r="B76" s="40"/>
      <c r="C76" s="40"/>
      <c r="D76" s="40" t="s">
        <v>25</v>
      </c>
      <c r="E76" s="40">
        <f>+COUNTIF('Gastos medicos y sepelios'!$O$4:$O$299,Comisaria!D76)</f>
        <v>6</v>
      </c>
      <c r="F76" s="72">
        <f>E76/$C$11*100</f>
        <v>2.0689655172413794</v>
      </c>
      <c r="G76" s="40"/>
    </row>
    <row r="77" spans="1:7" x14ac:dyDescent="0.25">
      <c r="A77" s="40"/>
      <c r="B77" s="40"/>
      <c r="C77" s="40"/>
      <c r="D77" s="32" t="s">
        <v>593</v>
      </c>
      <c r="E77" s="40">
        <f>+COUNTIF('Gastos medicos y sepelios'!$O$4:$O$299,Comisaria!D77)</f>
        <v>1</v>
      </c>
      <c r="F77" s="72">
        <f>E77/$C$11*100</f>
        <v>0.34482758620689657</v>
      </c>
      <c r="G77" s="40"/>
    </row>
    <row r="78" spans="1:7" x14ac:dyDescent="0.25">
      <c r="A78" s="40"/>
      <c r="B78" s="40"/>
      <c r="C78" s="40"/>
      <c r="D78" s="40" t="s">
        <v>203</v>
      </c>
      <c r="E78" s="40">
        <f>+COUNTIF('Gastos medicos y sepelios'!$O$4:$O$299,Comisaria!D78)</f>
        <v>1</v>
      </c>
      <c r="F78" s="72">
        <f t="shared" si="0"/>
        <v>0.34482758620689657</v>
      </c>
      <c r="G78" s="40"/>
    </row>
    <row r="79" spans="1:7" x14ac:dyDescent="0.25">
      <c r="A79" s="40"/>
      <c r="B79" s="40"/>
      <c r="C79" s="40"/>
      <c r="D79" s="32" t="s">
        <v>43</v>
      </c>
      <c r="E79" s="40">
        <f>+COUNTIF('Gastos medicos y sepelios'!$O$4:$O$299,Comisaria!D79)</f>
        <v>1</v>
      </c>
      <c r="F79" s="72">
        <f>E79/$C$11*100</f>
        <v>0.34482758620689657</v>
      </c>
      <c r="G79" s="40"/>
    </row>
    <row r="80" spans="1:7" x14ac:dyDescent="0.25">
      <c r="A80" s="40"/>
      <c r="B80" s="40"/>
      <c r="C80" s="40"/>
      <c r="D80" s="32" t="s">
        <v>694</v>
      </c>
      <c r="E80" s="40">
        <f>+COUNTIF('Gastos medicos y sepelios'!$O$4:$O$299,Comisaria!D80)</f>
        <v>2</v>
      </c>
      <c r="F80" s="72">
        <f t="shared" si="0"/>
        <v>0.68965517241379315</v>
      </c>
      <c r="G80" s="40"/>
    </row>
    <row r="81" spans="1:7" x14ac:dyDescent="0.25">
      <c r="A81" s="40"/>
      <c r="B81" s="40"/>
      <c r="C81" s="40"/>
      <c r="D81" s="32" t="s">
        <v>513</v>
      </c>
      <c r="E81" s="40">
        <f>+COUNTIF('Gastos medicos y sepelios'!$O$4:$O$299,Comisaria!D81)</f>
        <v>1</v>
      </c>
      <c r="F81" s="72">
        <f>E81/$C$11*100</f>
        <v>0.34482758620689657</v>
      </c>
      <c r="G81" s="40"/>
    </row>
    <row r="82" spans="1:7" x14ac:dyDescent="0.25">
      <c r="A82" s="40"/>
      <c r="B82" s="40"/>
      <c r="C82" s="40"/>
      <c r="D82" s="40" t="s">
        <v>926</v>
      </c>
      <c r="E82" s="40">
        <f>+COUNTIF('Gastos medicos y sepelios'!$O$4:$O$299,Comisaria!D82)</f>
        <v>1</v>
      </c>
      <c r="F82" s="72">
        <f t="shared" si="0"/>
        <v>0.34482758620689657</v>
      </c>
      <c r="G82" s="40"/>
    </row>
    <row r="83" spans="1:7" x14ac:dyDescent="0.25">
      <c r="A83" s="40"/>
      <c r="B83" s="40"/>
      <c r="C83" s="40"/>
      <c r="D83" s="40" t="s">
        <v>862</v>
      </c>
      <c r="E83" s="40">
        <f>+COUNTIF('Gastos medicos y sepelios'!$O$4:$O$299,Comisaria!D83)</f>
        <v>1</v>
      </c>
      <c r="F83" s="72">
        <f>E83/$C$11*100</f>
        <v>0.34482758620689657</v>
      </c>
      <c r="G83" s="40"/>
    </row>
    <row r="84" spans="1:7" x14ac:dyDescent="0.25">
      <c r="A84" s="40"/>
      <c r="B84" s="40"/>
      <c r="C84" s="40"/>
      <c r="D84" s="40" t="s">
        <v>148</v>
      </c>
      <c r="E84" s="40">
        <f>+COUNTIF('Gastos medicos y sepelios'!$O$4:$O$299,Comisaria!D84)</f>
        <v>3</v>
      </c>
      <c r="F84" s="72">
        <f t="shared" si="0"/>
        <v>1.0344827586206897</v>
      </c>
      <c r="G84" s="40"/>
    </row>
    <row r="85" spans="1:7" x14ac:dyDescent="0.25">
      <c r="A85" s="40"/>
      <c r="B85" s="40"/>
      <c r="C85" s="40"/>
      <c r="D85" s="40" t="s">
        <v>397</v>
      </c>
      <c r="E85" s="40">
        <f>+COUNTIF('Gastos medicos y sepelios'!$O$4:$O$299,Comisaria!D85)</f>
        <v>1</v>
      </c>
      <c r="F85" s="72">
        <f t="shared" si="0"/>
        <v>0.34482758620689657</v>
      </c>
      <c r="G85" s="40"/>
    </row>
    <row r="86" spans="1:7" x14ac:dyDescent="0.25">
      <c r="A86" s="40"/>
      <c r="B86" s="40"/>
      <c r="C86" s="40"/>
      <c r="D86" s="40" t="s">
        <v>210</v>
      </c>
      <c r="E86" s="40">
        <f>+COUNTIF('Gastos medicos y sepelios'!$O$4:$O$299,Comisaria!D86)</f>
        <v>3</v>
      </c>
      <c r="F86" s="72">
        <f t="shared" si="0"/>
        <v>1.0344827586206897</v>
      </c>
      <c r="G86" s="40"/>
    </row>
    <row r="87" spans="1:7" x14ac:dyDescent="0.25">
      <c r="A87" s="40"/>
      <c r="B87" s="40"/>
      <c r="C87" s="40"/>
      <c r="D87" s="40" t="s">
        <v>666</v>
      </c>
      <c r="E87" s="40">
        <f>+COUNTIF('Gastos medicos y sepelios'!$O$4:$O$299,Comisaria!D87)</f>
        <v>1</v>
      </c>
      <c r="F87" s="72">
        <f>E87/$C$11*100</f>
        <v>0.34482758620689657</v>
      </c>
      <c r="G87" s="40"/>
    </row>
    <row r="88" spans="1:7" x14ac:dyDescent="0.25">
      <c r="A88" s="40"/>
      <c r="B88" s="40"/>
      <c r="C88" s="40"/>
      <c r="D88" s="32" t="s">
        <v>193</v>
      </c>
      <c r="E88" s="40">
        <f>+COUNTIF('Gastos medicos y sepelios'!$O$4:$O$299,Comisaria!D88)</f>
        <v>1</v>
      </c>
      <c r="F88" s="72">
        <f t="shared" si="0"/>
        <v>0.34482758620689657</v>
      </c>
      <c r="G88" s="40"/>
    </row>
    <row r="89" spans="1:7" x14ac:dyDescent="0.25">
      <c r="A89" s="40"/>
      <c r="B89" s="40"/>
      <c r="C89" s="40"/>
      <c r="D89" s="40" t="s">
        <v>1008</v>
      </c>
      <c r="E89" s="40">
        <f>+COUNTIF('Gastos medicos y sepelios'!$O$4:$O$299,Comisaria!D89)</f>
        <v>1</v>
      </c>
      <c r="F89" s="72">
        <f t="shared" si="0"/>
        <v>0.34482758620689657</v>
      </c>
      <c r="G89" s="40"/>
    </row>
    <row r="90" spans="1:7" x14ac:dyDescent="0.25">
      <c r="A90" s="40"/>
      <c r="B90" s="40"/>
      <c r="C90" s="40"/>
      <c r="D90" s="32" t="s">
        <v>277</v>
      </c>
      <c r="E90" s="40">
        <f>+COUNTIF('Gastos medicos y sepelios'!$O$4:$O$299,Comisaria!D90)</f>
        <v>2</v>
      </c>
      <c r="F90" s="72">
        <f>E90/$C$11*100</f>
        <v>0.68965517241379315</v>
      </c>
      <c r="G90" s="40"/>
    </row>
    <row r="91" spans="1:7" x14ac:dyDescent="0.25">
      <c r="A91" s="40"/>
      <c r="B91" s="40"/>
      <c r="C91" s="40"/>
      <c r="D91" s="40" t="s">
        <v>980</v>
      </c>
      <c r="E91" s="40">
        <f>+COUNTIF('Gastos medicos y sepelios'!$O$4:$O$299,Comisaria!D91)</f>
        <v>1</v>
      </c>
      <c r="F91" s="72">
        <f t="shared" si="0"/>
        <v>0.34482758620689657</v>
      </c>
      <c r="G91" s="40"/>
    </row>
    <row r="92" spans="1:7" x14ac:dyDescent="0.25">
      <c r="A92" s="40"/>
      <c r="B92" s="40"/>
      <c r="C92" s="40"/>
      <c r="D92" s="40" t="s">
        <v>166</v>
      </c>
      <c r="E92" s="40">
        <f>+COUNTIF('Gastos medicos y sepelios'!$O$4:$O$299,Comisaria!D92)</f>
        <v>1</v>
      </c>
      <c r="F92" s="72">
        <f t="shared" si="0"/>
        <v>0.34482758620689657</v>
      </c>
      <c r="G92" s="40"/>
    </row>
    <row r="93" spans="1:7" x14ac:dyDescent="0.25">
      <c r="A93" s="40"/>
      <c r="B93" s="40"/>
      <c r="C93" s="40"/>
      <c r="D93" s="32" t="s">
        <v>939</v>
      </c>
      <c r="E93" s="40">
        <f>+COUNTIF('Gastos medicos y sepelios'!$O$4:$O$299,Comisaria!D93)</f>
        <v>1</v>
      </c>
      <c r="F93" s="72">
        <f t="shared" si="0"/>
        <v>0.34482758620689657</v>
      </c>
      <c r="G93" s="40"/>
    </row>
    <row r="94" spans="1:7" x14ac:dyDescent="0.25">
      <c r="A94" s="40"/>
      <c r="B94" s="40"/>
      <c r="C94" s="40"/>
      <c r="D94" s="32" t="s">
        <v>404</v>
      </c>
      <c r="E94" s="40">
        <f>+COUNTIF('Gastos medicos y sepelios'!$O$4:$O$299,Comisaria!D94)</f>
        <v>1</v>
      </c>
      <c r="F94" s="72">
        <f t="shared" si="0"/>
        <v>0.34482758620689657</v>
      </c>
      <c r="G94" s="40"/>
    </row>
    <row r="95" spans="1:7" x14ac:dyDescent="0.25">
      <c r="A95" s="40"/>
      <c r="B95" s="40"/>
      <c r="C95" s="40"/>
      <c r="D95" s="40" t="s">
        <v>370</v>
      </c>
      <c r="E95" s="40">
        <f>+COUNTIF('Gastos medicos y sepelios'!$O$4:$O$299,Comisaria!D95)</f>
        <v>5</v>
      </c>
      <c r="F95" s="72">
        <f t="shared" si="0"/>
        <v>1.7241379310344827</v>
      </c>
      <c r="G95" s="40"/>
    </row>
    <row r="96" spans="1:7" x14ac:dyDescent="0.25">
      <c r="A96" s="40"/>
      <c r="B96" s="40"/>
      <c r="C96" s="40"/>
      <c r="D96" s="40" t="s">
        <v>171</v>
      </c>
      <c r="E96" s="40">
        <f>+COUNTIF('Gastos medicos y sepelios'!$O$4:$O$299,Comisaria!D96)</f>
        <v>5</v>
      </c>
      <c r="F96" s="72">
        <f>E96/$C$11*100</f>
        <v>1.7241379310344827</v>
      </c>
      <c r="G96" s="40"/>
    </row>
    <row r="97" spans="1:7" x14ac:dyDescent="0.25">
      <c r="A97" s="40"/>
      <c r="B97" s="40"/>
      <c r="C97" s="40"/>
      <c r="D97" s="40" t="s">
        <v>569</v>
      </c>
      <c r="E97" s="40">
        <f>+COUNTIF('Gastos medicos y sepelios'!$O$4:$O$299,Comisaria!D97)</f>
        <v>1</v>
      </c>
      <c r="F97" s="72">
        <f t="shared" si="0"/>
        <v>0.34482758620689657</v>
      </c>
      <c r="G97" s="40"/>
    </row>
    <row r="98" spans="1:7" x14ac:dyDescent="0.25">
      <c r="A98" s="40"/>
      <c r="B98" s="40"/>
      <c r="C98" s="40"/>
      <c r="D98" s="32" t="s">
        <v>687</v>
      </c>
      <c r="E98" s="40">
        <f>+COUNTIF('Gastos medicos y sepelios'!$O$4:$O$299,Comisaria!D98)</f>
        <v>1</v>
      </c>
      <c r="F98" s="72">
        <f>E98/$C$11*100</f>
        <v>0.34482758620689657</v>
      </c>
      <c r="G98" s="40"/>
    </row>
    <row r="99" spans="1:7" x14ac:dyDescent="0.25">
      <c r="A99" s="40"/>
      <c r="B99" s="40"/>
      <c r="C99" s="40"/>
      <c r="D99" s="40" t="s">
        <v>734</v>
      </c>
      <c r="E99" s="40">
        <f>+COUNTIF('Gastos medicos y sepelios'!$O$4:$O$299,Comisaria!D99)</f>
        <v>1</v>
      </c>
      <c r="F99" s="72">
        <f t="shared" si="0"/>
        <v>0.34482758620689657</v>
      </c>
      <c r="G99" s="40"/>
    </row>
    <row r="100" spans="1:7" x14ac:dyDescent="0.25">
      <c r="A100" s="40"/>
      <c r="B100" s="40"/>
      <c r="C100" s="40"/>
      <c r="D100" s="40" t="s">
        <v>36</v>
      </c>
      <c r="E100" s="40">
        <f>+COUNTIF('Gastos medicos y sepelios'!$O$4:$O$299,Comisaria!D100)</f>
        <v>1</v>
      </c>
      <c r="F100" s="72">
        <f t="shared" si="0"/>
        <v>0.34482758620689657</v>
      </c>
      <c r="G100" s="40"/>
    </row>
    <row r="101" spans="1:7" x14ac:dyDescent="0.25">
      <c r="A101" s="40"/>
      <c r="B101" s="40"/>
      <c r="C101" s="40"/>
      <c r="D101" s="40" t="s">
        <v>556</v>
      </c>
      <c r="E101" s="40">
        <f>+COUNTIF('Gastos medicos y sepelios'!$O$4:$O$299,Comisaria!D101)</f>
        <v>1</v>
      </c>
      <c r="F101" s="72">
        <f t="shared" si="0"/>
        <v>0.34482758620689657</v>
      </c>
      <c r="G101" s="40"/>
    </row>
    <row r="102" spans="1:7" x14ac:dyDescent="0.25">
      <c r="A102" s="40"/>
      <c r="B102" s="40"/>
      <c r="C102" s="40"/>
      <c r="D102" s="32" t="s">
        <v>430</v>
      </c>
      <c r="E102" s="40">
        <f>+COUNTIF('Gastos medicos y sepelios'!$O$4:$O$299,Comisaria!D102)</f>
        <v>1</v>
      </c>
      <c r="F102" s="72">
        <f>E102/$C$11*100</f>
        <v>0.34482758620689657</v>
      </c>
      <c r="G102" s="40"/>
    </row>
    <row r="103" spans="1:7" x14ac:dyDescent="0.25">
      <c r="A103" s="40"/>
      <c r="B103" s="40"/>
      <c r="C103" s="40"/>
      <c r="D103" s="40" t="s">
        <v>340</v>
      </c>
      <c r="E103" s="40">
        <f>+COUNTIF('Gastos medicos y sepelios'!$O$4:$O$299,Comisaria!D103)</f>
        <v>2</v>
      </c>
      <c r="F103" s="72">
        <f t="shared" si="0"/>
        <v>0.68965517241379315</v>
      </c>
      <c r="G103" s="40"/>
    </row>
    <row r="104" spans="1:7" x14ac:dyDescent="0.25">
      <c r="A104" s="40"/>
      <c r="B104" s="40"/>
      <c r="C104" s="40"/>
      <c r="D104" s="40" t="s">
        <v>710</v>
      </c>
      <c r="E104" s="40">
        <f>+COUNTIF('Gastos medicos y sepelios'!$O$4:$O$299,Comisaria!D104)</f>
        <v>1</v>
      </c>
      <c r="F104" s="72">
        <f t="shared" si="0"/>
        <v>0.34482758620689657</v>
      </c>
      <c r="G104" s="40"/>
    </row>
    <row r="105" spans="1:7" x14ac:dyDescent="0.25">
      <c r="A105" s="40"/>
      <c r="B105" s="40"/>
      <c r="C105" s="40"/>
      <c r="D105" s="32" t="s">
        <v>798</v>
      </c>
      <c r="E105" s="40">
        <f>+COUNTIF('Gastos medicos y sepelios'!$O$4:$O$299,Comisaria!D105)</f>
        <v>1</v>
      </c>
      <c r="F105" s="72">
        <f>E105/$C$11*100</f>
        <v>0.34482758620689657</v>
      </c>
      <c r="G105" s="40"/>
    </row>
    <row r="106" spans="1:7" x14ac:dyDescent="0.25">
      <c r="A106" s="40"/>
      <c r="B106" s="40"/>
      <c r="C106" s="40"/>
      <c r="D106" s="40" t="s">
        <v>856</v>
      </c>
      <c r="E106" s="40">
        <f>+COUNTIF('Gastos medicos y sepelios'!$O$4:$O$299,Comisaria!D106)</f>
        <v>1</v>
      </c>
      <c r="F106" s="72">
        <f t="shared" si="0"/>
        <v>0.34482758620689657</v>
      </c>
      <c r="G106" s="40"/>
    </row>
    <row r="107" spans="1:7" x14ac:dyDescent="0.25">
      <c r="A107" s="40"/>
      <c r="B107" s="40"/>
      <c r="C107" s="40"/>
      <c r="D107" s="40" t="s">
        <v>707</v>
      </c>
      <c r="E107" s="40">
        <f>+COUNTIF('Gastos medicos y sepelios'!$O$4:$O$299,Comisaria!D107)</f>
        <v>1</v>
      </c>
      <c r="F107" s="72">
        <f>E107/$C$11*100</f>
        <v>0.34482758620689657</v>
      </c>
      <c r="G107" s="40"/>
    </row>
    <row r="108" spans="1:7" x14ac:dyDescent="0.25">
      <c r="A108" s="40"/>
      <c r="B108" s="40"/>
      <c r="C108" s="40"/>
      <c r="D108" s="40" t="s">
        <v>786</v>
      </c>
      <c r="E108" s="40">
        <f>+COUNTIF('Gastos medicos y sepelios'!$O$4:$O$299,Comisaria!D108)</f>
        <v>1</v>
      </c>
      <c r="F108" s="72">
        <f>E108/$C$11*100</f>
        <v>0.34482758620689657</v>
      </c>
      <c r="G108" s="40"/>
    </row>
    <row r="109" spans="1:7" x14ac:dyDescent="0.25">
      <c r="A109" s="40"/>
      <c r="B109" s="40"/>
      <c r="C109" s="40"/>
      <c r="D109" s="32" t="s">
        <v>946</v>
      </c>
      <c r="E109" s="40">
        <f>+COUNTIF('Gastos medicos y sepelios'!$O$4:$O$299,Comisaria!D109)</f>
        <v>1</v>
      </c>
      <c r="F109" s="72">
        <f>E109/$C$11*100</f>
        <v>0.34482758620689657</v>
      </c>
      <c r="G109" s="40"/>
    </row>
    <row r="110" spans="1:7" x14ac:dyDescent="0.25">
      <c r="A110" s="40"/>
      <c r="B110" s="40"/>
      <c r="C110" s="40"/>
      <c r="D110" s="40" t="s">
        <v>319</v>
      </c>
      <c r="E110" s="40">
        <f>+COUNTIF('Gastos medicos y sepelios'!$O$4:$O$299,Comisaria!D110)</f>
        <v>2</v>
      </c>
      <c r="F110" s="72">
        <f>E110/$C$11*100</f>
        <v>0.68965517241379315</v>
      </c>
      <c r="G110" s="40"/>
    </row>
    <row r="111" spans="1:7" x14ac:dyDescent="0.25">
      <c r="A111" s="40"/>
      <c r="B111" s="40"/>
      <c r="C111" s="40"/>
      <c r="D111" s="40" t="s">
        <v>886</v>
      </c>
      <c r="E111" s="40">
        <f>+COUNTIF('Gastos medicos y sepelios'!$O$4:$O$299,Comisaria!D111)</f>
        <v>1</v>
      </c>
      <c r="F111" s="72">
        <f t="shared" si="0"/>
        <v>0.34482758620689657</v>
      </c>
      <c r="G111" s="40"/>
    </row>
    <row r="112" spans="1:7" x14ac:dyDescent="0.25">
      <c r="A112" s="40"/>
      <c r="B112" s="40"/>
      <c r="C112" s="40"/>
      <c r="D112" s="40" t="s">
        <v>84</v>
      </c>
      <c r="E112" s="40">
        <f>+COUNTIF('Gastos medicos y sepelios'!$O$4:$O$299,Comisaria!D112)</f>
        <v>1</v>
      </c>
      <c r="F112" s="72">
        <f t="shared" si="0"/>
        <v>0.34482758620689657</v>
      </c>
      <c r="G112" s="40"/>
    </row>
    <row r="113" spans="1:7" x14ac:dyDescent="0.25">
      <c r="A113" s="40"/>
      <c r="B113" s="40"/>
      <c r="C113" s="40"/>
      <c r="D113" s="40" t="s">
        <v>285</v>
      </c>
      <c r="E113" s="40">
        <f>+COUNTIF('Gastos medicos y sepelios'!$O$4:$O$299,Comisaria!D113)</f>
        <v>1</v>
      </c>
      <c r="F113" s="72">
        <f t="shared" si="0"/>
        <v>0.34482758620689657</v>
      </c>
      <c r="G113" s="40"/>
    </row>
    <row r="114" spans="1:7" x14ac:dyDescent="0.25">
      <c r="A114" s="40"/>
      <c r="B114" s="40"/>
      <c r="C114" s="40"/>
      <c r="D114" s="32" t="s">
        <v>434</v>
      </c>
      <c r="E114" s="40">
        <f>+COUNTIF('Gastos medicos y sepelios'!$O$4:$O$299,Comisaria!D114)</f>
        <v>1</v>
      </c>
      <c r="F114" s="72">
        <f t="shared" si="0"/>
        <v>0.34482758620689657</v>
      </c>
      <c r="G114" s="40"/>
    </row>
    <row r="115" spans="1:7" x14ac:dyDescent="0.25">
      <c r="A115" s="40"/>
      <c r="B115" s="40"/>
      <c r="C115" s="40"/>
      <c r="D115" s="32" t="s">
        <v>546</v>
      </c>
      <c r="E115" s="40">
        <f>+COUNTIF('Gastos medicos y sepelios'!$O$4:$O$299,Comisaria!D115)</f>
        <v>1</v>
      </c>
      <c r="F115" s="72">
        <f t="shared" si="0"/>
        <v>0.34482758620689657</v>
      </c>
      <c r="G115" s="40"/>
    </row>
    <row r="116" spans="1:7" x14ac:dyDescent="0.25">
      <c r="A116" s="40"/>
      <c r="B116" s="40"/>
      <c r="C116" s="40"/>
      <c r="D116" s="40" t="s">
        <v>1040</v>
      </c>
      <c r="E116" s="40">
        <f>+COUNTIF('Gastos medicos y sepelios'!$O$4:$O$299,Comisaria!D116)</f>
        <v>1</v>
      </c>
      <c r="F116" s="72">
        <f t="shared" si="0"/>
        <v>0.34482758620689657</v>
      </c>
      <c r="G116" s="40"/>
    </row>
    <row r="117" spans="1:7" x14ac:dyDescent="0.25">
      <c r="A117" s="40"/>
      <c r="B117" s="40"/>
      <c r="C117" s="40"/>
      <c r="D117" s="40" t="s">
        <v>951</v>
      </c>
      <c r="E117" s="40">
        <f>+COUNTIF('Gastos medicos y sepelios'!$O$4:$O$299,Comisaria!D117)</f>
        <v>2</v>
      </c>
      <c r="F117" s="72">
        <f>E117/$C$11*100</f>
        <v>0.68965517241379315</v>
      </c>
      <c r="G117" s="40"/>
    </row>
    <row r="118" spans="1:7" x14ac:dyDescent="0.25">
      <c r="A118" s="40"/>
      <c r="B118" s="40"/>
      <c r="C118" s="40"/>
      <c r="D118" s="40" t="s">
        <v>986</v>
      </c>
      <c r="E118" s="40">
        <f>+COUNTIF('Gastos medicos y sepelios'!$O$4:$O$299,Comisaria!D118)</f>
        <v>1</v>
      </c>
      <c r="F118" s="72">
        <f t="shared" si="0"/>
        <v>0.34482758620689657</v>
      </c>
      <c r="G118" s="40"/>
    </row>
    <row r="119" spans="1:7" x14ac:dyDescent="0.25">
      <c r="A119" s="40"/>
      <c r="B119" s="40"/>
      <c r="C119" s="40"/>
      <c r="D119" s="40" t="s">
        <v>584</v>
      </c>
      <c r="E119" s="40">
        <f>+COUNTIF('Gastos medicos y sepelios'!$O$4:$O$299,Comisaria!D119)</f>
        <v>1</v>
      </c>
      <c r="F119" s="72">
        <f t="shared" si="0"/>
        <v>0.34482758620689657</v>
      </c>
      <c r="G119" s="40"/>
    </row>
    <row r="120" spans="1:7" x14ac:dyDescent="0.25">
      <c r="A120" s="40"/>
      <c r="B120" s="40"/>
      <c r="C120" s="40"/>
      <c r="D120" s="40" t="s">
        <v>983</v>
      </c>
      <c r="E120" s="40">
        <f>+COUNTIF('Gastos medicos y sepelios'!$O$4:$O$299,Comisaria!D120)</f>
        <v>1</v>
      </c>
      <c r="F120" s="72">
        <f t="shared" si="0"/>
        <v>0.34482758620689657</v>
      </c>
      <c r="G120" s="40"/>
    </row>
    <row r="121" spans="1:7" x14ac:dyDescent="0.25">
      <c r="A121" s="40"/>
      <c r="B121" s="40"/>
      <c r="C121" s="40"/>
      <c r="D121" s="40" t="s">
        <v>382</v>
      </c>
      <c r="E121" s="40">
        <f>+COUNTIF('Gastos medicos y sepelios'!$O$4:$O$299,Comisaria!D121)</f>
        <v>1</v>
      </c>
      <c r="F121" s="72">
        <f>E121/$C$11*100</f>
        <v>0.34482758620689657</v>
      </c>
      <c r="G121" s="40"/>
    </row>
    <row r="122" spans="1:7" x14ac:dyDescent="0.25">
      <c r="A122" s="40"/>
      <c r="B122" s="40"/>
      <c r="C122" s="40"/>
      <c r="D122" s="40" t="s">
        <v>516</v>
      </c>
      <c r="E122" s="40">
        <f>+COUNTIF('Gastos medicos y sepelios'!$O$4:$O$299,Comisaria!D122)</f>
        <v>3</v>
      </c>
      <c r="F122" s="72">
        <f t="shared" si="0"/>
        <v>1.0344827586206897</v>
      </c>
      <c r="G122" s="40"/>
    </row>
    <row r="123" spans="1:7" x14ac:dyDescent="0.25">
      <c r="A123" s="40"/>
      <c r="B123" s="40"/>
      <c r="C123" s="40"/>
      <c r="D123" s="32" t="s">
        <v>243</v>
      </c>
      <c r="E123" s="40">
        <f>+COUNTIF('Gastos medicos y sepelios'!$O$4:$O$299,Comisaria!D123)</f>
        <v>3</v>
      </c>
      <c r="F123" s="72">
        <f>E123/$C$11*100</f>
        <v>1.0344827586206897</v>
      </c>
      <c r="G123" s="40"/>
    </row>
    <row r="124" spans="1:7" x14ac:dyDescent="0.25">
      <c r="A124" s="40"/>
      <c r="B124" s="40"/>
      <c r="C124" s="40"/>
      <c r="D124" s="32" t="s">
        <v>883</v>
      </c>
      <c r="E124" s="40">
        <f>+COUNTIF('Gastos medicos y sepelios'!$O$4:$O$299,Comisaria!D124)</f>
        <v>1</v>
      </c>
      <c r="F124" s="72">
        <f>E124/$C$11*100</f>
        <v>0.34482758620689657</v>
      </c>
      <c r="G124" s="40"/>
    </row>
    <row r="125" spans="1:7" x14ac:dyDescent="0.25">
      <c r="A125" s="40"/>
      <c r="B125" s="40"/>
      <c r="C125" s="40"/>
      <c r="D125" s="40" t="s">
        <v>461</v>
      </c>
      <c r="E125" s="40">
        <f>+COUNTIF('Gastos medicos y sepelios'!$O$4:$O$299,Comisaria!D125)</f>
        <v>1</v>
      </c>
      <c r="F125" s="72">
        <f>E125/$C$11*100</f>
        <v>0.34482758620689657</v>
      </c>
      <c r="G125" s="40"/>
    </row>
    <row r="126" spans="1:7" x14ac:dyDescent="0.25">
      <c r="A126" s="40"/>
      <c r="B126" s="40"/>
      <c r="C126" s="40"/>
      <c r="D126" s="32" t="s">
        <v>891</v>
      </c>
      <c r="E126" s="40">
        <f>+COUNTIF('Gastos medicos y sepelios'!$O$4:$O$299,Comisaria!D126)</f>
        <v>1</v>
      </c>
      <c r="F126" s="72">
        <f>E126/$C$11*100</f>
        <v>0.34482758620689657</v>
      </c>
      <c r="G126" s="40"/>
    </row>
    <row r="127" spans="1:7" x14ac:dyDescent="0.25">
      <c r="A127" s="40"/>
      <c r="B127" s="40"/>
      <c r="C127" s="40"/>
      <c r="D127" s="40" t="s">
        <v>622</v>
      </c>
      <c r="E127" s="40">
        <f>+COUNTIF('Gastos medicos y sepelios'!$O$4:$O$299,Comisaria!D127)</f>
        <v>1</v>
      </c>
      <c r="F127" s="72">
        <f t="shared" si="0"/>
        <v>0.34482758620689657</v>
      </c>
      <c r="G127" s="40"/>
    </row>
    <row r="128" spans="1:7" x14ac:dyDescent="0.25">
      <c r="A128" s="40"/>
      <c r="B128" s="40"/>
      <c r="C128" s="40"/>
      <c r="D128" s="32" t="s">
        <v>394</v>
      </c>
      <c r="E128" s="40">
        <f>+COUNTIF('Gastos medicos y sepelios'!$O$4:$O$299,Comisaria!D128)</f>
        <v>1</v>
      </c>
      <c r="F128" s="72">
        <f>E128/$C$11*100</f>
        <v>0.34482758620689657</v>
      </c>
      <c r="G128" s="40"/>
    </row>
    <row r="129" spans="1:7" x14ac:dyDescent="0.25">
      <c r="A129" s="40"/>
      <c r="B129" s="40"/>
      <c r="C129" s="40"/>
      <c r="D129" s="40" t="s">
        <v>78</v>
      </c>
      <c r="E129" s="40">
        <f>+COUNTIF('Gastos medicos y sepelios'!$O$4:$O$299,Comisaria!D129)</f>
        <v>3</v>
      </c>
      <c r="F129" s="72">
        <f t="shared" si="0"/>
        <v>1.0344827586206897</v>
      </c>
      <c r="G129" s="40"/>
    </row>
    <row r="130" spans="1:7" x14ac:dyDescent="0.25">
      <c r="A130" s="40"/>
      <c r="B130" s="40"/>
      <c r="C130" s="40"/>
      <c r="D130" s="40" t="s">
        <v>229</v>
      </c>
      <c r="E130" s="40">
        <f>+COUNTIF('Gastos medicos y sepelios'!$O$4:$O$299,Comisaria!D130)</f>
        <v>1</v>
      </c>
      <c r="F130" s="72">
        <f>E130/$C$11*100</f>
        <v>0.34482758620689657</v>
      </c>
      <c r="G130" s="40"/>
    </row>
    <row r="131" spans="1:7" x14ac:dyDescent="0.25">
      <c r="A131" s="40"/>
      <c r="B131" s="40"/>
      <c r="C131" s="40"/>
      <c r="D131" s="40" t="s">
        <v>297</v>
      </c>
      <c r="E131" s="40">
        <f>+COUNTIF('Gastos medicos y sepelios'!$O$4:$O$299,Comisaria!D131)</f>
        <v>3</v>
      </c>
      <c r="F131" s="72">
        <f t="shared" si="0"/>
        <v>1.0344827586206897</v>
      </c>
      <c r="G131" s="40"/>
    </row>
    <row r="132" spans="1:7" x14ac:dyDescent="0.25">
      <c r="A132" s="40"/>
      <c r="B132" s="40"/>
      <c r="C132" s="40"/>
      <c r="D132" s="40" t="s">
        <v>167</v>
      </c>
      <c r="E132" s="40">
        <f>+COUNTIF('Gastos medicos y sepelios'!$O$4:$O$299,Comisaria!D132)</f>
        <v>4</v>
      </c>
      <c r="F132" s="72">
        <f t="shared" si="0"/>
        <v>1.3793103448275863</v>
      </c>
      <c r="G132" s="40"/>
    </row>
    <row r="133" spans="1:7" x14ac:dyDescent="0.25">
      <c r="A133" s="40"/>
      <c r="B133" s="40"/>
      <c r="C133" s="40"/>
      <c r="D133" s="40" t="s">
        <v>608</v>
      </c>
      <c r="E133" s="40">
        <f>+COUNTIF('Gastos medicos y sepelios'!$O$4:$O$299,Comisaria!D133)</f>
        <v>1</v>
      </c>
      <c r="F133" s="72">
        <f t="shared" si="0"/>
        <v>0.34482758620689657</v>
      </c>
      <c r="G133" s="40"/>
    </row>
    <row r="134" spans="1:7" x14ac:dyDescent="0.25">
      <c r="A134" s="40"/>
      <c r="B134" s="40"/>
      <c r="C134" s="40"/>
      <c r="D134" s="40" t="s">
        <v>283</v>
      </c>
      <c r="E134" s="40">
        <f>+COUNTIF('Gastos medicos y sepelios'!$O$4:$O$299,Comisaria!D134)</f>
        <v>2</v>
      </c>
      <c r="F134" s="72">
        <f t="shared" si="0"/>
        <v>0.68965517241379315</v>
      </c>
      <c r="G134" s="40"/>
    </row>
    <row r="135" spans="1:7" x14ac:dyDescent="0.25">
      <c r="A135" s="40"/>
      <c r="B135" s="40"/>
      <c r="C135" s="40"/>
      <c r="D135" s="40" t="s">
        <v>416</v>
      </c>
      <c r="E135" s="40">
        <f>+COUNTIF('Gastos medicos y sepelios'!$O$4:$O$299,Comisaria!D135)</f>
        <v>1</v>
      </c>
      <c r="F135" s="72">
        <f t="shared" si="0"/>
        <v>0.34482758620689657</v>
      </c>
      <c r="G135" s="40"/>
    </row>
    <row r="136" spans="1:7" x14ac:dyDescent="0.25">
      <c r="A136" s="40"/>
      <c r="B136" s="40"/>
      <c r="C136" s="40"/>
      <c r="D136" s="32" t="s">
        <v>272</v>
      </c>
      <c r="E136" s="40">
        <f>+COUNTIF('Gastos medicos y sepelios'!$O$4:$O$299,Comisaria!D136)</f>
        <v>3</v>
      </c>
      <c r="F136" s="72">
        <f>E136/$C$11*100</f>
        <v>1.0344827586206897</v>
      </c>
      <c r="G136" s="40"/>
    </row>
    <row r="137" spans="1:7" x14ac:dyDescent="0.25">
      <c r="A137" s="40"/>
      <c r="B137" s="40"/>
      <c r="C137" s="40"/>
      <c r="D137" s="40" t="s">
        <v>410</v>
      </c>
      <c r="E137" s="40">
        <f>+COUNTIF('Gastos medicos y sepelios'!$O$4:$O$299,Comisaria!D137)</f>
        <v>5</v>
      </c>
      <c r="F137" s="72">
        <f>E137/$C$11*100</f>
        <v>1.7241379310344827</v>
      </c>
      <c r="G137" s="40"/>
    </row>
    <row r="138" spans="1:7" x14ac:dyDescent="0.25">
      <c r="A138" s="40"/>
      <c r="B138" s="40"/>
      <c r="C138" s="40"/>
      <c r="D138" s="32" t="s">
        <v>714</v>
      </c>
      <c r="E138" s="40">
        <f>+COUNTIF('Gastos medicos y sepelios'!$O$4:$O$299,Comisaria!D138)</f>
        <v>1</v>
      </c>
      <c r="F138" s="72">
        <f>E138/$C$11*100</f>
        <v>0.34482758620689657</v>
      </c>
      <c r="G138" s="40"/>
    </row>
    <row r="139" spans="1:7" x14ac:dyDescent="0.25">
      <c r="A139" s="40"/>
      <c r="B139" s="40"/>
      <c r="C139" s="40"/>
      <c r="D139" s="40" t="s">
        <v>834</v>
      </c>
      <c r="E139" s="40">
        <f>+COUNTIF('Gastos medicos y sepelios'!$O$4:$O$299,Comisaria!D139)</f>
        <v>1</v>
      </c>
      <c r="F139" s="72">
        <f t="shared" si="0"/>
        <v>0.34482758620689657</v>
      </c>
      <c r="G139" s="40"/>
    </row>
    <row r="140" spans="1:7" x14ac:dyDescent="0.25">
      <c r="A140" s="40"/>
      <c r="B140" s="40"/>
      <c r="C140" s="40"/>
      <c r="D140" s="40" t="s">
        <v>88</v>
      </c>
      <c r="E140" s="40">
        <f>+COUNTIF('Gastos medicos y sepelios'!$O$4:$O$299,Comisaria!D140)</f>
        <v>2</v>
      </c>
      <c r="F140" s="72">
        <f t="shared" si="0"/>
        <v>0.68965517241379315</v>
      </c>
      <c r="G140" s="40"/>
    </row>
    <row r="141" spans="1:7" x14ac:dyDescent="0.25">
      <c r="A141" s="40"/>
      <c r="B141" s="40"/>
      <c r="C141" s="40"/>
      <c r="D141" s="40" t="s">
        <v>651</v>
      </c>
      <c r="E141" s="40">
        <f>+COUNTIF('Gastos medicos y sepelios'!$O$4:$O$299,Comisaria!D141)</f>
        <v>1</v>
      </c>
      <c r="F141" s="72">
        <f>E141/$C$11*100</f>
        <v>0.34482758620689657</v>
      </c>
      <c r="G141" s="40"/>
    </row>
    <row r="142" spans="1:7" x14ac:dyDescent="0.25">
      <c r="A142" s="40"/>
      <c r="B142" s="40"/>
      <c r="C142" s="40"/>
      <c r="D142" s="40" t="s">
        <v>103</v>
      </c>
      <c r="E142" s="40">
        <f>+COUNTIF('Gastos medicos y sepelios'!$O$4:$O$299,Comisaria!D142)</f>
        <v>1</v>
      </c>
      <c r="F142" s="72">
        <f t="shared" si="0"/>
        <v>0.34482758620689657</v>
      </c>
      <c r="G142" s="40"/>
    </row>
    <row r="143" spans="1:7" x14ac:dyDescent="0.25">
      <c r="A143" s="40"/>
      <c r="B143" s="40"/>
      <c r="C143" s="40"/>
      <c r="D143" s="32" t="s">
        <v>831</v>
      </c>
      <c r="E143" s="40">
        <f>+COUNTIF('Gastos medicos y sepelios'!$O$4:$O$299,Comisaria!D143)</f>
        <v>1</v>
      </c>
      <c r="F143" s="72">
        <f>E143/$C$11*100</f>
        <v>0.34482758620689657</v>
      </c>
      <c r="G143" s="40"/>
    </row>
    <row r="144" spans="1:7" x14ac:dyDescent="0.25">
      <c r="A144" s="40"/>
      <c r="B144" s="40"/>
      <c r="C144" s="40"/>
      <c r="D144" s="32" t="s">
        <v>318</v>
      </c>
      <c r="E144" s="40">
        <f>+COUNTIF('Gastos medicos y sepelios'!$O$4:$O$299,Comisaria!D144)</f>
        <v>3</v>
      </c>
      <c r="F144" s="72">
        <f>E144/$C$11*100</f>
        <v>1.0344827586206897</v>
      </c>
      <c r="G144" s="40"/>
    </row>
    <row r="145" spans="1:7" x14ac:dyDescent="0.25">
      <c r="A145" s="40"/>
      <c r="B145" s="40"/>
      <c r="C145" s="40"/>
      <c r="D145" s="32" t="s">
        <v>128</v>
      </c>
      <c r="E145" s="40">
        <f>+COUNTIF('Gastos medicos y sepelios'!$O$4:$O$299,Comisaria!D145)</f>
        <v>1</v>
      </c>
      <c r="F145" s="72">
        <f t="shared" si="0"/>
        <v>0.34482758620689657</v>
      </c>
      <c r="G145" s="40"/>
    </row>
    <row r="146" spans="1:7" x14ac:dyDescent="0.25">
      <c r="A146" s="40"/>
      <c r="B146" s="40"/>
      <c r="C146" s="40"/>
      <c r="D146" s="40" t="s">
        <v>616</v>
      </c>
      <c r="E146" s="40">
        <f>+COUNTIF('Gastos medicos y sepelios'!$O$4:$O$299,Comisaria!D146)</f>
        <v>3</v>
      </c>
      <c r="F146" s="72">
        <f t="shared" si="0"/>
        <v>1.0344827586206897</v>
      </c>
      <c r="G146" s="40"/>
    </row>
    <row r="147" spans="1:7" x14ac:dyDescent="0.25">
      <c r="A147" s="40"/>
      <c r="B147" s="40"/>
      <c r="C147" s="40"/>
      <c r="D147" s="32" t="s">
        <v>775</v>
      </c>
      <c r="E147" s="40">
        <f>+COUNTIF('Gastos medicos y sepelios'!$O$4:$O$299,Comisaria!D147)</f>
        <v>1</v>
      </c>
      <c r="F147" s="72">
        <f>E147/$C$11*100</f>
        <v>0.34482758620689657</v>
      </c>
      <c r="G147" s="40"/>
    </row>
    <row r="148" spans="1:7" x14ac:dyDescent="0.25">
      <c r="A148" s="40"/>
      <c r="B148" s="40"/>
      <c r="C148" s="40"/>
      <c r="D148" s="40" t="s">
        <v>64</v>
      </c>
      <c r="E148" s="40">
        <f>+COUNTIF('Gastos medicos y sepelios'!$O$4:$O$299,Comisaria!D148)</f>
        <v>3</v>
      </c>
      <c r="F148" s="72">
        <f t="shared" si="0"/>
        <v>1.0344827586206897</v>
      </c>
      <c r="G148" s="40"/>
    </row>
    <row r="149" spans="1:7" x14ac:dyDescent="0.25">
      <c r="A149" s="40"/>
      <c r="B149" s="40"/>
      <c r="C149" s="40"/>
      <c r="D149" s="32" t="s">
        <v>168</v>
      </c>
      <c r="E149" s="40">
        <f>+COUNTIF('Gastos medicos y sepelios'!$O$4:$O$299,Comisaria!D149)</f>
        <v>4</v>
      </c>
      <c r="F149" s="72">
        <f>E149/$C$11*100</f>
        <v>1.3793103448275863</v>
      </c>
      <c r="G149" s="40"/>
    </row>
    <row r="150" spans="1:7" x14ac:dyDescent="0.25">
      <c r="A150" s="40"/>
      <c r="B150" s="40"/>
      <c r="C150" s="40"/>
      <c r="D150" s="40" t="s">
        <v>175</v>
      </c>
      <c r="E150" s="40">
        <f>+COUNTIF('Gastos medicos y sepelios'!$O$4:$O$299,Comisaria!D150)</f>
        <v>1</v>
      </c>
      <c r="F150" s="72">
        <f t="shared" si="0"/>
        <v>0.34482758620689657</v>
      </c>
      <c r="G150" s="40"/>
    </row>
    <row r="151" spans="1:7" x14ac:dyDescent="0.25">
      <c r="A151" s="40"/>
      <c r="B151" s="40"/>
      <c r="C151" s="40"/>
      <c r="D151" s="32" t="s">
        <v>37</v>
      </c>
      <c r="E151" s="40">
        <f>+COUNTIF('Gastos medicos y sepelios'!$O$4:$O$299,Comisaria!D151)</f>
        <v>2</v>
      </c>
      <c r="F151" s="72">
        <f>E151/$C$11*100</f>
        <v>0.68965517241379315</v>
      </c>
      <c r="G151" s="40"/>
    </row>
    <row r="152" spans="1:7" x14ac:dyDescent="0.25">
      <c r="A152" s="40"/>
      <c r="B152" s="40"/>
      <c r="C152" s="40"/>
      <c r="D152" s="40" t="s">
        <v>140</v>
      </c>
      <c r="E152" s="40">
        <f>+COUNTIF('Gastos medicos y sepelios'!$O$4:$O$299,Comisaria!D152)</f>
        <v>1</v>
      </c>
      <c r="F152" s="72">
        <f t="shared" si="0"/>
        <v>0.34482758620689657</v>
      </c>
      <c r="G152" s="40"/>
    </row>
    <row r="153" spans="1:7" x14ac:dyDescent="0.25">
      <c r="A153" s="40"/>
      <c r="B153" s="40"/>
      <c r="C153" s="40"/>
      <c r="D153" s="32" t="s">
        <v>348</v>
      </c>
      <c r="E153" s="40">
        <f>+COUNTIF('Gastos medicos y sepelios'!$O$4:$O$299,Comisaria!D153)</f>
        <v>1</v>
      </c>
      <c r="F153" s="72">
        <f>E153/$C$11*100</f>
        <v>0.34482758620689657</v>
      </c>
      <c r="G153" s="40"/>
    </row>
    <row r="154" spans="1:7" x14ac:dyDescent="0.25">
      <c r="A154" s="40"/>
      <c r="B154" s="40"/>
      <c r="C154" s="40"/>
      <c r="D154" s="40" t="s">
        <v>1030</v>
      </c>
      <c r="E154" s="40">
        <f>+COUNTIF('Gastos medicos y sepelios'!$O$4:$O$299,Comisaria!D154)</f>
        <v>1</v>
      </c>
      <c r="F154" s="72">
        <f t="shared" si="0"/>
        <v>0.34482758620689657</v>
      </c>
      <c r="G154" s="40"/>
    </row>
    <row r="155" spans="1:7" x14ac:dyDescent="0.25">
      <c r="A155" s="40"/>
      <c r="B155" s="40"/>
      <c r="C155" s="40"/>
      <c r="D155" s="40" t="s">
        <v>484</v>
      </c>
      <c r="E155" s="40">
        <f>+COUNTIF('Gastos medicos y sepelios'!$O$4:$O$299,Comisaria!D155)</f>
        <v>1</v>
      </c>
      <c r="F155" s="72">
        <f t="shared" si="0"/>
        <v>0.34482758620689657</v>
      </c>
      <c r="G155" s="40"/>
    </row>
    <row r="156" spans="1:7" x14ac:dyDescent="0.25">
      <c r="A156" s="40"/>
      <c r="B156" s="40"/>
      <c r="C156" s="40"/>
      <c r="D156" s="32" t="s">
        <v>27</v>
      </c>
      <c r="E156" s="40">
        <f>+COUNTIF('Gastos medicos y sepelios'!$O$4:$O$299,Comisaria!D156)</f>
        <v>2</v>
      </c>
      <c r="F156" s="72">
        <f t="shared" si="0"/>
        <v>0.68965517241379315</v>
      </c>
      <c r="G156" s="40"/>
    </row>
    <row r="157" spans="1:7" x14ac:dyDescent="0.25">
      <c r="A157" s="40"/>
      <c r="B157" s="40"/>
      <c r="C157" s="40"/>
      <c r="D157" s="32" t="s">
        <v>935</v>
      </c>
      <c r="E157" s="40">
        <f>+COUNTIF('Gastos medicos y sepelios'!$O$4:$O$299,Comisaria!D157)</f>
        <v>1</v>
      </c>
      <c r="F157" s="72">
        <f>E157/$C$11*100</f>
        <v>0.34482758620689657</v>
      </c>
      <c r="G157" s="40"/>
    </row>
    <row r="158" spans="1:7" x14ac:dyDescent="0.25">
      <c r="A158" s="40"/>
      <c r="B158" s="40"/>
      <c r="C158" s="40"/>
      <c r="D158" s="40" t="s">
        <v>464</v>
      </c>
      <c r="E158" s="40">
        <f>+COUNTIF('Gastos medicos y sepelios'!$O$4:$O$299,Comisaria!D158)</f>
        <v>1</v>
      </c>
      <c r="F158" s="72">
        <f t="shared" si="0"/>
        <v>0.34482758620689657</v>
      </c>
      <c r="G158" s="40"/>
    </row>
    <row r="159" spans="1:7" x14ac:dyDescent="0.25">
      <c r="A159" s="40"/>
      <c r="B159" s="40"/>
      <c r="C159" s="40"/>
      <c r="D159" s="40" t="s">
        <v>917</v>
      </c>
      <c r="E159" s="40">
        <f>+COUNTIF('Gastos medicos y sepelios'!$O$4:$O$299,Comisaria!D159)</f>
        <v>2</v>
      </c>
      <c r="F159" s="72">
        <f t="shared" si="0"/>
        <v>0.68965517241379315</v>
      </c>
      <c r="G159" s="40"/>
    </row>
    <row r="160" spans="1:7" x14ac:dyDescent="0.25">
      <c r="A160" s="40"/>
      <c r="B160" s="40"/>
      <c r="C160" s="40"/>
      <c r="D160" s="40" t="s">
        <v>759</v>
      </c>
      <c r="E160" s="40">
        <f>+COUNTIF('Gastos medicos y sepelios'!$O$4:$O$299,Comisaria!D160)</f>
        <v>3</v>
      </c>
      <c r="F160" s="72">
        <f>E160/$C$11*100</f>
        <v>1.0344827586206897</v>
      </c>
      <c r="G160" s="40"/>
    </row>
    <row r="161" spans="1:7" x14ac:dyDescent="0.25">
      <c r="A161" s="40"/>
      <c r="B161" s="40"/>
      <c r="C161" s="40"/>
      <c r="D161" s="32" t="s">
        <v>352</v>
      </c>
      <c r="E161" s="40">
        <f>+COUNTIF('Gastos medicos y sepelios'!$O$4:$O$299,Comisaria!D161)</f>
        <v>2</v>
      </c>
      <c r="F161" s="72">
        <f>E161/$C$11*100</f>
        <v>0.68965517241379315</v>
      </c>
      <c r="G161" s="40"/>
    </row>
    <row r="162" spans="1:7" x14ac:dyDescent="0.25">
      <c r="A162" s="40"/>
      <c r="B162" s="40"/>
      <c r="C162" s="40"/>
      <c r="D162" s="40" t="s">
        <v>363</v>
      </c>
      <c r="E162" s="40">
        <f>+COUNTIF('Gastos medicos y sepelios'!$O$4:$O$299,Comisaria!D162)</f>
        <v>1</v>
      </c>
      <c r="F162" s="72">
        <f t="shared" si="0"/>
        <v>0.34482758620689657</v>
      </c>
      <c r="G162" s="40"/>
    </row>
    <row r="163" spans="1:7" x14ac:dyDescent="0.25">
      <c r="A163" s="40"/>
      <c r="B163" s="40"/>
      <c r="C163" s="40"/>
      <c r="D163" s="40" t="s">
        <v>1011</v>
      </c>
      <c r="E163" s="40">
        <f>+COUNTIF('Gastos medicos y sepelios'!$O$4:$O$299,Comisaria!D163)</f>
        <v>1</v>
      </c>
      <c r="F163" s="72">
        <f t="shared" si="0"/>
        <v>0.34482758620689657</v>
      </c>
      <c r="G163" s="40"/>
    </row>
    <row r="164" spans="1:7" x14ac:dyDescent="0.25">
      <c r="A164" s="40"/>
      <c r="B164" s="40"/>
      <c r="C164" s="40"/>
      <c r="D164" s="40" t="s">
        <v>762</v>
      </c>
      <c r="E164" s="40">
        <f>+COUNTIF('Gastos medicos y sepelios'!$O$4:$O$299,Comisaria!D164)</f>
        <v>1</v>
      </c>
      <c r="F164" s="72">
        <f>E164/$C$11*100</f>
        <v>0.34482758620689657</v>
      </c>
      <c r="G164" s="40"/>
    </row>
    <row r="165" spans="1:7" x14ac:dyDescent="0.25">
      <c r="A165" s="40"/>
      <c r="B165" s="40"/>
      <c r="C165" s="40"/>
      <c r="D165" s="32" t="s">
        <v>682</v>
      </c>
      <c r="E165" s="40">
        <f>+COUNTIF('Gastos medicos y sepelios'!$O$4:$O$299,Comisaria!D165)</f>
        <v>1</v>
      </c>
      <c r="F165" s="72">
        <f>E165/$C$11*100</f>
        <v>0.34482758620689657</v>
      </c>
      <c r="G165" s="40"/>
    </row>
    <row r="166" spans="1:7" x14ac:dyDescent="0.25">
      <c r="A166" s="40"/>
      <c r="B166" s="40"/>
      <c r="C166" s="40"/>
      <c r="D166" s="32" t="s">
        <v>55</v>
      </c>
      <c r="E166" s="40">
        <f>+COUNTIF('Gastos medicos y sepelios'!$O$4:$O$299,Comisaria!D166)</f>
        <v>1</v>
      </c>
      <c r="F166" s="72">
        <f>E166/$C$11*100</f>
        <v>0.34482758620689657</v>
      </c>
      <c r="G166" s="40"/>
    </row>
    <row r="167" spans="1:7" x14ac:dyDescent="0.25">
      <c r="A167" s="40"/>
      <c r="B167" s="40"/>
      <c r="C167" s="40"/>
      <c r="D167" s="32" t="s">
        <v>216</v>
      </c>
      <c r="E167" s="40">
        <f>+COUNTIF('Gastos medicos y sepelios'!$O$4:$O$299,Comisaria!D167)</f>
        <v>1</v>
      </c>
      <c r="F167" s="72">
        <f>E167/$C$11*100</f>
        <v>0.34482758620689657</v>
      </c>
      <c r="G167" s="40"/>
    </row>
    <row r="168" spans="1:7" x14ac:dyDescent="0.25">
      <c r="A168" s="40"/>
      <c r="B168" s="40"/>
      <c r="C168" s="40"/>
      <c r="D168" s="40" t="s">
        <v>289</v>
      </c>
      <c r="E168" s="40">
        <f>+COUNTIF('Gastos medicos y sepelios'!$O$4:$O$299,Comisaria!D168)</f>
        <v>1</v>
      </c>
      <c r="F168" s="72">
        <f t="shared" ref="F168:F187" si="1">E168/$C$11*100</f>
        <v>0.34482758620689657</v>
      </c>
      <c r="G168" s="40"/>
    </row>
    <row r="169" spans="1:7" x14ac:dyDescent="0.25">
      <c r="A169" s="40"/>
      <c r="B169" s="40"/>
      <c r="C169" s="40"/>
      <c r="D169" s="40" t="s">
        <v>280</v>
      </c>
      <c r="E169" s="40">
        <f>+COUNTIF('Gastos medicos y sepelios'!$O$4:$O$299,Comisaria!D169)</f>
        <v>1</v>
      </c>
      <c r="F169" s="72">
        <f t="shared" si="1"/>
        <v>0.34482758620689657</v>
      </c>
      <c r="G169" s="40"/>
    </row>
    <row r="170" spans="1:7" x14ac:dyDescent="0.25">
      <c r="A170" s="40"/>
      <c r="B170" s="40"/>
      <c r="C170" s="40"/>
      <c r="D170" s="32" t="s">
        <v>112</v>
      </c>
      <c r="E170" s="40">
        <f>+COUNTIF('Gastos medicos y sepelios'!$O$4:$O$299,Comisaria!D170)</f>
        <v>1</v>
      </c>
      <c r="F170" s="72">
        <f>E170/$C$11*100</f>
        <v>0.34482758620689657</v>
      </c>
      <c r="G170" s="40"/>
    </row>
    <row r="171" spans="1:7" x14ac:dyDescent="0.25">
      <c r="A171" s="40"/>
      <c r="B171" s="40"/>
      <c r="C171" s="40"/>
      <c r="D171" s="32" t="s">
        <v>390</v>
      </c>
      <c r="E171" s="40">
        <f>+COUNTIF('Gastos medicos y sepelios'!$O$4:$O$299,Comisaria!D171)</f>
        <v>1</v>
      </c>
      <c r="F171" s="72">
        <f t="shared" si="1"/>
        <v>0.34482758620689657</v>
      </c>
      <c r="G171" s="40"/>
    </row>
    <row r="172" spans="1:7" x14ac:dyDescent="0.25">
      <c r="A172" s="40"/>
      <c r="B172" s="40"/>
      <c r="C172" s="40"/>
      <c r="D172" s="40" t="s">
        <v>673</v>
      </c>
      <c r="E172" s="40">
        <f>+COUNTIF('Gastos medicos y sepelios'!$O$4:$O$299,Comisaria!D172)</f>
        <v>1</v>
      </c>
      <c r="F172" s="72">
        <f t="shared" si="1"/>
        <v>0.34482758620689657</v>
      </c>
      <c r="G172" s="40"/>
    </row>
    <row r="173" spans="1:7" x14ac:dyDescent="0.25">
      <c r="A173" s="40"/>
      <c r="B173" s="40"/>
      <c r="C173" s="40"/>
      <c r="D173" s="40" t="s">
        <v>508</v>
      </c>
      <c r="E173" s="40">
        <f>+COUNTIF('Gastos medicos y sepelios'!$O$4:$O$299,Comisaria!D173)</f>
        <v>1</v>
      </c>
      <c r="F173" s="72">
        <f t="shared" si="1"/>
        <v>0.34482758620689657</v>
      </c>
      <c r="G173" s="40"/>
    </row>
    <row r="174" spans="1:7" x14ac:dyDescent="0.25">
      <c r="A174" s="40"/>
      <c r="B174" s="43"/>
      <c r="C174" s="43"/>
      <c r="D174" s="32" t="s">
        <v>269</v>
      </c>
      <c r="E174" s="40">
        <f>+COUNTIF('Gastos medicos y sepelios'!$O$4:$O$299,Comisaria!D174)</f>
        <v>1</v>
      </c>
      <c r="F174" s="72">
        <f t="shared" si="1"/>
        <v>0.34482758620689657</v>
      </c>
      <c r="G174" s="40"/>
    </row>
    <row r="175" spans="1:7" x14ac:dyDescent="0.25">
      <c r="A175" s="40"/>
      <c r="B175" s="43"/>
      <c r="C175" s="43"/>
      <c r="D175" s="40" t="s">
        <v>475</v>
      </c>
      <c r="E175" s="40">
        <f>+COUNTIF('Gastos medicos y sepelios'!$O$4:$O$299,Comisaria!D175)</f>
        <v>1</v>
      </c>
      <c r="F175" s="72">
        <f t="shared" si="1"/>
        <v>0.34482758620689657</v>
      </c>
      <c r="G175" s="40"/>
    </row>
    <row r="176" spans="1:7" x14ac:dyDescent="0.25">
      <c r="A176" s="40"/>
      <c r="B176" s="43"/>
      <c r="C176" s="43"/>
      <c r="D176" s="40" t="s">
        <v>219</v>
      </c>
      <c r="E176" s="40">
        <f>+COUNTIF('Gastos medicos y sepelios'!$O$4:$O$299,Comisaria!D176)</f>
        <v>2</v>
      </c>
      <c r="F176" s="72">
        <f t="shared" si="1"/>
        <v>0.68965517241379315</v>
      </c>
      <c r="G176" s="40"/>
    </row>
    <row r="177" spans="1:7" x14ac:dyDescent="0.25">
      <c r="A177" s="40"/>
      <c r="B177" s="43"/>
      <c r="C177" s="43"/>
      <c r="D177" s="40" t="s">
        <v>435</v>
      </c>
      <c r="E177" s="40">
        <f>+COUNTIF('Gastos medicos y sepelios'!$O$4:$O$299,Comisaria!D177)</f>
        <v>1</v>
      </c>
      <c r="F177" s="72">
        <f t="shared" si="1"/>
        <v>0.34482758620689657</v>
      </c>
      <c r="G177" s="40"/>
    </row>
    <row r="178" spans="1:7" x14ac:dyDescent="0.25">
      <c r="A178" s="40"/>
      <c r="B178" s="43"/>
      <c r="C178" s="43"/>
      <c r="D178" s="32" t="s">
        <v>718</v>
      </c>
      <c r="E178" s="40">
        <f>+COUNTIF('Gastos medicos y sepelios'!$O$4:$O$299,Comisaria!D178)</f>
        <v>1</v>
      </c>
      <c r="F178" s="72">
        <f t="shared" si="1"/>
        <v>0.34482758620689657</v>
      </c>
      <c r="G178" s="40"/>
    </row>
    <row r="179" spans="1:7" x14ac:dyDescent="0.25">
      <c r="A179" s="40"/>
      <c r="B179" s="43"/>
      <c r="C179" s="43"/>
      <c r="D179" s="40" t="s">
        <v>70</v>
      </c>
      <c r="E179" s="40">
        <f>+COUNTIF('Gastos medicos y sepelios'!$O$4:$O$299,Comisaria!D179)</f>
        <v>4</v>
      </c>
      <c r="F179" s="72">
        <f t="shared" si="1"/>
        <v>1.3793103448275863</v>
      </c>
      <c r="G179" s="40"/>
    </row>
    <row r="180" spans="1:7" x14ac:dyDescent="0.25">
      <c r="A180" s="40"/>
      <c r="B180" s="43"/>
      <c r="C180" s="43"/>
      <c r="D180" s="40" t="s">
        <v>304</v>
      </c>
      <c r="E180" s="40">
        <f>+COUNTIF('Gastos medicos y sepelios'!$O$4:$O$299,Comisaria!D180)</f>
        <v>2</v>
      </c>
      <c r="F180" s="72">
        <f t="shared" si="1"/>
        <v>0.68965517241379315</v>
      </c>
      <c r="G180" s="40"/>
    </row>
    <row r="181" spans="1:7" x14ac:dyDescent="0.25">
      <c r="A181" s="40"/>
      <c r="B181" s="43"/>
      <c r="C181" s="43"/>
      <c r="D181" s="32" t="s">
        <v>958</v>
      </c>
      <c r="E181" s="40">
        <f>+COUNTIF('Gastos medicos y sepelios'!$O$4:$O$299,Comisaria!D181)</f>
        <v>1</v>
      </c>
      <c r="F181" s="72">
        <f>E181/$C$11*100</f>
        <v>0.34482758620689657</v>
      </c>
      <c r="G181" s="40"/>
    </row>
    <row r="182" spans="1:7" x14ac:dyDescent="0.25">
      <c r="A182" s="40"/>
      <c r="B182" s="43"/>
      <c r="C182" s="43"/>
      <c r="D182" s="40" t="s">
        <v>276</v>
      </c>
      <c r="E182" s="40">
        <f>+COUNTIF('Gastos medicos y sepelios'!$O$4:$O$299,Comisaria!D182)</f>
        <v>1</v>
      </c>
      <c r="F182" s="72">
        <f>E182/$C$11*100</f>
        <v>0.34482758620689657</v>
      </c>
      <c r="G182" s="40"/>
    </row>
    <row r="183" spans="1:7" x14ac:dyDescent="0.25">
      <c r="A183" s="40"/>
      <c r="B183" s="43"/>
      <c r="C183" s="43"/>
      <c r="D183" s="32" t="s">
        <v>487</v>
      </c>
      <c r="E183" s="40">
        <f>+COUNTIF('Gastos medicos y sepelios'!$O$4:$O$299,Comisaria!D183)</f>
        <v>1</v>
      </c>
      <c r="F183" s="72">
        <f t="shared" si="1"/>
        <v>0.34482758620689657</v>
      </c>
      <c r="G183" s="40"/>
    </row>
    <row r="184" spans="1:7" x14ac:dyDescent="0.25">
      <c r="A184" s="40"/>
      <c r="B184" s="43"/>
      <c r="C184" s="43"/>
      <c r="D184" s="40" t="s">
        <v>750</v>
      </c>
      <c r="E184" s="40">
        <f>+COUNTIF('Gastos medicos y sepelios'!$O$4:$O$299,Comisaria!D184)</f>
        <v>1</v>
      </c>
      <c r="F184" s="72">
        <f>E184/$C$11*100</f>
        <v>0.34482758620689657</v>
      </c>
      <c r="G184" s="40"/>
    </row>
    <row r="185" spans="1:7" x14ac:dyDescent="0.25">
      <c r="A185" s="40"/>
      <c r="B185" s="43"/>
      <c r="C185" s="43"/>
      <c r="D185" s="40" t="s">
        <v>118</v>
      </c>
      <c r="E185" s="40">
        <f>+COUNTIF('Gastos medicos y sepelios'!$O$4:$O$299,Comisaria!D185)</f>
        <v>5</v>
      </c>
      <c r="F185" s="72">
        <f t="shared" si="1"/>
        <v>1.7241379310344827</v>
      </c>
      <c r="G185" s="40"/>
    </row>
    <row r="186" spans="1:7" x14ac:dyDescent="0.25">
      <c r="A186" s="40"/>
      <c r="B186" s="43"/>
      <c r="C186" s="43"/>
      <c r="D186" s="40" t="s">
        <v>292</v>
      </c>
      <c r="E186" s="40">
        <f>+COUNTIF('Gastos medicos y sepelios'!$O$4:$O$299,Comisaria!D186)</f>
        <v>3</v>
      </c>
      <c r="F186" s="72">
        <f>E186/$C$11*100</f>
        <v>1.0344827586206897</v>
      </c>
      <c r="G186" s="40"/>
    </row>
    <row r="187" spans="1:7" x14ac:dyDescent="0.25">
      <c r="A187" s="40"/>
      <c r="B187" s="43"/>
      <c r="C187" s="43"/>
      <c r="D187" s="40" t="s">
        <v>866</v>
      </c>
      <c r="E187" s="40">
        <f>+COUNTIF('Gastos medicos y sepelios'!$O$4:$O$299,Comisaria!D187)</f>
        <v>1</v>
      </c>
      <c r="F187" s="72">
        <f t="shared" si="1"/>
        <v>0.34482758620689657</v>
      </c>
      <c r="G187" s="40"/>
    </row>
    <row r="188" spans="1:7" ht="15.75" thickBot="1" x14ac:dyDescent="0.3">
      <c r="A188" s="40"/>
      <c r="B188" s="46"/>
      <c r="C188" s="46"/>
      <c r="D188" s="46"/>
      <c r="E188" s="46"/>
      <c r="F188" s="46"/>
      <c r="G188" s="40"/>
    </row>
    <row r="189" spans="1:7" x14ac:dyDescent="0.25">
      <c r="A189" s="40"/>
      <c r="B189" s="40"/>
      <c r="C189" s="40"/>
      <c r="D189" s="40"/>
      <c r="E189" s="40"/>
      <c r="F189" s="72"/>
      <c r="G189" s="40"/>
    </row>
    <row r="190" spans="1:7" x14ac:dyDescent="0.25">
      <c r="B190" s="35" t="s">
        <v>1052</v>
      </c>
      <c r="C190" s="40"/>
      <c r="D190" s="32"/>
      <c r="E190" s="32"/>
      <c r="F190" s="32"/>
      <c r="G190" s="32"/>
    </row>
    <row r="191" spans="1:7" x14ac:dyDescent="0.25">
      <c r="A191" s="40"/>
      <c r="B191" s="40"/>
      <c r="C191" s="40"/>
      <c r="D191" s="32"/>
      <c r="E191" s="32"/>
      <c r="F191" s="32"/>
      <c r="G191" s="32"/>
    </row>
    <row r="192" spans="1:7" x14ac:dyDescent="0.25">
      <c r="A192" s="40"/>
      <c r="B192" s="40"/>
      <c r="C192" s="40"/>
      <c r="D192" s="32"/>
      <c r="E192" s="32"/>
      <c r="F192" s="32"/>
      <c r="G192" s="32"/>
    </row>
    <row r="193" spans="1:7" x14ac:dyDescent="0.25">
      <c r="B193" s="35"/>
      <c r="C193" s="40"/>
      <c r="D193" s="32"/>
      <c r="E193" s="32"/>
      <c r="F193" s="32"/>
      <c r="G193" s="32"/>
    </row>
    <row r="194" spans="1:7" x14ac:dyDescent="0.25">
      <c r="A194" s="32"/>
      <c r="B194" s="32"/>
      <c r="C194" s="32"/>
      <c r="D194" s="32"/>
      <c r="E194" s="32"/>
      <c r="F194" s="32"/>
      <c r="G194" s="32"/>
    </row>
    <row r="195" spans="1:7" x14ac:dyDescent="0.25">
      <c r="A195" s="32"/>
      <c r="B195" s="32"/>
      <c r="C195" s="32"/>
      <c r="D195" s="32"/>
      <c r="E195" s="32"/>
      <c r="F195" s="41"/>
      <c r="G195" s="32"/>
    </row>
  </sheetData>
  <mergeCells count="3">
    <mergeCell ref="A2:G2"/>
    <mergeCell ref="A3:G3"/>
    <mergeCell ref="B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"/>
  <sheetViews>
    <sheetView workbookViewId="0">
      <selection activeCell="K39" sqref="K39"/>
    </sheetView>
  </sheetViews>
  <sheetFormatPr baseColWidth="10" defaultRowHeight="15" x14ac:dyDescent="0.25"/>
  <cols>
    <col min="3" max="3" width="13.85546875" customWidth="1"/>
    <col min="4" max="4" width="19.42578125" customWidth="1"/>
    <col min="5" max="5" width="17.140625" customWidth="1"/>
    <col min="6" max="6" width="14.14062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Distrito!A2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ht="20.25" x14ac:dyDescent="0.25">
      <c r="A4" s="34"/>
      <c r="B4" s="34"/>
      <c r="C4" s="34"/>
      <c r="D4" s="34"/>
      <c r="E4" s="34"/>
      <c r="F4" s="34"/>
      <c r="G4" s="34"/>
    </row>
    <row r="5" spans="1:7" ht="18" x14ac:dyDescent="0.25">
      <c r="A5" s="32"/>
      <c r="B5" s="114" t="s">
        <v>1100</v>
      </c>
      <c r="C5" s="114"/>
      <c r="D5" s="114"/>
      <c r="E5" s="114"/>
      <c r="F5" s="114"/>
      <c r="G5" s="32"/>
    </row>
    <row r="6" spans="1:7" x14ac:dyDescent="0.25">
      <c r="A6" s="32"/>
      <c r="B6" s="42"/>
      <c r="C6" s="42"/>
      <c r="D6" s="42"/>
      <c r="E6" s="42"/>
      <c r="F6" s="32"/>
      <c r="G6" s="32"/>
    </row>
    <row r="7" spans="1:7" x14ac:dyDescent="0.25">
      <c r="A7" s="32"/>
      <c r="B7" s="32"/>
      <c r="C7" s="32"/>
      <c r="D7" s="32"/>
      <c r="E7" s="32"/>
      <c r="F7" s="32"/>
      <c r="G7" s="32"/>
    </row>
    <row r="8" spans="1:7" x14ac:dyDescent="0.25">
      <c r="A8" s="32"/>
      <c r="B8" s="35" t="s">
        <v>1046</v>
      </c>
      <c r="C8" s="32"/>
      <c r="D8" s="32"/>
      <c r="E8" s="32"/>
      <c r="F8" s="32"/>
      <c r="G8" s="32"/>
    </row>
    <row r="9" spans="1:7" ht="15.75" thickBot="1" x14ac:dyDescent="0.3">
      <c r="A9" s="32"/>
      <c r="B9" s="32"/>
      <c r="C9" s="32"/>
      <c r="D9" s="32"/>
      <c r="E9" s="32"/>
      <c r="F9" s="32"/>
      <c r="G9" s="32"/>
    </row>
    <row r="10" spans="1:7" x14ac:dyDescent="0.25">
      <c r="A10" s="32"/>
      <c r="B10" s="36" t="s">
        <v>1047</v>
      </c>
      <c r="C10" s="37" t="s">
        <v>1082</v>
      </c>
      <c r="D10" s="37" t="s">
        <v>1101</v>
      </c>
      <c r="E10" s="37" t="s">
        <v>1050</v>
      </c>
      <c r="F10" s="37" t="s">
        <v>1051</v>
      </c>
      <c r="G10" s="32"/>
    </row>
    <row r="11" spans="1:7" x14ac:dyDescent="0.25">
      <c r="A11" s="32"/>
      <c r="B11" s="39" t="s">
        <v>15</v>
      </c>
      <c r="C11" s="42">
        <f>SUM(E11:E22)</f>
        <v>290</v>
      </c>
      <c r="D11" s="32" t="s">
        <v>176</v>
      </c>
      <c r="E11" s="32">
        <f>+COUNTIF('Gastos medicos y sepelios'!$P$4:$P$299,Vehiculo!D11)</f>
        <v>38</v>
      </c>
      <c r="F11" s="41">
        <f>E11/$C$11*100</f>
        <v>13.103448275862069</v>
      </c>
      <c r="G11" s="32"/>
    </row>
    <row r="12" spans="1:7" x14ac:dyDescent="0.25">
      <c r="A12" s="32"/>
      <c r="B12" s="32"/>
      <c r="C12" s="32"/>
      <c r="D12" s="32" t="s">
        <v>383</v>
      </c>
      <c r="E12" s="32">
        <f>+COUNTIF('Gastos medicos y sepelios'!$P$4:$P$299,Vehiculo!D12)</f>
        <v>8</v>
      </c>
      <c r="F12" s="41">
        <f t="shared" ref="F12:F21" si="0">E12/$C$11*100</f>
        <v>2.7586206896551726</v>
      </c>
      <c r="G12" s="32"/>
    </row>
    <row r="13" spans="1:7" x14ac:dyDescent="0.25">
      <c r="A13" s="32"/>
      <c r="B13" s="32"/>
      <c r="C13" s="32"/>
      <c r="D13" s="32" t="s">
        <v>161</v>
      </c>
      <c r="E13" s="32">
        <f>+COUNTIF('Gastos medicos y sepelios'!$P$4:$P$299,Vehiculo!D13)</f>
        <v>23</v>
      </c>
      <c r="F13" s="41">
        <f t="shared" si="0"/>
        <v>7.931034482758621</v>
      </c>
      <c r="G13" s="32"/>
    </row>
    <row r="14" spans="1:7" x14ac:dyDescent="0.25">
      <c r="A14" s="32"/>
      <c r="B14" s="32"/>
      <c r="C14" s="32"/>
      <c r="D14" s="32" t="s">
        <v>293</v>
      </c>
      <c r="E14" s="32">
        <f>+COUNTIF('Gastos medicos y sepelios'!$P$4:$P$299,Vehiculo!D14)</f>
        <v>3</v>
      </c>
      <c r="F14" s="41">
        <f t="shared" si="0"/>
        <v>1.0344827586206897</v>
      </c>
      <c r="G14" s="32"/>
    </row>
    <row r="15" spans="1:7" x14ac:dyDescent="0.25">
      <c r="A15" s="32"/>
      <c r="B15" s="32"/>
      <c r="C15" s="32"/>
      <c r="D15" s="32" t="s">
        <v>560</v>
      </c>
      <c r="E15" s="32">
        <f>+COUNTIF('Gastos medicos y sepelios'!$P$4:$P$299,Vehiculo!D15)</f>
        <v>1</v>
      </c>
      <c r="F15" s="41">
        <f t="shared" si="0"/>
        <v>0.34482758620689657</v>
      </c>
      <c r="G15" s="32"/>
    </row>
    <row r="16" spans="1:7" x14ac:dyDescent="0.25">
      <c r="A16" s="32"/>
      <c r="B16" s="32"/>
      <c r="C16" s="32"/>
      <c r="D16" s="32" t="s">
        <v>56</v>
      </c>
      <c r="E16" s="32">
        <f>+COUNTIF('Gastos medicos y sepelios'!$P$4:$P$299,Vehiculo!D16)</f>
        <v>45</v>
      </c>
      <c r="F16" s="41">
        <f t="shared" si="0"/>
        <v>15.517241379310345</v>
      </c>
      <c r="G16" s="32"/>
    </row>
    <row r="17" spans="1:7" x14ac:dyDescent="0.25">
      <c r="A17" s="32"/>
      <c r="B17" s="32"/>
      <c r="C17" s="32"/>
      <c r="D17" s="32" t="s">
        <v>990</v>
      </c>
      <c r="E17" s="32">
        <f>+COUNTIF('Gastos medicos y sepelios'!$P$4:$P$299,Vehiculo!D17)</f>
        <v>1</v>
      </c>
      <c r="F17" s="41">
        <f t="shared" si="0"/>
        <v>0.34482758620689657</v>
      </c>
      <c r="G17" s="32"/>
    </row>
    <row r="18" spans="1:7" x14ac:dyDescent="0.25">
      <c r="A18" s="32"/>
      <c r="B18" s="32"/>
      <c r="C18" s="32"/>
      <c r="D18" s="32" t="s">
        <v>104</v>
      </c>
      <c r="E18" s="32">
        <f>+COUNTIF('Gastos medicos y sepelios'!$P$4:$P$299,Vehiculo!D18)</f>
        <v>25</v>
      </c>
      <c r="F18" s="41">
        <f t="shared" si="0"/>
        <v>8.6206896551724146</v>
      </c>
      <c r="G18" s="32"/>
    </row>
    <row r="19" spans="1:7" x14ac:dyDescent="0.25">
      <c r="A19" s="32"/>
      <c r="B19" s="32"/>
      <c r="C19" s="32"/>
      <c r="D19" s="32" t="s">
        <v>28</v>
      </c>
      <c r="E19" s="32">
        <f>+COUNTIF('Gastos medicos y sepelios'!$P$4:$P$299,Vehiculo!D19)</f>
        <v>139</v>
      </c>
      <c r="F19" s="41">
        <f t="shared" si="0"/>
        <v>47.931034482758619</v>
      </c>
      <c r="G19" s="32"/>
    </row>
    <row r="20" spans="1:7" x14ac:dyDescent="0.25">
      <c r="A20" s="32"/>
      <c r="B20" s="32"/>
      <c r="C20" s="32"/>
      <c r="D20" s="32" t="s">
        <v>71</v>
      </c>
      <c r="E20" s="32">
        <f>+COUNTIF('Gastos medicos y sepelios'!$P$4:$P$299,Vehiculo!D20)</f>
        <v>4</v>
      </c>
      <c r="F20" s="41">
        <f t="shared" si="0"/>
        <v>1.3793103448275863</v>
      </c>
      <c r="G20" s="32"/>
    </row>
    <row r="21" spans="1:7" x14ac:dyDescent="0.25">
      <c r="A21" s="32"/>
      <c r="B21" s="32"/>
      <c r="C21" s="32"/>
      <c r="D21" s="40" t="s">
        <v>190</v>
      </c>
      <c r="E21" s="32">
        <f>+COUNTIF('Gastos medicos y sepelios'!$P$4:$P$299,Vehiculo!D21)</f>
        <v>3</v>
      </c>
      <c r="F21" s="41">
        <f t="shared" si="0"/>
        <v>1.0344827586206897</v>
      </c>
      <c r="G21" s="32"/>
    </row>
    <row r="22" spans="1:7" ht="15.75" thickBot="1" x14ac:dyDescent="0.3">
      <c r="A22" s="32"/>
      <c r="B22" s="45"/>
      <c r="C22" s="45"/>
      <c r="D22" s="45"/>
      <c r="E22" s="45"/>
      <c r="F22" s="47"/>
      <c r="G22" s="32"/>
    </row>
    <row r="23" spans="1:7" x14ac:dyDescent="0.25">
      <c r="A23" s="32"/>
      <c r="B23" s="32"/>
      <c r="C23" s="32"/>
      <c r="D23" s="32"/>
      <c r="E23" s="32"/>
      <c r="F23" s="32"/>
      <c r="G23" s="32"/>
    </row>
    <row r="24" spans="1:7" x14ac:dyDescent="0.25">
      <c r="A24" s="32"/>
      <c r="B24" s="78" t="s">
        <v>1052</v>
      </c>
      <c r="C24" s="32"/>
      <c r="D24" s="32"/>
      <c r="E24" s="32"/>
      <c r="F24" s="32"/>
      <c r="G24" s="32"/>
    </row>
    <row r="25" spans="1:7" x14ac:dyDescent="0.25">
      <c r="A25" s="32"/>
      <c r="B25" s="32"/>
      <c r="C25" s="32"/>
      <c r="D25" s="32"/>
      <c r="E25" s="32"/>
      <c r="F25" s="32"/>
      <c r="G25" s="32"/>
    </row>
    <row r="26" spans="1:7" x14ac:dyDescent="0.25">
      <c r="A26" s="32"/>
      <c r="C26" s="32"/>
      <c r="D26" s="32"/>
      <c r="E26" s="32"/>
      <c r="F26" s="32"/>
      <c r="G26" s="32"/>
    </row>
    <row r="27" spans="1:7" x14ac:dyDescent="0.25">
      <c r="A27" s="32"/>
      <c r="B27" s="32"/>
      <c r="C27" s="32"/>
      <c r="D27" s="32"/>
      <c r="E27" s="32"/>
      <c r="F27" s="32"/>
      <c r="G27" s="32"/>
    </row>
  </sheetData>
  <mergeCells count="3">
    <mergeCell ref="A2:G2"/>
    <mergeCell ref="A3:G3"/>
    <mergeCell ref="B5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"/>
  <sheetViews>
    <sheetView workbookViewId="0">
      <selection activeCell="J29" sqref="J29"/>
    </sheetView>
  </sheetViews>
  <sheetFormatPr baseColWidth="10" defaultRowHeight="15" x14ac:dyDescent="0.25"/>
  <cols>
    <col min="4" max="4" width="22.85546875" customWidth="1"/>
    <col min="5" max="5" width="18.2851562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Distrito!A2</f>
        <v>Siniestros Cubiertos por el Fondo</v>
      </c>
      <c r="B2" s="113"/>
      <c r="C2" s="113"/>
      <c r="D2" s="113"/>
      <c r="E2" s="113"/>
      <c r="F2" s="113"/>
      <c r="G2" s="32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32"/>
    </row>
    <row r="4" spans="1:7" x14ac:dyDescent="0.25">
      <c r="A4" s="42"/>
      <c r="B4" s="42"/>
      <c r="C4" s="42"/>
      <c r="D4" s="42"/>
      <c r="E4" s="42"/>
      <c r="F4" s="42"/>
      <c r="G4" s="32"/>
    </row>
    <row r="5" spans="1:7" ht="18" x14ac:dyDescent="0.25">
      <c r="A5" s="114" t="s">
        <v>1102</v>
      </c>
      <c r="B5" s="114"/>
      <c r="C5" s="114"/>
      <c r="D5" s="114"/>
      <c r="E5" s="114"/>
      <c r="F5" s="114"/>
      <c r="G5" s="32"/>
    </row>
    <row r="6" spans="1:7" x14ac:dyDescent="0.25">
      <c r="A6" s="32"/>
      <c r="B6" s="42"/>
      <c r="C6" s="42"/>
      <c r="D6" s="42"/>
      <c r="E6" s="42"/>
      <c r="F6" s="32"/>
      <c r="G6" s="32"/>
    </row>
    <row r="7" spans="1:7" x14ac:dyDescent="0.25">
      <c r="A7" s="32"/>
      <c r="B7" s="32"/>
      <c r="C7" s="32"/>
      <c r="D7" s="32"/>
      <c r="E7" s="32"/>
      <c r="F7" s="32"/>
      <c r="G7" s="32"/>
    </row>
    <row r="8" spans="1:7" x14ac:dyDescent="0.25">
      <c r="A8" s="32"/>
      <c r="B8" s="32"/>
      <c r="C8" s="32"/>
      <c r="D8" s="32"/>
      <c r="E8" s="32"/>
      <c r="F8" s="32"/>
      <c r="G8" s="32"/>
    </row>
    <row r="9" spans="1:7" x14ac:dyDescent="0.25">
      <c r="A9" s="32"/>
      <c r="B9" s="35" t="s">
        <v>1046</v>
      </c>
      <c r="C9" s="32"/>
      <c r="D9" s="32"/>
      <c r="E9" s="32"/>
      <c r="F9" s="32"/>
      <c r="G9" s="32"/>
    </row>
    <row r="10" spans="1:7" ht="15.75" thickBot="1" x14ac:dyDescent="0.3">
      <c r="A10" s="32"/>
      <c r="B10" s="32"/>
      <c r="C10" s="32"/>
      <c r="D10" s="32"/>
      <c r="E10" s="32"/>
      <c r="F10" s="32"/>
      <c r="G10" s="32"/>
    </row>
    <row r="11" spans="1:7" x14ac:dyDescent="0.25">
      <c r="A11" s="32"/>
      <c r="B11" s="36" t="s">
        <v>1047</v>
      </c>
      <c r="C11" s="37" t="s">
        <v>1082</v>
      </c>
      <c r="D11" s="37" t="s">
        <v>1103</v>
      </c>
      <c r="E11" s="37" t="s">
        <v>1050</v>
      </c>
      <c r="F11" s="37" t="s">
        <v>1051</v>
      </c>
      <c r="G11" s="32"/>
    </row>
    <row r="12" spans="1:7" x14ac:dyDescent="0.25">
      <c r="A12" s="32"/>
      <c r="B12" s="39" t="s">
        <v>16</v>
      </c>
      <c r="C12" s="42">
        <f>SUM(E12:E14)</f>
        <v>290</v>
      </c>
      <c r="D12" s="32" t="s">
        <v>220</v>
      </c>
      <c r="E12" s="32">
        <f>+COUNTIF('Gastos medicos y sepelios'!$Q$4:$Q$299,Etilismo!D12)</f>
        <v>5</v>
      </c>
      <c r="F12" s="41">
        <f>E12/$C$12*100</f>
        <v>1.7241379310344827</v>
      </c>
      <c r="G12" s="32"/>
    </row>
    <row r="13" spans="1:7" x14ac:dyDescent="0.25">
      <c r="A13" s="32"/>
      <c r="B13" s="32"/>
      <c r="C13" s="32"/>
      <c r="D13" s="32" t="s">
        <v>29</v>
      </c>
      <c r="E13" s="32">
        <f>+COUNTIF('Gastos medicos y sepelios'!$Q$4:$Q$299,Etilismo!D13)</f>
        <v>285</v>
      </c>
      <c r="F13" s="41">
        <f>E13/$C$12*100</f>
        <v>98.275862068965509</v>
      </c>
      <c r="G13" s="32"/>
    </row>
    <row r="14" spans="1:7" ht="15.75" thickBot="1" x14ac:dyDescent="0.3">
      <c r="A14" s="32"/>
      <c r="B14" s="45"/>
      <c r="C14" s="45"/>
      <c r="D14" s="45"/>
      <c r="E14" s="45"/>
      <c r="F14" s="47"/>
      <c r="G14" s="32"/>
    </row>
    <row r="15" spans="1:7" x14ac:dyDescent="0.25">
      <c r="A15" s="32"/>
      <c r="B15" s="32"/>
      <c r="C15" s="32"/>
      <c r="D15" s="32"/>
      <c r="E15" s="32"/>
      <c r="F15" s="32"/>
      <c r="G15" s="32"/>
    </row>
    <row r="16" spans="1:7" x14ac:dyDescent="0.25">
      <c r="A16" s="32"/>
      <c r="B16" s="78" t="s">
        <v>1052</v>
      </c>
      <c r="C16" s="32"/>
      <c r="D16" s="32"/>
      <c r="E16" s="32"/>
      <c r="F16" s="32"/>
      <c r="G16" s="32"/>
    </row>
    <row r="17" spans="1:7" x14ac:dyDescent="0.25">
      <c r="A17" s="32"/>
      <c r="B17" s="32"/>
      <c r="C17" s="32"/>
      <c r="D17" s="32"/>
      <c r="E17" s="32"/>
      <c r="F17" s="32"/>
      <c r="G17" s="32"/>
    </row>
    <row r="18" spans="1:7" x14ac:dyDescent="0.25">
      <c r="A18" s="32"/>
      <c r="C18" s="32"/>
      <c r="D18" s="32"/>
      <c r="E18" s="32"/>
      <c r="F18" s="32"/>
      <c r="G18" s="32"/>
    </row>
  </sheetData>
  <mergeCells count="3">
    <mergeCell ref="A2:F2"/>
    <mergeCell ref="A3:F3"/>
    <mergeCell ref="A5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6"/>
  <sheetViews>
    <sheetView workbookViewId="0">
      <selection activeCell="I41" sqref="I41"/>
    </sheetView>
  </sheetViews>
  <sheetFormatPr baseColWidth="10" defaultRowHeight="15" x14ac:dyDescent="0.25"/>
  <cols>
    <col min="1" max="1" width="21.42578125" customWidth="1"/>
    <col min="3" max="3" width="46.28515625" customWidth="1"/>
    <col min="4" max="4" width="15.28515625" customWidth="1"/>
  </cols>
  <sheetData>
    <row r="1" spans="1:5" x14ac:dyDescent="0.25">
      <c r="A1" s="32"/>
      <c r="B1" s="32"/>
      <c r="C1" s="32"/>
      <c r="D1" s="32"/>
      <c r="E1" s="32"/>
    </row>
    <row r="2" spans="1:5" ht="20.25" x14ac:dyDescent="0.25">
      <c r="A2" s="113" t="str">
        <f>Distrito!A2</f>
        <v>Siniestros Cubiertos por el Fondo</v>
      </c>
      <c r="B2" s="113"/>
      <c r="C2" s="113"/>
      <c r="D2" s="113"/>
      <c r="E2" s="113"/>
    </row>
    <row r="3" spans="1:5" ht="20.25" x14ac:dyDescent="0.25">
      <c r="A3" s="113" t="str">
        <f>Distrito!A3</f>
        <v>de Enero a Diciembre 2022</v>
      </c>
      <c r="B3" s="113"/>
      <c r="C3" s="113"/>
      <c r="D3" s="113"/>
      <c r="E3" s="113"/>
    </row>
    <row r="4" spans="1:5" ht="18" x14ac:dyDescent="0.25">
      <c r="A4" s="114"/>
      <c r="B4" s="114"/>
      <c r="C4" s="114"/>
      <c r="D4" s="114"/>
      <c r="E4" s="114"/>
    </row>
    <row r="5" spans="1:5" ht="18" x14ac:dyDescent="0.25">
      <c r="A5" s="114" t="s">
        <v>1104</v>
      </c>
      <c r="B5" s="114"/>
      <c r="C5" s="114"/>
      <c r="D5" s="114"/>
      <c r="E5" s="114"/>
    </row>
    <row r="6" spans="1:5" x14ac:dyDescent="0.25">
      <c r="A6" s="42"/>
      <c r="B6" s="42"/>
      <c r="C6" s="42"/>
      <c r="D6" s="42"/>
      <c r="E6" s="42"/>
    </row>
    <row r="7" spans="1:5" x14ac:dyDescent="0.25">
      <c r="A7" s="32"/>
      <c r="B7" s="32"/>
      <c r="C7" s="32"/>
      <c r="D7" s="32"/>
      <c r="E7" s="32"/>
    </row>
    <row r="8" spans="1:5" x14ac:dyDescent="0.25">
      <c r="A8" s="35" t="s">
        <v>1046</v>
      </c>
      <c r="B8" s="32"/>
      <c r="C8" s="32"/>
      <c r="D8" s="32"/>
      <c r="E8" s="32"/>
    </row>
    <row r="9" spans="1:5" ht="15.75" thickBot="1" x14ac:dyDescent="0.3">
      <c r="A9" s="32"/>
      <c r="B9" s="32"/>
      <c r="C9" s="32"/>
      <c r="D9" s="32"/>
      <c r="E9" s="32"/>
    </row>
    <row r="10" spans="1:5" x14ac:dyDescent="0.25">
      <c r="A10" s="36" t="s">
        <v>1047</v>
      </c>
      <c r="B10" s="37" t="s">
        <v>1095</v>
      </c>
      <c r="C10" s="37" t="s">
        <v>1105</v>
      </c>
      <c r="D10" s="37" t="s">
        <v>1050</v>
      </c>
      <c r="E10" s="37" t="s">
        <v>1051</v>
      </c>
    </row>
    <row r="11" spans="1:5" x14ac:dyDescent="0.25">
      <c r="A11" s="80" t="s">
        <v>1106</v>
      </c>
      <c r="B11" s="43">
        <f>SUM(D11:D22)</f>
        <v>290</v>
      </c>
      <c r="C11" s="32" t="s">
        <v>162</v>
      </c>
      <c r="D11" s="40">
        <f>+COUNTIF('Gastos medicos y sepelios'!$T$4:$T$299,Diagnostico!C11)</f>
        <v>3</v>
      </c>
      <c r="E11" s="72">
        <f t="shared" ref="E11:E22" si="0">D11/$B$11*100</f>
        <v>1.0344827586206897</v>
      </c>
    </row>
    <row r="12" spans="1:5" x14ac:dyDescent="0.25">
      <c r="A12" s="79"/>
      <c r="B12" s="43"/>
      <c r="C12" s="40" t="s">
        <v>97</v>
      </c>
      <c r="D12" s="40">
        <f>+COUNTIF('Gastos medicos y sepelios'!$T$4:$T$299,Diagnostico!C12)</f>
        <v>9</v>
      </c>
      <c r="E12" s="72">
        <f>D12/$B$11*100</f>
        <v>3.103448275862069</v>
      </c>
    </row>
    <row r="13" spans="1:5" x14ac:dyDescent="0.25">
      <c r="A13" s="79"/>
      <c r="B13" s="40"/>
      <c r="C13" s="32" t="s">
        <v>90</v>
      </c>
      <c r="D13" s="40">
        <f>+COUNTIF('Gastos medicos y sepelios'!$T$4:$T$299,Diagnostico!C13)</f>
        <v>3</v>
      </c>
      <c r="E13" s="72">
        <f t="shared" si="0"/>
        <v>1.0344827586206897</v>
      </c>
    </row>
    <row r="14" spans="1:5" x14ac:dyDescent="0.25">
      <c r="A14" s="71"/>
      <c r="B14" s="40"/>
      <c r="C14" s="40" t="s">
        <v>31</v>
      </c>
      <c r="D14" s="40">
        <f>+COUNTIF('Gastos medicos y sepelios'!$T$4:$T$299,Diagnostico!C14)</f>
        <v>94</v>
      </c>
      <c r="E14" s="72">
        <f t="shared" si="0"/>
        <v>32.41379310344827</v>
      </c>
    </row>
    <row r="15" spans="1:5" x14ac:dyDescent="0.25">
      <c r="A15" s="40"/>
      <c r="B15" s="40"/>
      <c r="C15" s="32" t="s">
        <v>58</v>
      </c>
      <c r="D15" s="40">
        <f>+COUNTIF('Gastos medicos y sepelios'!$T$4:$T$299,Diagnostico!C15)</f>
        <v>102</v>
      </c>
      <c r="E15" s="72">
        <f t="shared" si="0"/>
        <v>35.172413793103445</v>
      </c>
    </row>
    <row r="16" spans="1:5" x14ac:dyDescent="0.25">
      <c r="A16" s="40"/>
      <c r="B16" s="40"/>
      <c r="C16" s="40" t="s">
        <v>992</v>
      </c>
      <c r="D16" s="40">
        <f>+COUNTIF('Gastos medicos y sepelios'!$T$4:$T$299,Diagnostico!C16)</f>
        <v>1</v>
      </c>
      <c r="E16" s="72">
        <f t="shared" si="0"/>
        <v>0.34482758620689657</v>
      </c>
    </row>
    <row r="17" spans="1:5" x14ac:dyDescent="0.25">
      <c r="A17" s="40"/>
      <c r="B17" s="40"/>
      <c r="C17" s="32" t="s">
        <v>690</v>
      </c>
      <c r="D17" s="40">
        <f>+COUNTIF('Gastos medicos y sepelios'!$T$4:$T$299,Diagnostico!C17)</f>
        <v>1</v>
      </c>
      <c r="E17" s="72">
        <f t="shared" si="0"/>
        <v>0.34482758620689657</v>
      </c>
    </row>
    <row r="18" spans="1:5" x14ac:dyDescent="0.25">
      <c r="A18" s="40"/>
      <c r="B18" s="40"/>
      <c r="C18" s="40" t="s">
        <v>212</v>
      </c>
      <c r="D18" s="40">
        <f>+COUNTIF('Gastos medicos y sepelios'!$T$4:$T$299,Diagnostico!C18)</f>
        <v>8</v>
      </c>
      <c r="E18" s="72">
        <f t="shared" si="0"/>
        <v>2.7586206896551726</v>
      </c>
    </row>
    <row r="19" spans="1:5" x14ac:dyDescent="0.25">
      <c r="A19" s="40"/>
      <c r="B19" s="40"/>
      <c r="C19" s="40" t="s">
        <v>39</v>
      </c>
      <c r="D19" s="40">
        <f>+COUNTIF('Gastos medicos y sepelios'!$T$4:$T$299,Diagnostico!C19)</f>
        <v>29</v>
      </c>
      <c r="E19" s="72">
        <f t="shared" si="0"/>
        <v>10</v>
      </c>
    </row>
    <row r="20" spans="1:5" x14ac:dyDescent="0.25">
      <c r="A20" s="40"/>
      <c r="B20" s="40"/>
      <c r="C20" s="40" t="s">
        <v>186</v>
      </c>
      <c r="D20" s="40">
        <f>+COUNTIF('Gastos medicos y sepelios'!$T$4:$T$299,Diagnostico!C20)</f>
        <v>4</v>
      </c>
      <c r="E20" s="72">
        <f t="shared" si="0"/>
        <v>1.3793103448275863</v>
      </c>
    </row>
    <row r="21" spans="1:5" x14ac:dyDescent="0.25">
      <c r="A21" s="40"/>
      <c r="B21" s="40"/>
      <c r="C21" s="32" t="s">
        <v>46</v>
      </c>
      <c r="D21" s="40">
        <f>+COUNTIF('Gastos medicos y sepelios'!$T$4:$T$299,Diagnostico!C21)</f>
        <v>30</v>
      </c>
      <c r="E21" s="72">
        <f t="shared" si="0"/>
        <v>10.344827586206897</v>
      </c>
    </row>
    <row r="22" spans="1:5" x14ac:dyDescent="0.25">
      <c r="A22" s="40"/>
      <c r="B22" s="40"/>
      <c r="C22" s="40" t="s">
        <v>73</v>
      </c>
      <c r="D22" s="40">
        <f>+COUNTIF('Gastos medicos y sepelios'!$T$4:$T$299,Diagnostico!C22)</f>
        <v>6</v>
      </c>
      <c r="E22" s="72">
        <f t="shared" si="0"/>
        <v>2.0689655172413794</v>
      </c>
    </row>
    <row r="23" spans="1:5" ht="15.75" thickBot="1" x14ac:dyDescent="0.3">
      <c r="A23" s="46"/>
      <c r="B23" s="46"/>
      <c r="C23" s="46"/>
      <c r="D23" s="46"/>
      <c r="E23" s="73"/>
    </row>
    <row r="24" spans="1:5" x14ac:dyDescent="0.25">
      <c r="A24" s="74"/>
      <c r="B24" s="74"/>
      <c r="C24" s="74"/>
      <c r="D24" s="74"/>
      <c r="E24" s="75"/>
    </row>
    <row r="25" spans="1:5" x14ac:dyDescent="0.25">
      <c r="A25" s="74"/>
      <c r="B25" s="74"/>
      <c r="C25" s="74"/>
      <c r="D25" s="74"/>
      <c r="E25" s="75"/>
    </row>
    <row r="26" spans="1:5" x14ac:dyDescent="0.25">
      <c r="A26" s="35" t="s">
        <v>1052</v>
      </c>
      <c r="B26" s="74"/>
      <c r="C26" s="74"/>
      <c r="D26" s="74"/>
      <c r="E26" s="75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2:Z295"/>
  <sheetViews>
    <sheetView topLeftCell="A7" zoomScale="80" zoomScaleNormal="80" workbookViewId="0">
      <selection activeCell="T24" sqref="T24"/>
    </sheetView>
  </sheetViews>
  <sheetFormatPr baseColWidth="10" defaultRowHeight="15" x14ac:dyDescent="0.25"/>
  <cols>
    <col min="6" max="6" width="30" customWidth="1"/>
  </cols>
  <sheetData>
    <row r="2" spans="3:26" ht="15.75" thickBot="1" x14ac:dyDescent="0.3"/>
    <row r="3" spans="3:26" x14ac:dyDescent="0.25">
      <c r="C3" s="81" t="s">
        <v>3</v>
      </c>
      <c r="F3" s="82" t="s">
        <v>3</v>
      </c>
      <c r="G3" s="83">
        <v>2004</v>
      </c>
      <c r="H3" s="83">
        <v>2005</v>
      </c>
      <c r="I3" s="83">
        <v>2006</v>
      </c>
      <c r="J3" s="83">
        <v>2007</v>
      </c>
      <c r="K3" s="83">
        <v>2008</v>
      </c>
      <c r="L3" s="83">
        <v>2009</v>
      </c>
      <c r="M3" s="83">
        <v>2010</v>
      </c>
      <c r="N3" s="83">
        <v>2011</v>
      </c>
      <c r="O3" s="83">
        <v>2012</v>
      </c>
      <c r="P3" s="83">
        <v>2013</v>
      </c>
      <c r="Q3" s="83">
        <v>2014</v>
      </c>
      <c r="R3" s="83">
        <v>2015</v>
      </c>
      <c r="S3" s="83">
        <v>2016</v>
      </c>
      <c r="T3" s="83">
        <v>2017</v>
      </c>
      <c r="U3" s="83">
        <v>2018</v>
      </c>
      <c r="V3" s="84">
        <v>2019</v>
      </c>
      <c r="W3" s="84">
        <v>2020</v>
      </c>
      <c r="X3" s="84">
        <v>2021</v>
      </c>
      <c r="Y3" s="84">
        <v>2022</v>
      </c>
      <c r="Z3" s="85" t="s">
        <v>1048</v>
      </c>
    </row>
    <row r="4" spans="3:26" x14ac:dyDescent="0.25">
      <c r="C4">
        <f>IF(ISBLANK('Gastos medicos y sepelios'!E4),0,YEAR('Gastos medicos y sepelios'!E4))</f>
        <v>2020</v>
      </c>
      <c r="D4">
        <v>1</v>
      </c>
      <c r="F4" s="86"/>
      <c r="G4" s="86">
        <f>+COUNTIF(C$4:$C$404,2004)</f>
        <v>0</v>
      </c>
      <c r="H4" s="86">
        <f>+COUNTIF(C$4:$C$404,2005)</f>
        <v>0</v>
      </c>
      <c r="I4" s="86">
        <f>+COUNTIF(C$4:$C$404,2006)</f>
        <v>0</v>
      </c>
      <c r="J4" s="86">
        <f>+COUNTIF(C$4:$C$404,2007)</f>
        <v>0</v>
      </c>
      <c r="K4" s="86">
        <f>+COUNTIF(C$4:$C$404,2008)</f>
        <v>0</v>
      </c>
      <c r="L4" s="86">
        <f>+COUNTIF(C$4:$C$404,2009)</f>
        <v>0</v>
      </c>
      <c r="M4" s="86">
        <f>+COUNTIF(C$4:$C$404,2010)</f>
        <v>0</v>
      </c>
      <c r="N4" s="86">
        <f>+COUNTIF(C$4:$C$404,2011)</f>
        <v>0</v>
      </c>
      <c r="O4" s="86">
        <f>+COUNTIF(C$4:$C$404,2012)</f>
        <v>0</v>
      </c>
      <c r="P4" s="86">
        <f>+COUNTIF(C$4:$C$404,2013)</f>
        <v>0</v>
      </c>
      <c r="Q4" s="86">
        <f>+COUNTIF(C$4:$C$404,2014)</f>
        <v>0</v>
      </c>
      <c r="R4" s="86">
        <f>+COUNTIF(C$4:$C$404,2015)</f>
        <v>0</v>
      </c>
      <c r="S4" s="86">
        <f>+COUNTIF(C$4:$C$404,2016)</f>
        <v>0</v>
      </c>
      <c r="T4" s="86">
        <f>+COUNTIF(C$4:$C$404,2017)</f>
        <v>0</v>
      </c>
      <c r="U4" s="86">
        <f>+COUNTIF(C$4:$C$300,2018)</f>
        <v>0</v>
      </c>
      <c r="V4" s="86">
        <f>+COUNTIF(C$4:$C$300,2019)</f>
        <v>2</v>
      </c>
      <c r="W4" s="86">
        <f>+COUNTIF($C$4:D$300,2020)</f>
        <v>16</v>
      </c>
      <c r="X4" s="86">
        <f>+COUNTIF($C$4:E$300,2021)</f>
        <v>97</v>
      </c>
      <c r="Y4" s="86">
        <f>+COUNTIF($C$4:E$300,2022)</f>
        <v>175</v>
      </c>
      <c r="Z4" s="86">
        <f>SUM(G4:Y4)</f>
        <v>290</v>
      </c>
    </row>
    <row r="5" spans="3:26" x14ac:dyDescent="0.25">
      <c r="C5">
        <f>IF(ISBLANK('Gastos medicos y sepelios'!E5),0,YEAR('Gastos medicos y sepelios'!E5))</f>
        <v>2020</v>
      </c>
      <c r="D5">
        <v>1</v>
      </c>
    </row>
    <row r="6" spans="3:26" x14ac:dyDescent="0.25">
      <c r="C6">
        <f>IF(ISBLANK('Gastos medicos y sepelios'!E6),0,YEAR('Gastos medicos y sepelios'!E6))</f>
        <v>2020</v>
      </c>
      <c r="D6">
        <v>1</v>
      </c>
    </row>
    <row r="7" spans="3:26" x14ac:dyDescent="0.25">
      <c r="C7">
        <f>IF(ISBLANK('Gastos medicos y sepelios'!E7),0,YEAR('Gastos medicos y sepelios'!E7))</f>
        <v>2020</v>
      </c>
      <c r="D7">
        <v>1</v>
      </c>
    </row>
    <row r="8" spans="3:26" x14ac:dyDescent="0.25">
      <c r="C8">
        <f>IF(ISBLANK('Gastos medicos y sepelios'!E8),0,YEAR('Gastos medicos y sepelios'!E8))</f>
        <v>2020</v>
      </c>
      <c r="D8">
        <v>1</v>
      </c>
    </row>
    <row r="9" spans="3:26" x14ac:dyDescent="0.25">
      <c r="C9">
        <f>IF(ISBLANK('Gastos medicos y sepelios'!E9),0,YEAR('Gastos medicos y sepelios'!E9))</f>
        <v>2020</v>
      </c>
      <c r="D9">
        <v>1</v>
      </c>
    </row>
    <row r="10" spans="3:26" x14ac:dyDescent="0.25">
      <c r="C10">
        <f>IF(ISBLANK('Gastos medicos y sepelios'!E10),0,YEAR('Gastos medicos y sepelios'!E10))</f>
        <v>2021</v>
      </c>
      <c r="D10">
        <v>1</v>
      </c>
    </row>
    <row r="11" spans="3:26" x14ac:dyDescent="0.25">
      <c r="C11">
        <f>IF(ISBLANK('Gastos medicos y sepelios'!E11),0,YEAR('Gastos medicos y sepelios'!E11))</f>
        <v>2020</v>
      </c>
      <c r="D11">
        <v>1</v>
      </c>
    </row>
    <row r="12" spans="3:26" x14ac:dyDescent="0.25">
      <c r="C12">
        <f>IF(ISBLANK('Gastos medicos y sepelios'!E12),0,YEAR('Gastos medicos y sepelios'!E12))</f>
        <v>2019</v>
      </c>
      <c r="D12">
        <v>1</v>
      </c>
    </row>
    <row r="13" spans="3:26" ht="15.75" thickBot="1" x14ac:dyDescent="0.3">
      <c r="C13">
        <f>IF(ISBLANK('Gastos medicos y sepelios'!E13),0,YEAR('Gastos medicos y sepelios'!E13))</f>
        <v>2020</v>
      </c>
      <c r="D13">
        <v>1</v>
      </c>
    </row>
    <row r="14" spans="3:26" x14ac:dyDescent="0.25">
      <c r="C14">
        <f>IF(ISBLANK('Gastos medicos y sepelios'!E14),0,YEAR('Gastos medicos y sepelios'!E14))</f>
        <v>2019</v>
      </c>
      <c r="D14">
        <v>1</v>
      </c>
      <c r="F14" s="82" t="s">
        <v>1107</v>
      </c>
      <c r="G14" s="83">
        <v>2004</v>
      </c>
      <c r="H14" s="83">
        <v>2005</v>
      </c>
      <c r="I14" s="87">
        <v>2006</v>
      </c>
      <c r="J14" s="87">
        <v>2007</v>
      </c>
      <c r="K14" s="87">
        <v>2008</v>
      </c>
      <c r="L14" s="87">
        <v>2009</v>
      </c>
      <c r="M14" s="87">
        <v>2010</v>
      </c>
      <c r="N14" s="87">
        <v>2011</v>
      </c>
      <c r="O14" s="87">
        <v>2012</v>
      </c>
      <c r="P14" s="87">
        <v>2013</v>
      </c>
      <c r="Q14" s="87">
        <v>2014</v>
      </c>
      <c r="R14" s="87">
        <v>2015</v>
      </c>
      <c r="S14" s="87">
        <v>2016</v>
      </c>
      <c r="T14" s="87">
        <v>2017</v>
      </c>
      <c r="U14" s="87">
        <v>2018</v>
      </c>
      <c r="V14" s="87">
        <v>2019</v>
      </c>
      <c r="W14" s="87">
        <v>2020</v>
      </c>
      <c r="X14" s="87">
        <v>2021</v>
      </c>
      <c r="Y14" s="88">
        <v>2022</v>
      </c>
      <c r="Z14" s="85" t="s">
        <v>1048</v>
      </c>
    </row>
    <row r="15" spans="3:26" x14ac:dyDescent="0.25">
      <c r="C15">
        <f>IF(ISBLANK('Gastos medicos y sepelios'!E15),0,YEAR('Gastos medicos y sepelios'!E15))</f>
        <v>2020</v>
      </c>
      <c r="D15">
        <v>1</v>
      </c>
      <c r="F15" s="89" t="s">
        <v>1119</v>
      </c>
      <c r="G15" s="90">
        <f>COUNTIFS('Gastos medicos y sepelios'!$L$4:$L$300,"LESIONADO",$C$4:$C$300,G14)</f>
        <v>0</v>
      </c>
      <c r="H15" s="90">
        <f>COUNTIFS('Gastos medicos y sepelios'!$L$4:$L$300,"LESIONADO",$C$4:$C$300,H14)</f>
        <v>0</v>
      </c>
      <c r="I15" s="90">
        <f>COUNTIFS('Gastos medicos y sepelios'!$L$4:$L$300,"LESIONADO",$C$4:$C$300,I14)</f>
        <v>0</v>
      </c>
      <c r="J15" s="90">
        <f>COUNTIFS('Gastos medicos y sepelios'!$L$4:$L$300,"LESIONADO",$C$4:$C$300,J14)</f>
        <v>0</v>
      </c>
      <c r="K15" s="90">
        <f>COUNTIFS('Gastos medicos y sepelios'!$L$4:$L$300,"LESIONADO",$C$4:$C$300,K14)</f>
        <v>0</v>
      </c>
      <c r="L15" s="90">
        <f>COUNTIFS('Gastos medicos y sepelios'!$L$4:$L$300,"LESIONADO",$C$4:$C$300,L14)</f>
        <v>0</v>
      </c>
      <c r="M15" s="90">
        <f>COUNTIFS('Gastos medicos y sepelios'!$L$4:$L$300,"LESIONADO",$C$4:$C$300,M14)</f>
        <v>0</v>
      </c>
      <c r="N15" s="90">
        <f>COUNTIFS('Gastos medicos y sepelios'!$L$4:$L$300,"LESIONADO",$C$4:$C$300,N14)</f>
        <v>0</v>
      </c>
      <c r="O15" s="90">
        <f>COUNTIFS('Gastos medicos y sepelios'!$L$4:$L$300,"LESIONADO",$C$4:$C$300,O14)</f>
        <v>0</v>
      </c>
      <c r="P15" s="90">
        <f>COUNTIFS('Gastos medicos y sepelios'!$L$4:$L$300,"LESIONADO",$C$4:$C$300,P14)</f>
        <v>0</v>
      </c>
      <c r="Q15" s="90">
        <f>COUNTIFS('Gastos medicos y sepelios'!$L$4:$L$300,"LESIONADO",$C$4:$C$300,Q14)</f>
        <v>0</v>
      </c>
      <c r="R15" s="90">
        <f>COUNTIFS('Gastos medicos y sepelios'!$L$4:$L$300,"LESIONADO",$C$4:$C$300,R14)</f>
        <v>0</v>
      </c>
      <c r="S15" s="90">
        <f>COUNTIFS('Gastos medicos y sepelios'!$L$4:$L$300,"LESIONADO",$C$4:$C$300,S14)</f>
        <v>0</v>
      </c>
      <c r="T15" s="90">
        <f>COUNTIFS('Gastos medicos y sepelios'!$L$4:$L$300,"LESIONADO",$C$4:$C$300,T14)</f>
        <v>0</v>
      </c>
      <c r="U15" s="90">
        <f>COUNTIFS('Gastos medicos y sepelios'!$L$4:$L$300,"LESIONADO",$C$4:$C$300,U14)</f>
        <v>0</v>
      </c>
      <c r="V15" s="90">
        <f>COUNTIFS('Gastos medicos y sepelios'!$L$4:$L$300,"LESIONADO",$C$4:$C$300,V14)</f>
        <v>1</v>
      </c>
      <c r="W15" s="90">
        <f>COUNTIFS('Gastos medicos y sepelios'!$L$4:$L$300,"LESIONADO",$C$4:$C$300,W14)</f>
        <v>12</v>
      </c>
      <c r="X15" s="90">
        <f>COUNTIFS('Gastos medicos y sepelios'!$L$4:$L$300,"LESIONADO",$C$4:$C$300,X14)</f>
        <v>59</v>
      </c>
      <c r="Y15" s="90">
        <f>COUNTIFS('Gastos medicos y sepelios'!$L$4:$L$300,"LESIONADO",$C$4:$C$300,Y14)</f>
        <v>125</v>
      </c>
      <c r="Z15" s="91">
        <f t="shared" ref="Z15:Z16" si="0">SUM(G15:Y15)</f>
        <v>197</v>
      </c>
    </row>
    <row r="16" spans="3:26" ht="15.75" thickBot="1" x14ac:dyDescent="0.3">
      <c r="C16">
        <f>IF(ISBLANK('Gastos medicos y sepelios'!E16),0,YEAR('Gastos medicos y sepelios'!E16))</f>
        <v>2021</v>
      </c>
      <c r="D16">
        <v>1</v>
      </c>
      <c r="F16" s="108" t="s">
        <v>1120</v>
      </c>
      <c r="G16" s="92">
        <f>COUNTIFS('Gastos medicos y sepelios'!$L$4:$L$300,"FALLECIDO",$C$4:$C$300,G14)</f>
        <v>0</v>
      </c>
      <c r="H16" s="92">
        <f>COUNTIFS('Gastos medicos y sepelios'!$L$4:$L$300,"FALLECIDO",$C$4:$C$300,H14)</f>
        <v>0</v>
      </c>
      <c r="I16" s="92">
        <f>COUNTIFS('Gastos medicos y sepelios'!$L$4:$L$300,"FALLECIDO",$C$4:$C$300,I14)</f>
        <v>0</v>
      </c>
      <c r="J16" s="92">
        <f>COUNTIFS('Gastos medicos y sepelios'!$L$4:$L$300,"FALLECIDO",$C$4:$C$300,J14)</f>
        <v>0</v>
      </c>
      <c r="K16" s="92">
        <f>COUNTIFS('Gastos medicos y sepelios'!$L$4:$L$300,"FALLECIDO",$C$4:$C$300,K14)</f>
        <v>0</v>
      </c>
      <c r="L16" s="92">
        <f>COUNTIFS('Gastos medicos y sepelios'!$L$4:$L$300,"FALLECIDO",$C$4:$C$300,L14)</f>
        <v>0</v>
      </c>
      <c r="M16" s="92">
        <f>COUNTIFS('Gastos medicos y sepelios'!$L$4:$L$300,"FALLECIDO",$C$4:$C$300,M14)</f>
        <v>0</v>
      </c>
      <c r="N16" s="92">
        <f>COUNTIFS('Gastos medicos y sepelios'!$L$4:$L$300,"FALLECIDO",$C$4:$C$300,N14)</f>
        <v>0</v>
      </c>
      <c r="O16" s="92">
        <f>COUNTIFS('Gastos medicos y sepelios'!$L$4:$L$300,"FALLECIDO",$C$4:$C$300,O14)</f>
        <v>0</v>
      </c>
      <c r="P16" s="92">
        <f>COUNTIFS('Gastos medicos y sepelios'!$L$4:$L$300,"FALLECIDO",$C$4:$C$300,P14)</f>
        <v>0</v>
      </c>
      <c r="Q16" s="92">
        <f>COUNTIFS('Gastos medicos y sepelios'!$L$4:$L$300,"FALLECIDO",$C$4:$C$300,Q14)</f>
        <v>0</v>
      </c>
      <c r="R16" s="92">
        <f>COUNTIFS('Gastos medicos y sepelios'!$L$4:$L$300,"FALLECIDO",$C$4:$C$300,R14)</f>
        <v>0</v>
      </c>
      <c r="S16" s="92">
        <f>COUNTIFS('Gastos medicos y sepelios'!$L$4:$L$300,"FALLECIDO",$C$4:$C$300,S14)</f>
        <v>0</v>
      </c>
      <c r="T16" s="92">
        <f>COUNTIFS('Gastos medicos y sepelios'!$L$4:$L$300,"FALLECIDO",$C$4:$C$300,T14)</f>
        <v>0</v>
      </c>
      <c r="U16" s="92">
        <f>COUNTIFS('Gastos medicos y sepelios'!$L$4:$L$300,"FALLECIDO",$C$4:$C$300,U14)</f>
        <v>0</v>
      </c>
      <c r="V16" s="92">
        <f>COUNTIFS('Gastos medicos y sepelios'!$L$4:$L$300,"FALLECIDO",$C$4:$C$300,V14)</f>
        <v>1</v>
      </c>
      <c r="W16" s="92">
        <f>COUNTIFS('Gastos medicos y sepelios'!$L$4:$L$300,"FALLECIDO",$C$4:$C$300,W14)</f>
        <v>4</v>
      </c>
      <c r="X16" s="92">
        <f>COUNTIFS('Gastos medicos y sepelios'!$L$4:$L$300,"FALLECIDO",$C$4:$C$300,X14)</f>
        <v>38</v>
      </c>
      <c r="Y16" s="92">
        <f>COUNTIFS('Gastos medicos y sepelios'!$L$4:$L$300,"FALLECIDO",$C$4:$C$300,Y14)</f>
        <v>50</v>
      </c>
      <c r="Z16" s="109">
        <f t="shared" si="0"/>
        <v>93</v>
      </c>
    </row>
    <row r="17" spans="3:26" ht="15.75" thickBot="1" x14ac:dyDescent="0.3">
      <c r="C17">
        <f>IF(ISBLANK('Gastos medicos y sepelios'!E17),0,YEAR('Gastos medicos y sepelios'!E17))</f>
        <v>2021</v>
      </c>
      <c r="D17">
        <v>1</v>
      </c>
      <c r="F17" s="110" t="s">
        <v>1048</v>
      </c>
      <c r="G17" s="111">
        <f>SUM(G15:G16)</f>
        <v>0</v>
      </c>
      <c r="H17" s="111">
        <f t="shared" ref="H17:Y17" si="1">SUM(H15:H16)</f>
        <v>0</v>
      </c>
      <c r="I17" s="111">
        <f t="shared" si="1"/>
        <v>0</v>
      </c>
      <c r="J17" s="111">
        <f t="shared" si="1"/>
        <v>0</v>
      </c>
      <c r="K17" s="111">
        <f t="shared" si="1"/>
        <v>0</v>
      </c>
      <c r="L17" s="111">
        <f t="shared" si="1"/>
        <v>0</v>
      </c>
      <c r="M17" s="111">
        <f t="shared" si="1"/>
        <v>0</v>
      </c>
      <c r="N17" s="111">
        <f t="shared" si="1"/>
        <v>0</v>
      </c>
      <c r="O17" s="111">
        <f t="shared" si="1"/>
        <v>0</v>
      </c>
      <c r="P17" s="111">
        <f t="shared" si="1"/>
        <v>0</v>
      </c>
      <c r="Q17" s="111">
        <f t="shared" si="1"/>
        <v>0</v>
      </c>
      <c r="R17" s="111">
        <f t="shared" si="1"/>
        <v>0</v>
      </c>
      <c r="S17" s="111">
        <f t="shared" si="1"/>
        <v>0</v>
      </c>
      <c r="T17" s="111">
        <f t="shared" si="1"/>
        <v>0</v>
      </c>
      <c r="U17" s="111">
        <f t="shared" si="1"/>
        <v>0</v>
      </c>
      <c r="V17" s="111">
        <f t="shared" si="1"/>
        <v>2</v>
      </c>
      <c r="W17" s="111">
        <f t="shared" si="1"/>
        <v>16</v>
      </c>
      <c r="X17" s="111">
        <f t="shared" si="1"/>
        <v>97</v>
      </c>
      <c r="Y17" s="111">
        <f t="shared" si="1"/>
        <v>175</v>
      </c>
      <c r="Z17" s="112">
        <f>SUM(Z15:Z16)</f>
        <v>290</v>
      </c>
    </row>
    <row r="18" spans="3:26" x14ac:dyDescent="0.25">
      <c r="C18">
        <f>IF(ISBLANK('Gastos medicos y sepelios'!E18),0,YEAR('Gastos medicos y sepelios'!E18))</f>
        <v>2021</v>
      </c>
      <c r="D18">
        <v>1</v>
      </c>
    </row>
    <row r="19" spans="3:26" x14ac:dyDescent="0.25">
      <c r="C19">
        <f>IF(ISBLANK('Gastos medicos y sepelios'!E19),0,YEAR('Gastos medicos y sepelios'!E19))</f>
        <v>2021</v>
      </c>
      <c r="D19">
        <v>1</v>
      </c>
    </row>
    <row r="20" spans="3:26" x14ac:dyDescent="0.25">
      <c r="C20">
        <f>IF(ISBLANK('Gastos medicos y sepelios'!E20),0,YEAR('Gastos medicos y sepelios'!E20))</f>
        <v>2022</v>
      </c>
      <c r="D20">
        <v>1</v>
      </c>
    </row>
    <row r="21" spans="3:26" x14ac:dyDescent="0.25">
      <c r="C21">
        <f>IF(ISBLANK('Gastos medicos y sepelios'!E21),0,YEAR('Gastos medicos y sepelios'!E21))</f>
        <v>2021</v>
      </c>
      <c r="D21">
        <v>1</v>
      </c>
    </row>
    <row r="22" spans="3:26" x14ac:dyDescent="0.25">
      <c r="C22">
        <f>IF(ISBLANK('Gastos medicos y sepelios'!E22),0,YEAR('Gastos medicos y sepelios'!E22))</f>
        <v>2022</v>
      </c>
      <c r="D22">
        <v>1</v>
      </c>
    </row>
    <row r="23" spans="3:26" x14ac:dyDescent="0.25">
      <c r="C23">
        <f>IF(ISBLANK('Gastos medicos y sepelios'!E23),0,YEAR('Gastos medicos y sepelios'!E23))</f>
        <v>2022</v>
      </c>
      <c r="D23">
        <v>1</v>
      </c>
    </row>
    <row r="24" spans="3:26" x14ac:dyDescent="0.25">
      <c r="C24">
        <f>IF(ISBLANK('Gastos medicos y sepelios'!E24),0,YEAR('Gastos medicos y sepelios'!E24))</f>
        <v>2022</v>
      </c>
      <c r="D24">
        <v>1</v>
      </c>
    </row>
    <row r="25" spans="3:26" x14ac:dyDescent="0.25">
      <c r="C25">
        <f>IF(ISBLANK('Gastos medicos y sepelios'!E25),0,YEAR('Gastos medicos y sepelios'!E25))</f>
        <v>2022</v>
      </c>
      <c r="D25">
        <v>1</v>
      </c>
    </row>
    <row r="26" spans="3:26" x14ac:dyDescent="0.25">
      <c r="C26">
        <f>IF(ISBLANK('Gastos medicos y sepelios'!E26),0,YEAR('Gastos medicos y sepelios'!E26))</f>
        <v>2021</v>
      </c>
      <c r="D26">
        <v>1</v>
      </c>
    </row>
    <row r="27" spans="3:26" x14ac:dyDescent="0.25">
      <c r="C27">
        <f>IF(ISBLANK('Gastos medicos y sepelios'!E27),0,YEAR('Gastos medicos y sepelios'!E27))</f>
        <v>2021</v>
      </c>
      <c r="D27">
        <v>1</v>
      </c>
      <c r="F27" s="93" t="s">
        <v>1049</v>
      </c>
      <c r="G27" s="93">
        <v>2004</v>
      </c>
      <c r="H27" s="93">
        <v>2005</v>
      </c>
      <c r="I27" s="93">
        <v>2006</v>
      </c>
      <c r="J27" s="93">
        <v>2007</v>
      </c>
      <c r="K27" s="93">
        <v>2008</v>
      </c>
      <c r="L27" s="93">
        <v>2009</v>
      </c>
      <c r="M27" s="93">
        <v>2010</v>
      </c>
      <c r="N27" s="93">
        <v>2011</v>
      </c>
      <c r="O27" s="93">
        <v>2012</v>
      </c>
      <c r="P27" s="93">
        <v>2013</v>
      </c>
      <c r="Q27" s="93">
        <v>2014</v>
      </c>
      <c r="R27" s="93">
        <v>2015</v>
      </c>
      <c r="S27" s="93">
        <v>2016</v>
      </c>
      <c r="T27" s="93">
        <v>2017</v>
      </c>
      <c r="U27" s="93">
        <v>2018</v>
      </c>
      <c r="V27" s="93">
        <v>2019</v>
      </c>
      <c r="W27" s="93">
        <v>2020</v>
      </c>
      <c r="X27" s="93">
        <v>2021</v>
      </c>
      <c r="Y27" s="93">
        <v>2022</v>
      </c>
      <c r="Z27" s="93" t="s">
        <v>1048</v>
      </c>
    </row>
    <row r="28" spans="3:26" x14ac:dyDescent="0.25">
      <c r="C28">
        <f>IF(ISBLANK('Gastos medicos y sepelios'!E28),0,YEAR('Gastos medicos y sepelios'!E28))</f>
        <v>2022</v>
      </c>
      <c r="D28">
        <v>1</v>
      </c>
      <c r="F28" s="94" t="s">
        <v>1108</v>
      </c>
      <c r="G28" s="94">
        <f>COUNTIFS('Gastos medicos y sepelios'!$N$4:$N$300,$F28,$C$4:$C$300,G$27)</f>
        <v>0</v>
      </c>
      <c r="H28" s="94">
        <f>COUNTIFS('Gastos medicos y sepelios'!$N$4:$N$300,$F28,$C$4:$C$300,H$27)</f>
        <v>0</v>
      </c>
      <c r="I28" s="94">
        <f>COUNTIFS('Gastos medicos y sepelios'!$N$4:$N$300,$F28,$C$4:$C$300,I$27)</f>
        <v>0</v>
      </c>
      <c r="J28" s="94">
        <f>COUNTIFS('Gastos medicos y sepelios'!$N$4:$N$300,$F28,$C$4:$C$300,J$27)</f>
        <v>0</v>
      </c>
      <c r="K28" s="94">
        <f>COUNTIFS('Gastos medicos y sepelios'!$N$4:$N$300,$F28,$C$4:$C$300,K$27)</f>
        <v>0</v>
      </c>
      <c r="L28" s="94">
        <f>COUNTIFS('Gastos medicos y sepelios'!$N$4:$N$300,$F28,$C$4:$C$300,L$27)</f>
        <v>0</v>
      </c>
      <c r="M28" s="94">
        <f>COUNTIFS('Gastos medicos y sepelios'!$N$4:$N$300,$F28,$C$4:$C$300,M$27)</f>
        <v>0</v>
      </c>
      <c r="N28" s="94">
        <f>COUNTIFS('Gastos medicos y sepelios'!$N$4:$N$300,$F28,$C$4:$C$300,N$27)</f>
        <v>0</v>
      </c>
      <c r="O28" s="94">
        <f>COUNTIFS('Gastos medicos y sepelios'!$N$4:$N$300,$F28,$C$4:$C$300,O$27)</f>
        <v>0</v>
      </c>
      <c r="P28" s="94">
        <f>COUNTIFS('Gastos medicos y sepelios'!$N$4:$N$300,$F28,$C$4:$C$300,P$27)</f>
        <v>0</v>
      </c>
      <c r="Q28" s="94">
        <f>COUNTIFS('Gastos medicos y sepelios'!$N$4:$N$300,$F28,$C$4:$C$300,Q$27)</f>
        <v>0</v>
      </c>
      <c r="R28" s="94">
        <f>COUNTIFS('Gastos medicos y sepelios'!$N$4:$N$300,$F28,$C$4:$C$300,R$27)</f>
        <v>0</v>
      </c>
      <c r="S28" s="94">
        <f>COUNTIFS('Gastos medicos y sepelios'!$N$4:$N$300,$F28,$C$4:$C$300,S$27)</f>
        <v>0</v>
      </c>
      <c r="T28" s="94">
        <f>COUNTIFS('Gastos medicos y sepelios'!$N$4:$N$300,$F28,$C$4:$C$300,T$27)</f>
        <v>0</v>
      </c>
      <c r="U28" s="94">
        <f>COUNTIFS('Gastos medicos y sepelios'!$N$4:$N$300,$F28,$C$4:$C$300,U$27)</f>
        <v>0</v>
      </c>
      <c r="V28" s="94">
        <f>COUNTIFS('Gastos medicos y sepelios'!$N$4:$N$300,$F28,$C$4:$C$300,V$27)</f>
        <v>0</v>
      </c>
      <c r="W28" s="94">
        <f>COUNTIFS('Gastos medicos y sepelios'!$N$4:$N$300,$F28,$C$4:$C$300,W$27)</f>
        <v>0</v>
      </c>
      <c r="X28" s="94">
        <f>COUNTIFS('Gastos medicos y sepelios'!$N$4:$N$300,$F28,$C$4:$C$300,X$27)</f>
        <v>0</v>
      </c>
      <c r="Y28" s="94">
        <f>COUNTIFS('Gastos medicos y sepelios'!$N$4:$N$300,$F28,$C$4:$C$300,Y$27)</f>
        <v>0</v>
      </c>
      <c r="Z28" s="86">
        <f>SUM(G28:Y28)</f>
        <v>0</v>
      </c>
    </row>
    <row r="29" spans="3:26" x14ac:dyDescent="0.25">
      <c r="C29">
        <f>IF(ISBLANK('Gastos medicos y sepelios'!E29),0,YEAR('Gastos medicos y sepelios'!E29))</f>
        <v>2021</v>
      </c>
      <c r="D29">
        <v>1</v>
      </c>
      <c r="F29" s="94" t="s">
        <v>123</v>
      </c>
      <c r="G29" s="94">
        <f>COUNTIFS('Gastos medicos y sepelios'!$N$4:$N$300,$F29,$C$4:$C$300,G$27)</f>
        <v>0</v>
      </c>
      <c r="H29" s="94">
        <f>COUNTIFS('Gastos medicos y sepelios'!$N$4:$N$300,$F29,$C$4:$C$300,H$27)</f>
        <v>0</v>
      </c>
      <c r="I29" s="94">
        <f>COUNTIFS('Gastos medicos y sepelios'!$N$4:$N$300,$F29,$C$4:$C$300,I$27)</f>
        <v>0</v>
      </c>
      <c r="J29" s="94">
        <f>COUNTIFS('Gastos medicos y sepelios'!$N$4:$N$300,$F29,$C$4:$C$300,J$27)</f>
        <v>0</v>
      </c>
      <c r="K29" s="94">
        <f>COUNTIFS('Gastos medicos y sepelios'!$N$4:$N$300,$F29,$C$4:$C$300,K$27)</f>
        <v>0</v>
      </c>
      <c r="L29" s="94">
        <f>COUNTIFS('Gastos medicos y sepelios'!$N$4:$N$300,$F29,$C$4:$C$300,L$27)</f>
        <v>0</v>
      </c>
      <c r="M29" s="94">
        <f>COUNTIFS('Gastos medicos y sepelios'!$N$4:$N$300,$F29,$C$4:$C$300,M$27)</f>
        <v>0</v>
      </c>
      <c r="N29" s="94">
        <f>COUNTIFS('Gastos medicos y sepelios'!$N$4:$N$300,$F29,$C$4:$C$300,N$27)</f>
        <v>0</v>
      </c>
      <c r="O29" s="94">
        <f>COUNTIFS('Gastos medicos y sepelios'!$N$4:$N$300,$F29,$C$4:$C$300,O$27)</f>
        <v>0</v>
      </c>
      <c r="P29" s="94">
        <f>COUNTIFS('Gastos medicos y sepelios'!$N$4:$N$300,$F29,$C$4:$C$300,P$27)</f>
        <v>0</v>
      </c>
      <c r="Q29" s="94">
        <f>COUNTIFS('Gastos medicos y sepelios'!$N$4:$N$300,$F29,$C$4:$C$300,Q$27)</f>
        <v>0</v>
      </c>
      <c r="R29" s="94">
        <f>COUNTIFS('Gastos medicos y sepelios'!$N$4:$N$300,$F29,$C$4:$C$300,R$27)</f>
        <v>0</v>
      </c>
      <c r="S29" s="94">
        <f>COUNTIFS('Gastos medicos y sepelios'!$N$4:$N$300,$F29,$C$4:$C$300,S$27)</f>
        <v>0</v>
      </c>
      <c r="T29" s="94">
        <f>COUNTIFS('Gastos medicos y sepelios'!$N$4:$N$300,$F29,$C$4:$C$300,T$27)</f>
        <v>0</v>
      </c>
      <c r="U29" s="94">
        <f>COUNTIFS('Gastos medicos y sepelios'!$N$4:$N$300,$F29,$C$4:$C$300,U$27)</f>
        <v>0</v>
      </c>
      <c r="V29" s="94">
        <f>COUNTIFS('Gastos medicos y sepelios'!$N$4:$N$300,$F29,$C$4:$C$300,V$27)</f>
        <v>0</v>
      </c>
      <c r="W29" s="94">
        <f>COUNTIFS('Gastos medicos y sepelios'!$N$4:$N$300,$F29,$C$4:$C$300,W$27)</f>
        <v>1</v>
      </c>
      <c r="X29" s="94">
        <f>COUNTIFS('Gastos medicos y sepelios'!$N$4:$N$300,$F29,$C$4:$C$300,X$27)</f>
        <v>3</v>
      </c>
      <c r="Y29" s="94">
        <f>COUNTIFS('Gastos medicos y sepelios'!$N$4:$N$300,$F29,$C$4:$C$300,Y$27)</f>
        <v>2</v>
      </c>
      <c r="Z29" s="86">
        <f t="shared" ref="Z29:Z52" si="2">SUM(G29:Y29)</f>
        <v>6</v>
      </c>
    </row>
    <row r="30" spans="3:26" x14ac:dyDescent="0.25">
      <c r="C30">
        <f>IF(ISBLANK('Gastos medicos y sepelios'!E30),0,YEAR('Gastos medicos y sepelios'!E30))</f>
        <v>2021</v>
      </c>
      <c r="D30">
        <v>1</v>
      </c>
      <c r="F30" s="94" t="s">
        <v>389</v>
      </c>
      <c r="G30" s="94">
        <f>COUNTIFS('Gastos medicos y sepelios'!$N$4:$N$300,$F30,$C$4:$C$300,G$27)</f>
        <v>0</v>
      </c>
      <c r="H30" s="94">
        <f>COUNTIFS('Gastos medicos y sepelios'!$N$4:$N$300,$F30,$C$4:$C$300,H$27)</f>
        <v>0</v>
      </c>
      <c r="I30" s="94">
        <f>COUNTIFS('Gastos medicos y sepelios'!$N$4:$N$300,$F30,$C$4:$C$300,I$27)</f>
        <v>0</v>
      </c>
      <c r="J30" s="94">
        <f>COUNTIFS('Gastos medicos y sepelios'!$N$4:$N$300,$F30,$C$4:$C$300,J$27)</f>
        <v>0</v>
      </c>
      <c r="K30" s="94">
        <f>COUNTIFS('Gastos medicos y sepelios'!$N$4:$N$300,$F30,$C$4:$C$300,K$27)</f>
        <v>0</v>
      </c>
      <c r="L30" s="94">
        <f>COUNTIFS('Gastos medicos y sepelios'!$N$4:$N$300,$F30,$C$4:$C$300,L$27)</f>
        <v>0</v>
      </c>
      <c r="M30" s="94">
        <f>COUNTIFS('Gastos medicos y sepelios'!$N$4:$N$300,$F30,$C$4:$C$300,M$27)</f>
        <v>0</v>
      </c>
      <c r="N30" s="94">
        <f>COUNTIFS('Gastos medicos y sepelios'!$N$4:$N$300,$F30,$C$4:$C$300,N$27)</f>
        <v>0</v>
      </c>
      <c r="O30" s="94">
        <f>COUNTIFS('Gastos medicos y sepelios'!$N$4:$N$300,$F30,$C$4:$C$300,O$27)</f>
        <v>0</v>
      </c>
      <c r="P30" s="94">
        <f>COUNTIFS('Gastos medicos y sepelios'!$N$4:$N$300,$F30,$C$4:$C$300,P$27)</f>
        <v>0</v>
      </c>
      <c r="Q30" s="94">
        <f>COUNTIFS('Gastos medicos y sepelios'!$N$4:$N$300,$F30,$C$4:$C$300,Q$27)</f>
        <v>0</v>
      </c>
      <c r="R30" s="94">
        <f>COUNTIFS('Gastos medicos y sepelios'!$N$4:$N$300,$F30,$C$4:$C$300,R$27)</f>
        <v>0</v>
      </c>
      <c r="S30" s="94">
        <f>COUNTIFS('Gastos medicos y sepelios'!$N$4:$N$300,$F30,$C$4:$C$300,S$27)</f>
        <v>0</v>
      </c>
      <c r="T30" s="94">
        <f>COUNTIFS('Gastos medicos y sepelios'!$N$4:$N$300,$F30,$C$4:$C$300,T$27)</f>
        <v>0</v>
      </c>
      <c r="U30" s="94">
        <f>COUNTIFS('Gastos medicos y sepelios'!$N$4:$N$300,$F30,$C$4:$C$300,U$27)</f>
        <v>0</v>
      </c>
      <c r="V30" s="94">
        <f>COUNTIFS('Gastos medicos y sepelios'!$N$4:$N$300,$F30,$C$4:$C$300,V$27)</f>
        <v>0</v>
      </c>
      <c r="W30" s="94">
        <f>COUNTIFS('Gastos medicos y sepelios'!$N$4:$N$300,$F30,$C$4:$C$300,W$27)</f>
        <v>0</v>
      </c>
      <c r="X30" s="94">
        <f>COUNTIFS('Gastos medicos y sepelios'!$N$4:$N$300,$F30,$C$4:$C$300,X$27)</f>
        <v>1</v>
      </c>
      <c r="Y30" s="94">
        <f>COUNTIFS('Gastos medicos y sepelios'!$N$4:$N$300,$F30,$C$4:$C$300,Y$27)</f>
        <v>1</v>
      </c>
      <c r="Z30" s="86">
        <f t="shared" si="2"/>
        <v>2</v>
      </c>
    </row>
    <row r="31" spans="3:26" x14ac:dyDescent="0.25">
      <c r="C31">
        <f>IF(ISBLANK('Gastos medicos y sepelios'!E31),0,YEAR('Gastos medicos y sepelios'!E31))</f>
        <v>2022</v>
      </c>
      <c r="D31">
        <v>1</v>
      </c>
      <c r="F31" s="94" t="s">
        <v>261</v>
      </c>
      <c r="G31" s="94">
        <f>COUNTIFS('Gastos medicos y sepelios'!$N$4:$N$300,$F31,$C$4:$C$300,G$27)</f>
        <v>0</v>
      </c>
      <c r="H31" s="94">
        <f>COUNTIFS('Gastos medicos y sepelios'!$N$4:$N$300,$F31,$C$4:$C$300,H$27)</f>
        <v>0</v>
      </c>
      <c r="I31" s="94">
        <f>COUNTIFS('Gastos medicos y sepelios'!$N$4:$N$300,$F31,$C$4:$C$300,I$27)</f>
        <v>0</v>
      </c>
      <c r="J31" s="94">
        <f>COUNTIFS('Gastos medicos y sepelios'!$N$4:$N$300,$F31,$C$4:$C$300,J$27)</f>
        <v>0</v>
      </c>
      <c r="K31" s="94">
        <f>COUNTIFS('Gastos medicos y sepelios'!$N$4:$N$300,$F31,$C$4:$C$300,K$27)</f>
        <v>0</v>
      </c>
      <c r="L31" s="94">
        <f>COUNTIFS('Gastos medicos y sepelios'!$N$4:$N$300,$F31,$C$4:$C$300,L$27)</f>
        <v>0</v>
      </c>
      <c r="M31" s="94">
        <f>COUNTIFS('Gastos medicos y sepelios'!$N$4:$N$300,$F31,$C$4:$C$300,M$27)</f>
        <v>0</v>
      </c>
      <c r="N31" s="94">
        <f>COUNTIFS('Gastos medicos y sepelios'!$N$4:$N$300,$F31,$C$4:$C$300,N$27)</f>
        <v>0</v>
      </c>
      <c r="O31" s="94">
        <f>COUNTIFS('Gastos medicos y sepelios'!$N$4:$N$300,$F31,$C$4:$C$300,O$27)</f>
        <v>0</v>
      </c>
      <c r="P31" s="94">
        <f>COUNTIFS('Gastos medicos y sepelios'!$N$4:$N$300,$F31,$C$4:$C$300,P$27)</f>
        <v>0</v>
      </c>
      <c r="Q31" s="94">
        <f>COUNTIFS('Gastos medicos y sepelios'!$N$4:$N$300,$F31,$C$4:$C$300,Q$27)</f>
        <v>0</v>
      </c>
      <c r="R31" s="94">
        <f>COUNTIFS('Gastos medicos y sepelios'!$N$4:$N$300,$F31,$C$4:$C$300,R$27)</f>
        <v>0</v>
      </c>
      <c r="S31" s="94">
        <f>COUNTIFS('Gastos medicos y sepelios'!$N$4:$N$300,$F31,$C$4:$C$300,S$27)</f>
        <v>0</v>
      </c>
      <c r="T31" s="94">
        <f>COUNTIFS('Gastos medicos y sepelios'!$N$4:$N$300,$F31,$C$4:$C$300,T$27)</f>
        <v>0</v>
      </c>
      <c r="U31" s="94">
        <f>COUNTIFS('Gastos medicos y sepelios'!$N$4:$N$300,$F31,$C$4:$C$300,U$27)</f>
        <v>0</v>
      </c>
      <c r="V31" s="94">
        <f>COUNTIFS('Gastos medicos y sepelios'!$N$4:$N$300,$F31,$C$4:$C$300,V$27)</f>
        <v>0</v>
      </c>
      <c r="W31" s="94">
        <f>COUNTIFS('Gastos medicos y sepelios'!$N$4:$N$300,$F31,$C$4:$C$300,W$27)</f>
        <v>4</v>
      </c>
      <c r="X31" s="94">
        <f>COUNTIFS('Gastos medicos y sepelios'!$N$4:$N$300,$F31,$C$4:$C$300,X$27)</f>
        <v>10</v>
      </c>
      <c r="Y31" s="94">
        <f>COUNTIFS('Gastos medicos y sepelios'!$N$4:$N$300,$F31,$C$4:$C$300,Y$27)</f>
        <v>5</v>
      </c>
      <c r="Z31" s="86">
        <f t="shared" si="2"/>
        <v>19</v>
      </c>
    </row>
    <row r="32" spans="3:26" x14ac:dyDescent="0.25">
      <c r="C32">
        <f>IF(ISBLANK('Gastos medicos y sepelios'!E32),0,YEAR('Gastos medicos y sepelios'!E32))</f>
        <v>2021</v>
      </c>
      <c r="D32">
        <v>1</v>
      </c>
      <c r="F32" s="94" t="s">
        <v>577</v>
      </c>
      <c r="G32" s="94">
        <f>COUNTIFS('Gastos medicos y sepelios'!$N$4:$N$300,$F32,$C$4:$C$300,G$27)</f>
        <v>0</v>
      </c>
      <c r="H32" s="94">
        <f>COUNTIFS('Gastos medicos y sepelios'!$N$4:$N$300,$F32,$C$4:$C$300,H$27)</f>
        <v>0</v>
      </c>
      <c r="I32" s="94">
        <f>COUNTIFS('Gastos medicos y sepelios'!$N$4:$N$300,$F32,$C$4:$C$300,I$27)</f>
        <v>0</v>
      </c>
      <c r="J32" s="94">
        <f>COUNTIFS('Gastos medicos y sepelios'!$N$4:$N$300,$F32,$C$4:$C$300,J$27)</f>
        <v>0</v>
      </c>
      <c r="K32" s="94">
        <f>COUNTIFS('Gastos medicos y sepelios'!$N$4:$N$300,$F32,$C$4:$C$300,K$27)</f>
        <v>0</v>
      </c>
      <c r="L32" s="94">
        <f>COUNTIFS('Gastos medicos y sepelios'!$N$4:$N$300,$F32,$C$4:$C$300,L$27)</f>
        <v>0</v>
      </c>
      <c r="M32" s="94">
        <f>COUNTIFS('Gastos medicos y sepelios'!$N$4:$N$300,$F32,$C$4:$C$300,M$27)</f>
        <v>0</v>
      </c>
      <c r="N32" s="94">
        <f>COUNTIFS('Gastos medicos y sepelios'!$N$4:$N$300,$F32,$C$4:$C$300,N$27)</f>
        <v>0</v>
      </c>
      <c r="O32" s="94">
        <f>COUNTIFS('Gastos medicos y sepelios'!$N$4:$N$300,$F32,$C$4:$C$300,O$27)</f>
        <v>0</v>
      </c>
      <c r="P32" s="94">
        <f>COUNTIFS('Gastos medicos y sepelios'!$N$4:$N$300,$F32,$C$4:$C$300,P$27)</f>
        <v>0</v>
      </c>
      <c r="Q32" s="94">
        <f>COUNTIFS('Gastos medicos y sepelios'!$N$4:$N$300,$F32,$C$4:$C$300,Q$27)</f>
        <v>0</v>
      </c>
      <c r="R32" s="94">
        <f>COUNTIFS('Gastos medicos y sepelios'!$N$4:$N$300,$F32,$C$4:$C$300,R$27)</f>
        <v>0</v>
      </c>
      <c r="S32" s="94">
        <f>COUNTIFS('Gastos medicos y sepelios'!$N$4:$N$300,$F32,$C$4:$C$300,S$27)</f>
        <v>0</v>
      </c>
      <c r="T32" s="94">
        <f>COUNTIFS('Gastos medicos y sepelios'!$N$4:$N$300,$F32,$C$4:$C$300,T$27)</f>
        <v>0</v>
      </c>
      <c r="U32" s="94">
        <f>COUNTIFS('Gastos medicos y sepelios'!$N$4:$N$300,$F32,$C$4:$C$300,U$27)</f>
        <v>0</v>
      </c>
      <c r="V32" s="94">
        <f>COUNTIFS('Gastos medicos y sepelios'!$N$4:$N$300,$F32,$C$4:$C$300,V$27)</f>
        <v>0</v>
      </c>
      <c r="W32" s="94">
        <f>COUNTIFS('Gastos medicos y sepelios'!$N$4:$N$300,$F32,$C$4:$C$300,W$27)</f>
        <v>0</v>
      </c>
      <c r="X32" s="94">
        <f>COUNTIFS('Gastos medicos y sepelios'!$N$4:$N$300,$F32,$C$4:$C$300,X$27)</f>
        <v>2</v>
      </c>
      <c r="Y32" s="94">
        <f>COUNTIFS('Gastos medicos y sepelios'!$N$4:$N$300,$F32,$C$4:$C$300,Y$27)</f>
        <v>2</v>
      </c>
      <c r="Z32" s="86">
        <f t="shared" si="2"/>
        <v>4</v>
      </c>
    </row>
    <row r="33" spans="3:26" x14ac:dyDescent="0.25">
      <c r="C33">
        <f>IF(ISBLANK('Gastos medicos y sepelios'!E33),0,YEAR('Gastos medicos y sepelios'!E33))</f>
        <v>2022</v>
      </c>
      <c r="D33">
        <v>1</v>
      </c>
      <c r="F33" s="94" t="s">
        <v>1109</v>
      </c>
      <c r="G33" s="94">
        <f>COUNTIFS('Gastos medicos y sepelios'!$N$4:$N$300,$F33,$C$4:$C$300,G$27)</f>
        <v>0</v>
      </c>
      <c r="H33" s="94">
        <f>COUNTIFS('Gastos medicos y sepelios'!$N$4:$N$300,$F33,$C$4:$C$300,H$27)</f>
        <v>0</v>
      </c>
      <c r="I33" s="94">
        <f>COUNTIFS('Gastos medicos y sepelios'!$N$4:$N$300,$F33,$C$4:$C$300,I$27)</f>
        <v>0</v>
      </c>
      <c r="J33" s="94">
        <f>COUNTIFS('Gastos medicos y sepelios'!$N$4:$N$300,$F33,$C$4:$C$300,J$27)</f>
        <v>0</v>
      </c>
      <c r="K33" s="94">
        <f>COUNTIFS('Gastos medicos y sepelios'!$N$4:$N$300,$F33,$C$4:$C$300,K$27)</f>
        <v>0</v>
      </c>
      <c r="L33" s="94">
        <f>COUNTIFS('Gastos medicos y sepelios'!$N$4:$N$300,$F33,$C$4:$C$300,L$27)</f>
        <v>0</v>
      </c>
      <c r="M33" s="94">
        <f>COUNTIFS('Gastos medicos y sepelios'!$N$4:$N$300,$F33,$C$4:$C$300,M$27)</f>
        <v>0</v>
      </c>
      <c r="N33" s="94">
        <f>COUNTIFS('Gastos medicos y sepelios'!$N$4:$N$300,$F33,$C$4:$C$300,N$27)</f>
        <v>0</v>
      </c>
      <c r="O33" s="94">
        <f>COUNTIFS('Gastos medicos y sepelios'!$N$4:$N$300,$F33,$C$4:$C$300,O$27)</f>
        <v>0</v>
      </c>
      <c r="P33" s="94">
        <f>COUNTIFS('Gastos medicos y sepelios'!$N$4:$N$300,$F33,$C$4:$C$300,P$27)</f>
        <v>0</v>
      </c>
      <c r="Q33" s="94">
        <f>COUNTIFS('Gastos medicos y sepelios'!$N$4:$N$300,$F33,$C$4:$C$300,Q$27)</f>
        <v>0</v>
      </c>
      <c r="R33" s="94">
        <f>COUNTIFS('Gastos medicos y sepelios'!$N$4:$N$300,$F33,$C$4:$C$300,R$27)</f>
        <v>0</v>
      </c>
      <c r="S33" s="94">
        <f>COUNTIFS('Gastos medicos y sepelios'!$N$4:$N$300,$F33,$C$4:$C$300,S$27)</f>
        <v>0</v>
      </c>
      <c r="T33" s="94">
        <f>COUNTIFS('Gastos medicos y sepelios'!$N$4:$N$300,$F33,$C$4:$C$300,T$27)</f>
        <v>0</v>
      </c>
      <c r="U33" s="94">
        <f>COUNTIFS('Gastos medicos y sepelios'!$N$4:$N$300,$F33,$C$4:$C$300,U$27)</f>
        <v>0</v>
      </c>
      <c r="V33" s="94">
        <f>COUNTIFS('Gastos medicos y sepelios'!$N$4:$N$300,$F33,$C$4:$C$300,V$27)</f>
        <v>0</v>
      </c>
      <c r="W33" s="94">
        <f>COUNTIFS('Gastos medicos y sepelios'!$N$4:$N$300,$F33,$C$4:$C$300,W$27)</f>
        <v>0</v>
      </c>
      <c r="X33" s="94">
        <f>COUNTIFS('Gastos medicos y sepelios'!$N$4:$N$300,$F33,$C$4:$C$300,X$27)</f>
        <v>0</v>
      </c>
      <c r="Y33" s="94">
        <f>COUNTIFS('Gastos medicos y sepelios'!$N$4:$N$300,$F33,$C$4:$C$300,Y$27)</f>
        <v>0</v>
      </c>
      <c r="Z33" s="86">
        <f t="shared" si="2"/>
        <v>0</v>
      </c>
    </row>
    <row r="34" spans="3:26" x14ac:dyDescent="0.25">
      <c r="C34">
        <f>IF(ISBLANK('Gastos medicos y sepelios'!E34),0,YEAR('Gastos medicos y sepelios'!E34))</f>
        <v>2021</v>
      </c>
      <c r="D34">
        <v>1</v>
      </c>
      <c r="F34" s="94" t="s">
        <v>223</v>
      </c>
      <c r="G34" s="94">
        <f>COUNTIFS('Gastos medicos y sepelios'!$N$4:$N$300,$F34,$C$4:$C$300,G$27)</f>
        <v>0</v>
      </c>
      <c r="H34" s="94">
        <f>COUNTIFS('Gastos medicos y sepelios'!$N$4:$N$300,$F34,$C$4:$C$300,H$27)</f>
        <v>0</v>
      </c>
      <c r="I34" s="94">
        <f>COUNTIFS('Gastos medicos y sepelios'!$N$4:$N$300,$F34,$C$4:$C$300,I$27)</f>
        <v>0</v>
      </c>
      <c r="J34" s="94">
        <f>COUNTIFS('Gastos medicos y sepelios'!$N$4:$N$300,$F34,$C$4:$C$300,J$27)</f>
        <v>0</v>
      </c>
      <c r="K34" s="94">
        <f>COUNTIFS('Gastos medicos y sepelios'!$N$4:$N$300,$F34,$C$4:$C$300,K$27)</f>
        <v>0</v>
      </c>
      <c r="L34" s="94">
        <f>COUNTIFS('Gastos medicos y sepelios'!$N$4:$N$300,$F34,$C$4:$C$300,L$27)</f>
        <v>0</v>
      </c>
      <c r="M34" s="94">
        <f>COUNTIFS('Gastos medicos y sepelios'!$N$4:$N$300,$F34,$C$4:$C$300,M$27)</f>
        <v>0</v>
      </c>
      <c r="N34" s="94">
        <f>COUNTIFS('Gastos medicos y sepelios'!$N$4:$N$300,$F34,$C$4:$C$300,N$27)</f>
        <v>0</v>
      </c>
      <c r="O34" s="94">
        <f>COUNTIFS('Gastos medicos y sepelios'!$N$4:$N$300,$F34,$C$4:$C$300,O$27)</f>
        <v>0</v>
      </c>
      <c r="P34" s="94">
        <f>COUNTIFS('Gastos medicos y sepelios'!$N$4:$N$300,$F34,$C$4:$C$300,P$27)</f>
        <v>0</v>
      </c>
      <c r="Q34" s="94">
        <f>COUNTIFS('Gastos medicos y sepelios'!$N$4:$N$300,$F34,$C$4:$C$300,Q$27)</f>
        <v>0</v>
      </c>
      <c r="R34" s="94">
        <f>COUNTIFS('Gastos medicos y sepelios'!$N$4:$N$300,$F34,$C$4:$C$300,R$27)</f>
        <v>0</v>
      </c>
      <c r="S34" s="94">
        <f>COUNTIFS('Gastos medicos y sepelios'!$N$4:$N$300,$F34,$C$4:$C$300,S$27)</f>
        <v>0</v>
      </c>
      <c r="T34" s="94">
        <f>COUNTIFS('Gastos medicos y sepelios'!$N$4:$N$300,$F34,$C$4:$C$300,T$27)</f>
        <v>0</v>
      </c>
      <c r="U34" s="94">
        <f>COUNTIFS('Gastos medicos y sepelios'!$N$4:$N$300,$F34,$C$4:$C$300,U$27)</f>
        <v>0</v>
      </c>
      <c r="V34" s="94">
        <f>COUNTIFS('Gastos medicos y sepelios'!$N$4:$N$300,$F34,$C$4:$C$300,V$27)</f>
        <v>0</v>
      </c>
      <c r="W34" s="94">
        <f>COUNTIFS('Gastos medicos y sepelios'!$N$4:$N$300,$F34,$C$4:$C$300,W$27)</f>
        <v>0</v>
      </c>
      <c r="X34" s="94">
        <f>COUNTIFS('Gastos medicos y sepelios'!$N$4:$N$300,$F34,$C$4:$C$300,X$27)</f>
        <v>1</v>
      </c>
      <c r="Y34" s="94">
        <f>COUNTIFS('Gastos medicos y sepelios'!$N$4:$N$300,$F34,$C$4:$C$300,Y$27)</f>
        <v>0</v>
      </c>
      <c r="Z34" s="86">
        <f t="shared" si="2"/>
        <v>1</v>
      </c>
    </row>
    <row r="35" spans="3:26" x14ac:dyDescent="0.25">
      <c r="C35">
        <f>IF(ISBLANK('Gastos medicos y sepelios'!E35),0,YEAR('Gastos medicos y sepelios'!E35))</f>
        <v>2022</v>
      </c>
      <c r="D35">
        <v>1</v>
      </c>
      <c r="F35" s="94" t="s">
        <v>706</v>
      </c>
      <c r="G35" s="94">
        <f>COUNTIFS('Gastos medicos y sepelios'!$N$4:$N$300,$F35,$C$4:$C$300,G$27)</f>
        <v>0</v>
      </c>
      <c r="H35" s="94">
        <f>COUNTIFS('Gastos medicos y sepelios'!$N$4:$N$300,$F35,$C$4:$C$300,H$27)</f>
        <v>0</v>
      </c>
      <c r="I35" s="94">
        <f>COUNTIFS('Gastos medicos y sepelios'!$N$4:$N$300,$F35,$C$4:$C$300,I$27)</f>
        <v>0</v>
      </c>
      <c r="J35" s="94">
        <f>COUNTIFS('Gastos medicos y sepelios'!$N$4:$N$300,$F35,$C$4:$C$300,J$27)</f>
        <v>0</v>
      </c>
      <c r="K35" s="94">
        <f>COUNTIFS('Gastos medicos y sepelios'!$N$4:$N$300,$F35,$C$4:$C$300,K$27)</f>
        <v>0</v>
      </c>
      <c r="L35" s="94">
        <f>COUNTIFS('Gastos medicos y sepelios'!$N$4:$N$300,$F35,$C$4:$C$300,L$27)</f>
        <v>0</v>
      </c>
      <c r="M35" s="94">
        <f>COUNTIFS('Gastos medicos y sepelios'!$N$4:$N$300,$F35,$C$4:$C$300,M$27)</f>
        <v>0</v>
      </c>
      <c r="N35" s="94">
        <f>COUNTIFS('Gastos medicos y sepelios'!$N$4:$N$300,$F35,$C$4:$C$300,N$27)</f>
        <v>0</v>
      </c>
      <c r="O35" s="94">
        <f>COUNTIFS('Gastos medicos y sepelios'!$N$4:$N$300,$F35,$C$4:$C$300,O$27)</f>
        <v>0</v>
      </c>
      <c r="P35" s="94">
        <f>COUNTIFS('Gastos medicos y sepelios'!$N$4:$N$300,$F35,$C$4:$C$300,P$27)</f>
        <v>0</v>
      </c>
      <c r="Q35" s="94">
        <f>COUNTIFS('Gastos medicos y sepelios'!$N$4:$N$300,$F35,$C$4:$C$300,Q$27)</f>
        <v>0</v>
      </c>
      <c r="R35" s="94">
        <f>COUNTIFS('Gastos medicos y sepelios'!$N$4:$N$300,$F35,$C$4:$C$300,R$27)</f>
        <v>0</v>
      </c>
      <c r="S35" s="94">
        <f>COUNTIFS('Gastos medicos y sepelios'!$N$4:$N$300,$F35,$C$4:$C$300,S$27)</f>
        <v>0</v>
      </c>
      <c r="T35" s="94">
        <f>COUNTIFS('Gastos medicos y sepelios'!$N$4:$N$300,$F35,$C$4:$C$300,T$27)</f>
        <v>0</v>
      </c>
      <c r="U35" s="94">
        <f>COUNTIFS('Gastos medicos y sepelios'!$N$4:$N$300,$F35,$C$4:$C$300,U$27)</f>
        <v>0</v>
      </c>
      <c r="V35" s="94">
        <f>COUNTIFS('Gastos medicos y sepelios'!$N$4:$N$300,$F35,$C$4:$C$300,V$27)</f>
        <v>0</v>
      </c>
      <c r="W35" s="94">
        <f>COUNTIFS('Gastos medicos y sepelios'!$N$4:$N$300,$F35,$C$4:$C$300,W$27)</f>
        <v>0</v>
      </c>
      <c r="X35" s="94">
        <f>COUNTIFS('Gastos medicos y sepelios'!$N$4:$N$300,$F35,$C$4:$C$300,X$27)</f>
        <v>3</v>
      </c>
      <c r="Y35" s="94">
        <f>COUNTIFS('Gastos medicos y sepelios'!$N$4:$N$300,$F35,$C$4:$C$300,Y$27)</f>
        <v>1</v>
      </c>
      <c r="Z35" s="86">
        <f t="shared" si="2"/>
        <v>4</v>
      </c>
    </row>
    <row r="36" spans="3:26" x14ac:dyDescent="0.25">
      <c r="C36">
        <f>IF(ISBLANK('Gastos medicos y sepelios'!E36),0,YEAR('Gastos medicos y sepelios'!E36))</f>
        <v>2021</v>
      </c>
      <c r="D36">
        <v>1</v>
      </c>
      <c r="F36" s="94" t="s">
        <v>1110</v>
      </c>
      <c r="G36" s="94">
        <f>COUNTIFS('Gastos medicos y sepelios'!$N$4:$N$300,$F36,$C$4:$C$300,G$27)</f>
        <v>0</v>
      </c>
      <c r="H36" s="94">
        <f>COUNTIFS('Gastos medicos y sepelios'!$N$4:$N$300,$F36,$C$4:$C$300,H$27)</f>
        <v>0</v>
      </c>
      <c r="I36" s="94">
        <f>COUNTIFS('Gastos medicos y sepelios'!$N$4:$N$300,$F36,$C$4:$C$300,I$27)</f>
        <v>0</v>
      </c>
      <c r="J36" s="94">
        <f>COUNTIFS('Gastos medicos y sepelios'!$N$4:$N$300,$F36,$C$4:$C$300,J$27)</f>
        <v>0</v>
      </c>
      <c r="K36" s="94">
        <f>COUNTIFS('Gastos medicos y sepelios'!$N$4:$N$300,$F36,$C$4:$C$300,K$27)</f>
        <v>0</v>
      </c>
      <c r="L36" s="94">
        <f>COUNTIFS('Gastos medicos y sepelios'!$N$4:$N$300,$F36,$C$4:$C$300,L$27)</f>
        <v>0</v>
      </c>
      <c r="M36" s="94">
        <f>COUNTIFS('Gastos medicos y sepelios'!$N$4:$N$300,$F36,$C$4:$C$300,M$27)</f>
        <v>0</v>
      </c>
      <c r="N36" s="94">
        <f>COUNTIFS('Gastos medicos y sepelios'!$N$4:$N$300,$F36,$C$4:$C$300,N$27)</f>
        <v>0</v>
      </c>
      <c r="O36" s="94">
        <f>COUNTIFS('Gastos medicos y sepelios'!$N$4:$N$300,$F36,$C$4:$C$300,O$27)</f>
        <v>0</v>
      </c>
      <c r="P36" s="94">
        <f>COUNTIFS('Gastos medicos y sepelios'!$N$4:$N$300,$F36,$C$4:$C$300,P$27)</f>
        <v>0</v>
      </c>
      <c r="Q36" s="94">
        <f>COUNTIFS('Gastos medicos y sepelios'!$N$4:$N$300,$F36,$C$4:$C$300,Q$27)</f>
        <v>0</v>
      </c>
      <c r="R36" s="94">
        <f>COUNTIFS('Gastos medicos y sepelios'!$N$4:$N$300,$F36,$C$4:$C$300,R$27)</f>
        <v>0</v>
      </c>
      <c r="S36" s="94">
        <f>COUNTIFS('Gastos medicos y sepelios'!$N$4:$N$300,$F36,$C$4:$C$300,S$27)</f>
        <v>0</v>
      </c>
      <c r="T36" s="94">
        <f>COUNTIFS('Gastos medicos y sepelios'!$N$4:$N$300,$F36,$C$4:$C$300,T$27)</f>
        <v>0</v>
      </c>
      <c r="U36" s="94">
        <f>COUNTIFS('Gastos medicos y sepelios'!$N$4:$N$300,$F36,$C$4:$C$300,U$27)</f>
        <v>0</v>
      </c>
      <c r="V36" s="94">
        <f>COUNTIFS('Gastos medicos y sepelios'!$N$4:$N$300,$F36,$C$4:$C$300,V$27)</f>
        <v>0</v>
      </c>
      <c r="W36" s="94">
        <f>COUNTIFS('Gastos medicos y sepelios'!$N$4:$N$300,$F36,$C$4:$C$300,W$27)</f>
        <v>0</v>
      </c>
      <c r="X36" s="94">
        <f>COUNTIFS('Gastos medicos y sepelios'!$N$4:$N$300,$F36,$C$4:$C$300,X$27)</f>
        <v>0</v>
      </c>
      <c r="Y36" s="94">
        <f>COUNTIFS('Gastos medicos y sepelios'!$N$4:$N$300,$F36,$C$4:$C$300,Y$27)</f>
        <v>0</v>
      </c>
      <c r="Z36" s="86">
        <f t="shared" si="2"/>
        <v>0</v>
      </c>
    </row>
    <row r="37" spans="3:26" x14ac:dyDescent="0.25">
      <c r="C37">
        <f>IF(ISBLANK('Gastos medicos y sepelios'!E37),0,YEAR('Gastos medicos y sepelios'!E37))</f>
        <v>2022</v>
      </c>
      <c r="D37">
        <v>1</v>
      </c>
      <c r="F37" s="94" t="s">
        <v>593</v>
      </c>
      <c r="G37" s="94">
        <f>COUNTIFS('Gastos medicos y sepelios'!$N$4:$N$300,$F37,$C$4:$C$300,G$27)</f>
        <v>0</v>
      </c>
      <c r="H37" s="94">
        <f>COUNTIFS('Gastos medicos y sepelios'!$N$4:$N$300,$F37,$C$4:$C$300,H$27)</f>
        <v>0</v>
      </c>
      <c r="I37" s="94">
        <f>COUNTIFS('Gastos medicos y sepelios'!$N$4:$N$300,$F37,$C$4:$C$300,I$27)</f>
        <v>0</v>
      </c>
      <c r="J37" s="94">
        <f>COUNTIFS('Gastos medicos y sepelios'!$N$4:$N$300,$F37,$C$4:$C$300,J$27)</f>
        <v>0</v>
      </c>
      <c r="K37" s="94">
        <f>COUNTIFS('Gastos medicos y sepelios'!$N$4:$N$300,$F37,$C$4:$C$300,K$27)</f>
        <v>0</v>
      </c>
      <c r="L37" s="94">
        <f>COUNTIFS('Gastos medicos y sepelios'!$N$4:$N$300,$F37,$C$4:$C$300,L$27)</f>
        <v>0</v>
      </c>
      <c r="M37" s="94">
        <f>COUNTIFS('Gastos medicos y sepelios'!$N$4:$N$300,$F37,$C$4:$C$300,M$27)</f>
        <v>0</v>
      </c>
      <c r="N37" s="94">
        <f>COUNTIFS('Gastos medicos y sepelios'!$N$4:$N$300,$F37,$C$4:$C$300,N$27)</f>
        <v>0</v>
      </c>
      <c r="O37" s="94">
        <f>COUNTIFS('Gastos medicos y sepelios'!$N$4:$N$300,$F37,$C$4:$C$300,O$27)</f>
        <v>0</v>
      </c>
      <c r="P37" s="94">
        <f>COUNTIFS('Gastos medicos y sepelios'!$N$4:$N$300,$F37,$C$4:$C$300,P$27)</f>
        <v>0</v>
      </c>
      <c r="Q37" s="94">
        <f>COUNTIFS('Gastos medicos y sepelios'!$N$4:$N$300,$F37,$C$4:$C$300,Q$27)</f>
        <v>0</v>
      </c>
      <c r="R37" s="94">
        <f>COUNTIFS('Gastos medicos y sepelios'!$N$4:$N$300,$F37,$C$4:$C$300,R$27)</f>
        <v>0</v>
      </c>
      <c r="S37" s="94">
        <f>COUNTIFS('Gastos medicos y sepelios'!$N$4:$N$300,$F37,$C$4:$C$300,S$27)</f>
        <v>0</v>
      </c>
      <c r="T37" s="94">
        <f>COUNTIFS('Gastos medicos y sepelios'!$N$4:$N$300,$F37,$C$4:$C$300,T$27)</f>
        <v>0</v>
      </c>
      <c r="U37" s="94">
        <f>COUNTIFS('Gastos medicos y sepelios'!$N$4:$N$300,$F37,$C$4:$C$300,U$27)</f>
        <v>0</v>
      </c>
      <c r="V37" s="94">
        <f>COUNTIFS('Gastos medicos y sepelios'!$N$4:$N$300,$F37,$C$4:$C$300,V$27)</f>
        <v>0</v>
      </c>
      <c r="W37" s="94">
        <f>COUNTIFS('Gastos medicos y sepelios'!$N$4:$N$300,$F37,$C$4:$C$300,W$27)</f>
        <v>0</v>
      </c>
      <c r="X37" s="94">
        <f>COUNTIFS('Gastos medicos y sepelios'!$N$4:$N$300,$F37,$C$4:$C$300,X$27)</f>
        <v>3</v>
      </c>
      <c r="Y37" s="94">
        <f>COUNTIFS('Gastos medicos y sepelios'!$N$4:$N$300,$F37,$C$4:$C$300,Y$27)</f>
        <v>2</v>
      </c>
      <c r="Z37" s="86">
        <f t="shared" si="2"/>
        <v>5</v>
      </c>
    </row>
    <row r="38" spans="3:26" x14ac:dyDescent="0.25">
      <c r="C38">
        <f>IF(ISBLANK('Gastos medicos y sepelios'!E38),0,YEAR('Gastos medicos y sepelios'!E38))</f>
        <v>2022</v>
      </c>
      <c r="D38">
        <v>1</v>
      </c>
      <c r="F38" s="94" t="s">
        <v>148</v>
      </c>
      <c r="G38" s="94">
        <f>COUNTIFS('Gastos medicos y sepelios'!$N$4:$N$300,$F38,$C$4:$C$300,G$27)</f>
        <v>0</v>
      </c>
      <c r="H38" s="94">
        <f>COUNTIFS('Gastos medicos y sepelios'!$N$4:$N$300,$F38,$C$4:$C$300,H$27)</f>
        <v>0</v>
      </c>
      <c r="I38" s="94">
        <f>COUNTIFS('Gastos medicos y sepelios'!$N$4:$N$300,$F38,$C$4:$C$300,I$27)</f>
        <v>0</v>
      </c>
      <c r="J38" s="94">
        <f>COUNTIFS('Gastos medicos y sepelios'!$N$4:$N$300,$F38,$C$4:$C$300,J$27)</f>
        <v>0</v>
      </c>
      <c r="K38" s="94">
        <f>COUNTIFS('Gastos medicos y sepelios'!$N$4:$N$300,$F38,$C$4:$C$300,K$27)</f>
        <v>0</v>
      </c>
      <c r="L38" s="94">
        <f>COUNTIFS('Gastos medicos y sepelios'!$N$4:$N$300,$F38,$C$4:$C$300,L$27)</f>
        <v>0</v>
      </c>
      <c r="M38" s="94">
        <f>COUNTIFS('Gastos medicos y sepelios'!$N$4:$N$300,$F38,$C$4:$C$300,M$27)</f>
        <v>0</v>
      </c>
      <c r="N38" s="94">
        <f>COUNTIFS('Gastos medicos y sepelios'!$N$4:$N$300,$F38,$C$4:$C$300,N$27)</f>
        <v>0</v>
      </c>
      <c r="O38" s="94">
        <f>COUNTIFS('Gastos medicos y sepelios'!$N$4:$N$300,$F38,$C$4:$C$300,O$27)</f>
        <v>0</v>
      </c>
      <c r="P38" s="94">
        <f>COUNTIFS('Gastos medicos y sepelios'!$N$4:$N$300,$F38,$C$4:$C$300,P$27)</f>
        <v>0</v>
      </c>
      <c r="Q38" s="94">
        <f>COUNTIFS('Gastos medicos y sepelios'!$N$4:$N$300,$F38,$C$4:$C$300,Q$27)</f>
        <v>0</v>
      </c>
      <c r="R38" s="94">
        <f>COUNTIFS('Gastos medicos y sepelios'!$N$4:$N$300,$F38,$C$4:$C$300,R$27)</f>
        <v>0</v>
      </c>
      <c r="S38" s="94">
        <f>COUNTIFS('Gastos medicos y sepelios'!$N$4:$N$300,$F38,$C$4:$C$300,S$27)</f>
        <v>0</v>
      </c>
      <c r="T38" s="94">
        <f>COUNTIFS('Gastos medicos y sepelios'!$N$4:$N$300,$F38,$C$4:$C$300,T$27)</f>
        <v>0</v>
      </c>
      <c r="U38" s="94">
        <f>COUNTIFS('Gastos medicos y sepelios'!$N$4:$N$300,$F38,$C$4:$C$300,U$27)</f>
        <v>0</v>
      </c>
      <c r="V38" s="94">
        <f>COUNTIFS('Gastos medicos y sepelios'!$N$4:$N$300,$F38,$C$4:$C$300,V$27)</f>
        <v>0</v>
      </c>
      <c r="W38" s="94">
        <f>COUNTIFS('Gastos medicos y sepelios'!$N$4:$N$300,$F38,$C$4:$C$300,W$27)</f>
        <v>1</v>
      </c>
      <c r="X38" s="94">
        <f>COUNTIFS('Gastos medicos y sepelios'!$N$4:$N$300,$F38,$C$4:$C$300,X$27)</f>
        <v>4</v>
      </c>
      <c r="Y38" s="94">
        <f>COUNTIFS('Gastos medicos y sepelios'!$N$4:$N$300,$F38,$C$4:$C$300,Y$27)</f>
        <v>5</v>
      </c>
      <c r="Z38" s="86">
        <f t="shared" si="2"/>
        <v>10</v>
      </c>
    </row>
    <row r="39" spans="3:26" x14ac:dyDescent="0.25">
      <c r="C39">
        <f>IF(ISBLANK('Gastos medicos y sepelios'!E39),0,YEAR('Gastos medicos y sepelios'!E39))</f>
        <v>2021</v>
      </c>
      <c r="D39">
        <v>1</v>
      </c>
      <c r="F39" s="94" t="s">
        <v>26</v>
      </c>
      <c r="G39" s="94">
        <f>COUNTIFS('Gastos medicos y sepelios'!$N$4:$N$300,$F39,$C$4:$C$300,G$27)</f>
        <v>0</v>
      </c>
      <c r="H39" s="94">
        <f>COUNTIFS('Gastos medicos y sepelios'!$N$4:$N$300,$F39,$C$4:$C$300,H$27)</f>
        <v>0</v>
      </c>
      <c r="I39" s="94">
        <f>COUNTIFS('Gastos medicos y sepelios'!$N$4:$N$300,$F39,$C$4:$C$300,I$27)</f>
        <v>0</v>
      </c>
      <c r="J39" s="94">
        <f>COUNTIFS('Gastos medicos y sepelios'!$N$4:$N$300,$F39,$C$4:$C$300,J$27)</f>
        <v>0</v>
      </c>
      <c r="K39" s="94">
        <f>COUNTIFS('Gastos medicos y sepelios'!$N$4:$N$300,$F39,$C$4:$C$300,K$27)</f>
        <v>0</v>
      </c>
      <c r="L39" s="94">
        <f>COUNTIFS('Gastos medicos y sepelios'!$N$4:$N$300,$F39,$C$4:$C$300,L$27)</f>
        <v>0</v>
      </c>
      <c r="M39" s="94">
        <f>COUNTIFS('Gastos medicos y sepelios'!$N$4:$N$300,$F39,$C$4:$C$300,M$27)</f>
        <v>0</v>
      </c>
      <c r="N39" s="94">
        <f>COUNTIFS('Gastos medicos y sepelios'!$N$4:$N$300,$F39,$C$4:$C$300,N$27)</f>
        <v>0</v>
      </c>
      <c r="O39" s="94">
        <f>COUNTIFS('Gastos medicos y sepelios'!$N$4:$N$300,$F39,$C$4:$C$300,O$27)</f>
        <v>0</v>
      </c>
      <c r="P39" s="94">
        <f>COUNTIFS('Gastos medicos y sepelios'!$N$4:$N$300,$F39,$C$4:$C$300,P$27)</f>
        <v>0</v>
      </c>
      <c r="Q39" s="94">
        <f>COUNTIFS('Gastos medicos y sepelios'!$N$4:$N$300,$F39,$C$4:$C$300,Q$27)</f>
        <v>0</v>
      </c>
      <c r="R39" s="94">
        <f>COUNTIFS('Gastos medicos y sepelios'!$N$4:$N$300,$F39,$C$4:$C$300,R$27)</f>
        <v>0</v>
      </c>
      <c r="S39" s="94">
        <f>COUNTIFS('Gastos medicos y sepelios'!$N$4:$N$300,$F39,$C$4:$C$300,S$27)</f>
        <v>0</v>
      </c>
      <c r="T39" s="94">
        <f>COUNTIFS('Gastos medicos y sepelios'!$N$4:$N$300,$F39,$C$4:$C$300,T$27)</f>
        <v>0</v>
      </c>
      <c r="U39" s="94">
        <f>COUNTIFS('Gastos medicos y sepelios'!$N$4:$N$300,$F39,$C$4:$C$300,U$27)</f>
        <v>0</v>
      </c>
      <c r="V39" s="94">
        <f>COUNTIFS('Gastos medicos y sepelios'!$N$4:$N$300,$F39,$C$4:$C$300,V$27)</f>
        <v>0</v>
      </c>
      <c r="W39" s="94">
        <f>COUNTIFS('Gastos medicos y sepelios'!$N$4:$N$300,$F39,$C$4:$C$300,W$27)</f>
        <v>1</v>
      </c>
      <c r="X39" s="94">
        <f>COUNTIFS('Gastos medicos y sepelios'!$N$4:$N$300,$F39,$C$4:$C$300,X$27)</f>
        <v>11</v>
      </c>
      <c r="Y39" s="94">
        <f>COUNTIFS('Gastos medicos y sepelios'!$N$4:$N$300,$F39,$C$4:$C$300,Y$27)</f>
        <v>14</v>
      </c>
      <c r="Z39" s="86">
        <f t="shared" si="2"/>
        <v>26</v>
      </c>
    </row>
    <row r="40" spans="3:26" x14ac:dyDescent="0.25">
      <c r="C40">
        <f>IF(ISBLANK('Gastos medicos y sepelios'!E40),0,YEAR('Gastos medicos y sepelios'!E40))</f>
        <v>2022</v>
      </c>
      <c r="D40">
        <v>1</v>
      </c>
      <c r="F40" s="94" t="s">
        <v>135</v>
      </c>
      <c r="G40" s="94">
        <f>COUNTIFS('Gastos medicos y sepelios'!$N$4:$N$300,$F40,$C$4:$C$300,G$27)</f>
        <v>0</v>
      </c>
      <c r="H40" s="94">
        <f>COUNTIFS('Gastos medicos y sepelios'!$N$4:$N$300,$F40,$C$4:$C$300,H$27)</f>
        <v>0</v>
      </c>
      <c r="I40" s="94">
        <f>COUNTIFS('Gastos medicos y sepelios'!$N$4:$N$300,$F40,$C$4:$C$300,I$27)</f>
        <v>0</v>
      </c>
      <c r="J40" s="94">
        <f>COUNTIFS('Gastos medicos y sepelios'!$N$4:$N$300,$F40,$C$4:$C$300,J$27)</f>
        <v>0</v>
      </c>
      <c r="K40" s="94">
        <f>COUNTIFS('Gastos medicos y sepelios'!$N$4:$N$300,$F40,$C$4:$C$300,K$27)</f>
        <v>0</v>
      </c>
      <c r="L40" s="94">
        <f>COUNTIFS('Gastos medicos y sepelios'!$N$4:$N$300,$F40,$C$4:$C$300,L$27)</f>
        <v>0</v>
      </c>
      <c r="M40" s="94">
        <f>COUNTIFS('Gastos medicos y sepelios'!$N$4:$N$300,$F40,$C$4:$C$300,M$27)</f>
        <v>0</v>
      </c>
      <c r="N40" s="94">
        <f>COUNTIFS('Gastos medicos y sepelios'!$N$4:$N$300,$F40,$C$4:$C$300,N$27)</f>
        <v>0</v>
      </c>
      <c r="O40" s="94">
        <f>COUNTIFS('Gastos medicos y sepelios'!$N$4:$N$300,$F40,$C$4:$C$300,O$27)</f>
        <v>0</v>
      </c>
      <c r="P40" s="94">
        <f>COUNTIFS('Gastos medicos y sepelios'!$N$4:$N$300,$F40,$C$4:$C$300,P$27)</f>
        <v>0</v>
      </c>
      <c r="Q40" s="94">
        <f>COUNTIFS('Gastos medicos y sepelios'!$N$4:$N$300,$F40,$C$4:$C$300,Q$27)</f>
        <v>0</v>
      </c>
      <c r="R40" s="94">
        <f>COUNTIFS('Gastos medicos y sepelios'!$N$4:$N$300,$F40,$C$4:$C$300,R$27)</f>
        <v>0</v>
      </c>
      <c r="S40" s="94">
        <f>COUNTIFS('Gastos medicos y sepelios'!$N$4:$N$300,$F40,$C$4:$C$300,S$27)</f>
        <v>0</v>
      </c>
      <c r="T40" s="94">
        <f>COUNTIFS('Gastos medicos y sepelios'!$N$4:$N$300,$F40,$C$4:$C$300,T$27)</f>
        <v>0</v>
      </c>
      <c r="U40" s="94">
        <f>COUNTIFS('Gastos medicos y sepelios'!$N$4:$N$300,$F40,$C$4:$C$300,U$27)</f>
        <v>0</v>
      </c>
      <c r="V40" s="94">
        <f>COUNTIFS('Gastos medicos y sepelios'!$N$4:$N$300,$F40,$C$4:$C$300,V$27)</f>
        <v>0</v>
      </c>
      <c r="W40" s="94">
        <f>COUNTIFS('Gastos medicos y sepelios'!$N$4:$N$300,$F40,$C$4:$C$300,W$27)</f>
        <v>0</v>
      </c>
      <c r="X40" s="94">
        <f>COUNTIFS('Gastos medicos y sepelios'!$N$4:$N$300,$F40,$C$4:$C$300,X$27)</f>
        <v>3</v>
      </c>
      <c r="Y40" s="94">
        <f>COUNTIFS('Gastos medicos y sepelios'!$N$4:$N$300,$F40,$C$4:$C$300,Y$27)</f>
        <v>3</v>
      </c>
      <c r="Z40" s="86">
        <f t="shared" si="2"/>
        <v>6</v>
      </c>
    </row>
    <row r="41" spans="3:26" x14ac:dyDescent="0.25">
      <c r="C41">
        <f>IF(ISBLANK('Gastos medicos y sepelios'!E41),0,YEAR('Gastos medicos y sepelios'!E41))</f>
        <v>2022</v>
      </c>
      <c r="D41">
        <v>1</v>
      </c>
      <c r="F41" s="94" t="s">
        <v>153</v>
      </c>
      <c r="G41" s="94">
        <f>COUNTIFS('Gastos medicos y sepelios'!$N$4:$N$300,$F41,$C$4:$C$300,G$27)</f>
        <v>0</v>
      </c>
      <c r="H41" s="94">
        <f>COUNTIFS('Gastos medicos y sepelios'!$N$4:$N$300,$F41,$C$4:$C$300,H$27)</f>
        <v>0</v>
      </c>
      <c r="I41" s="94">
        <f>COUNTIFS('Gastos medicos y sepelios'!$N$4:$N$300,$F41,$C$4:$C$300,I$27)</f>
        <v>0</v>
      </c>
      <c r="J41" s="94">
        <f>COUNTIFS('Gastos medicos y sepelios'!$N$4:$N$300,$F41,$C$4:$C$300,J$27)</f>
        <v>0</v>
      </c>
      <c r="K41" s="94">
        <f>COUNTIFS('Gastos medicos y sepelios'!$N$4:$N$300,$F41,$C$4:$C$300,K$27)</f>
        <v>0</v>
      </c>
      <c r="L41" s="94">
        <f>COUNTIFS('Gastos medicos y sepelios'!$N$4:$N$300,$F41,$C$4:$C$300,L$27)</f>
        <v>0</v>
      </c>
      <c r="M41" s="94">
        <f>COUNTIFS('Gastos medicos y sepelios'!$N$4:$N$300,$F41,$C$4:$C$300,M$27)</f>
        <v>0</v>
      </c>
      <c r="N41" s="94">
        <f>COUNTIFS('Gastos medicos y sepelios'!$N$4:$N$300,$F41,$C$4:$C$300,N$27)</f>
        <v>0</v>
      </c>
      <c r="O41" s="94">
        <f>COUNTIFS('Gastos medicos y sepelios'!$N$4:$N$300,$F41,$C$4:$C$300,O$27)</f>
        <v>0</v>
      </c>
      <c r="P41" s="94">
        <f>COUNTIFS('Gastos medicos y sepelios'!$N$4:$N$300,$F41,$C$4:$C$300,P$27)</f>
        <v>0</v>
      </c>
      <c r="Q41" s="94">
        <f>COUNTIFS('Gastos medicos y sepelios'!$N$4:$N$300,$F41,$C$4:$C$300,Q$27)</f>
        <v>0</v>
      </c>
      <c r="R41" s="94">
        <f>COUNTIFS('Gastos medicos y sepelios'!$N$4:$N$300,$F41,$C$4:$C$300,R$27)</f>
        <v>0</v>
      </c>
      <c r="S41" s="94">
        <f>COUNTIFS('Gastos medicos y sepelios'!$N$4:$N$300,$F41,$C$4:$C$300,S$27)</f>
        <v>0</v>
      </c>
      <c r="T41" s="94">
        <f>COUNTIFS('Gastos medicos y sepelios'!$N$4:$N$300,$F41,$C$4:$C$300,T$27)</f>
        <v>0</v>
      </c>
      <c r="U41" s="94">
        <f>COUNTIFS('Gastos medicos y sepelios'!$N$4:$N$300,$F41,$C$4:$C$300,U$27)</f>
        <v>0</v>
      </c>
      <c r="V41" s="94">
        <f>COUNTIFS('Gastos medicos y sepelios'!$N$4:$N$300,$F41,$C$4:$C$300,V$27)</f>
        <v>0</v>
      </c>
      <c r="W41" s="94">
        <f>COUNTIFS('Gastos medicos y sepelios'!$N$4:$N$300,$F41,$C$4:$C$300,W$27)</f>
        <v>0</v>
      </c>
      <c r="X41" s="94">
        <f>COUNTIFS('Gastos medicos y sepelios'!$N$4:$N$300,$F41,$C$4:$C$300,X$27)</f>
        <v>3</v>
      </c>
      <c r="Y41" s="94">
        <f>COUNTIFS('Gastos medicos y sepelios'!$N$4:$N$300,$F41,$C$4:$C$300,Y$27)</f>
        <v>10</v>
      </c>
      <c r="Z41" s="86">
        <f t="shared" si="2"/>
        <v>13</v>
      </c>
    </row>
    <row r="42" spans="3:26" x14ac:dyDescent="0.25">
      <c r="C42">
        <f>IF(ISBLANK('Gastos medicos y sepelios'!E42),0,YEAR('Gastos medicos y sepelios'!E42))</f>
        <v>2022</v>
      </c>
      <c r="D42">
        <v>1</v>
      </c>
      <c r="F42" s="94" t="s">
        <v>36</v>
      </c>
      <c r="G42" s="94">
        <f>COUNTIFS('Gastos medicos y sepelios'!$N$4:$N$300,$F42,$C$4:$C$300,G$27)</f>
        <v>0</v>
      </c>
      <c r="H42" s="94">
        <f>COUNTIFS('Gastos medicos y sepelios'!$N$4:$N$300,$F42,$C$4:$C$300,H$27)</f>
        <v>0</v>
      </c>
      <c r="I42" s="94">
        <f>COUNTIFS('Gastos medicos y sepelios'!$N$4:$N$300,$F42,$C$4:$C$300,I$27)</f>
        <v>0</v>
      </c>
      <c r="J42" s="94">
        <f>COUNTIFS('Gastos medicos y sepelios'!$N$4:$N$300,$F42,$C$4:$C$300,J$27)</f>
        <v>0</v>
      </c>
      <c r="K42" s="94">
        <f>COUNTIFS('Gastos medicos y sepelios'!$N$4:$N$300,$F42,$C$4:$C$300,K$27)</f>
        <v>0</v>
      </c>
      <c r="L42" s="94">
        <f>COUNTIFS('Gastos medicos y sepelios'!$N$4:$N$300,$F42,$C$4:$C$300,L$27)</f>
        <v>0</v>
      </c>
      <c r="M42" s="94">
        <f>COUNTIFS('Gastos medicos y sepelios'!$N$4:$N$300,$F42,$C$4:$C$300,M$27)</f>
        <v>0</v>
      </c>
      <c r="N42" s="94">
        <f>COUNTIFS('Gastos medicos y sepelios'!$N$4:$N$300,$F42,$C$4:$C$300,N$27)</f>
        <v>0</v>
      </c>
      <c r="O42" s="94">
        <f>COUNTIFS('Gastos medicos y sepelios'!$N$4:$N$300,$F42,$C$4:$C$300,O$27)</f>
        <v>0</v>
      </c>
      <c r="P42" s="94">
        <f>COUNTIFS('Gastos medicos y sepelios'!$N$4:$N$300,$F42,$C$4:$C$300,P$27)</f>
        <v>0</v>
      </c>
      <c r="Q42" s="94">
        <f>COUNTIFS('Gastos medicos y sepelios'!$N$4:$N$300,$F42,$C$4:$C$300,Q$27)</f>
        <v>0</v>
      </c>
      <c r="R42" s="94">
        <f>COUNTIFS('Gastos medicos y sepelios'!$N$4:$N$300,$F42,$C$4:$C$300,R$27)</f>
        <v>0</v>
      </c>
      <c r="S42" s="94">
        <f>COUNTIFS('Gastos medicos y sepelios'!$N$4:$N$300,$F42,$C$4:$C$300,S$27)</f>
        <v>0</v>
      </c>
      <c r="T42" s="94">
        <f>COUNTIFS('Gastos medicos y sepelios'!$N$4:$N$300,$F42,$C$4:$C$300,T$27)</f>
        <v>0</v>
      </c>
      <c r="U42" s="94">
        <f>COUNTIFS('Gastos medicos y sepelios'!$N$4:$N$300,$F42,$C$4:$C$300,U$27)</f>
        <v>0</v>
      </c>
      <c r="V42" s="94">
        <f>COUNTIFS('Gastos medicos y sepelios'!$N$4:$N$300,$F42,$C$4:$C$300,V$27)</f>
        <v>2</v>
      </c>
      <c r="W42" s="94">
        <f>COUNTIFS('Gastos medicos y sepelios'!$N$4:$N$300,$F42,$C$4:$C$300,W$27)</f>
        <v>9</v>
      </c>
      <c r="X42" s="94">
        <f>COUNTIFS('Gastos medicos y sepelios'!$N$4:$N$300,$F42,$C$4:$C$300,X$27)</f>
        <v>38</v>
      </c>
      <c r="Y42" s="94">
        <f>COUNTIFS('Gastos medicos y sepelios'!$N$4:$N$300,$F42,$C$4:$C$300,Y$27)</f>
        <v>95</v>
      </c>
      <c r="Z42" s="86">
        <f t="shared" si="2"/>
        <v>144</v>
      </c>
    </row>
    <row r="43" spans="3:26" x14ac:dyDescent="0.25">
      <c r="C43">
        <f>IF(ISBLANK('Gastos medicos y sepelios'!E43),0,YEAR('Gastos medicos y sepelios'!E43))</f>
        <v>2022</v>
      </c>
      <c r="D43">
        <v>1</v>
      </c>
      <c r="F43" s="94" t="s">
        <v>1111</v>
      </c>
      <c r="G43" s="94">
        <f>COUNTIFS('Gastos medicos y sepelios'!$N$4:$N$300,$F43,$C$4:$C$300,G$27)</f>
        <v>0</v>
      </c>
      <c r="H43" s="94">
        <f>COUNTIFS('Gastos medicos y sepelios'!$N$4:$N$300,$F43,$C$4:$C$300,H$27)</f>
        <v>0</v>
      </c>
      <c r="I43" s="94">
        <f>COUNTIFS('Gastos medicos y sepelios'!$N$4:$N$300,$F43,$C$4:$C$300,I$27)</f>
        <v>0</v>
      </c>
      <c r="J43" s="94">
        <f>COUNTIFS('Gastos medicos y sepelios'!$N$4:$N$300,$F43,$C$4:$C$300,J$27)</f>
        <v>0</v>
      </c>
      <c r="K43" s="94">
        <f>COUNTIFS('Gastos medicos y sepelios'!$N$4:$N$300,$F43,$C$4:$C$300,K$27)</f>
        <v>0</v>
      </c>
      <c r="L43" s="94">
        <f>COUNTIFS('Gastos medicos y sepelios'!$N$4:$N$300,$F43,$C$4:$C$300,L$27)</f>
        <v>0</v>
      </c>
      <c r="M43" s="94">
        <f>COUNTIFS('Gastos medicos y sepelios'!$N$4:$N$300,$F43,$C$4:$C$300,M$27)</f>
        <v>0</v>
      </c>
      <c r="N43" s="94">
        <f>COUNTIFS('Gastos medicos y sepelios'!$N$4:$N$300,$F43,$C$4:$C$300,N$27)</f>
        <v>0</v>
      </c>
      <c r="O43" s="94">
        <f>COUNTIFS('Gastos medicos y sepelios'!$N$4:$N$300,$F43,$C$4:$C$300,O$27)</f>
        <v>0</v>
      </c>
      <c r="P43" s="94">
        <f>COUNTIFS('Gastos medicos y sepelios'!$N$4:$N$300,$F43,$C$4:$C$300,P$27)</f>
        <v>0</v>
      </c>
      <c r="Q43" s="94">
        <f>COUNTIFS('Gastos medicos y sepelios'!$N$4:$N$300,$F43,$C$4:$C$300,Q$27)</f>
        <v>0</v>
      </c>
      <c r="R43" s="94">
        <f>COUNTIFS('Gastos medicos y sepelios'!$N$4:$N$300,$F43,$C$4:$C$300,R$27)</f>
        <v>0</v>
      </c>
      <c r="S43" s="94">
        <f>COUNTIFS('Gastos medicos y sepelios'!$N$4:$N$300,$F43,$C$4:$C$300,S$27)</f>
        <v>0</v>
      </c>
      <c r="T43" s="94">
        <f>COUNTIFS('Gastos medicos y sepelios'!$N$4:$N$300,$F43,$C$4:$C$300,T$27)</f>
        <v>0</v>
      </c>
      <c r="U43" s="94">
        <f>COUNTIFS('Gastos medicos y sepelios'!$N$4:$N$300,$F43,$C$4:$C$300,U$27)</f>
        <v>0</v>
      </c>
      <c r="V43" s="94">
        <f>COUNTIFS('Gastos medicos y sepelios'!$N$4:$N$300,$F43,$C$4:$C$300,V$27)</f>
        <v>0</v>
      </c>
      <c r="W43" s="94">
        <f>COUNTIFS('Gastos medicos y sepelios'!$N$4:$N$300,$F43,$C$4:$C$300,W$27)</f>
        <v>0</v>
      </c>
      <c r="X43" s="94">
        <f>COUNTIFS('Gastos medicos y sepelios'!$N$4:$N$300,$F43,$C$4:$C$300,X$27)</f>
        <v>0</v>
      </c>
      <c r="Y43" s="94">
        <f>COUNTIFS('Gastos medicos y sepelios'!$N$4:$N$300,$F43,$C$4:$C$300,Y$27)</f>
        <v>0</v>
      </c>
      <c r="Z43" s="86">
        <f t="shared" si="2"/>
        <v>0</v>
      </c>
    </row>
    <row r="44" spans="3:26" x14ac:dyDescent="0.25">
      <c r="C44">
        <f>IF(ISBLANK('Gastos medicos y sepelios'!E44),0,YEAR('Gastos medicos y sepelios'!E44))</f>
        <v>2022</v>
      </c>
      <c r="D44">
        <v>1</v>
      </c>
      <c r="F44" s="94" t="s">
        <v>1112</v>
      </c>
      <c r="G44" s="94">
        <f>COUNTIFS('Gastos medicos y sepelios'!$N$4:$N$300,$F44,$C$4:$C$300,G$27)</f>
        <v>0</v>
      </c>
      <c r="H44" s="94">
        <f>COUNTIFS('Gastos medicos y sepelios'!$N$4:$N$300,$F44,$C$4:$C$300,H$27)</f>
        <v>0</v>
      </c>
      <c r="I44" s="94">
        <f>COUNTIFS('Gastos medicos y sepelios'!$N$4:$N$300,$F44,$C$4:$C$300,I$27)</f>
        <v>0</v>
      </c>
      <c r="J44" s="94">
        <f>COUNTIFS('Gastos medicos y sepelios'!$N$4:$N$300,$F44,$C$4:$C$300,J$27)</f>
        <v>0</v>
      </c>
      <c r="K44" s="94">
        <f>COUNTIFS('Gastos medicos y sepelios'!$N$4:$N$300,$F44,$C$4:$C$300,K$27)</f>
        <v>0</v>
      </c>
      <c r="L44" s="94">
        <f>COUNTIFS('Gastos medicos y sepelios'!$N$4:$N$300,$F44,$C$4:$C$300,L$27)</f>
        <v>0</v>
      </c>
      <c r="M44" s="94">
        <f>COUNTIFS('Gastos medicos y sepelios'!$N$4:$N$300,$F44,$C$4:$C$300,M$27)</f>
        <v>0</v>
      </c>
      <c r="N44" s="94">
        <f>COUNTIFS('Gastos medicos y sepelios'!$N$4:$N$300,$F44,$C$4:$C$300,N$27)</f>
        <v>0</v>
      </c>
      <c r="O44" s="94">
        <f>COUNTIFS('Gastos medicos y sepelios'!$N$4:$N$300,$F44,$C$4:$C$300,O$27)</f>
        <v>0</v>
      </c>
      <c r="P44" s="94">
        <f>COUNTIFS('Gastos medicos y sepelios'!$N$4:$N$300,$F44,$C$4:$C$300,P$27)</f>
        <v>0</v>
      </c>
      <c r="Q44" s="94">
        <f>COUNTIFS('Gastos medicos y sepelios'!$N$4:$N$300,$F44,$C$4:$C$300,Q$27)</f>
        <v>0</v>
      </c>
      <c r="R44" s="94">
        <f>COUNTIFS('Gastos medicos y sepelios'!$N$4:$N$300,$F44,$C$4:$C$300,R$27)</f>
        <v>0</v>
      </c>
      <c r="S44" s="94">
        <f>COUNTIFS('Gastos medicos y sepelios'!$N$4:$N$300,$F44,$C$4:$C$300,S$27)</f>
        <v>0</v>
      </c>
      <c r="T44" s="94">
        <f>COUNTIFS('Gastos medicos y sepelios'!$N$4:$N$300,$F44,$C$4:$C$300,T$27)</f>
        <v>0</v>
      </c>
      <c r="U44" s="94">
        <f>COUNTIFS('Gastos medicos y sepelios'!$N$4:$N$300,$F44,$C$4:$C$300,U$27)</f>
        <v>0</v>
      </c>
      <c r="V44" s="94">
        <f>COUNTIFS('Gastos medicos y sepelios'!$N$4:$N$300,$F44,$C$4:$C$300,V$27)</f>
        <v>0</v>
      </c>
      <c r="W44" s="94">
        <f>COUNTIFS('Gastos medicos y sepelios'!$N$4:$N$300,$F44,$C$4:$C$300,W$27)</f>
        <v>0</v>
      </c>
      <c r="X44" s="94">
        <f>COUNTIFS('Gastos medicos y sepelios'!$N$4:$N$300,$F44,$C$4:$C$300,X$27)</f>
        <v>0</v>
      </c>
      <c r="Y44" s="94">
        <f>COUNTIFS('Gastos medicos y sepelios'!$N$4:$N$300,$F44,$C$4:$C$300,Y$27)</f>
        <v>0</v>
      </c>
      <c r="Z44" s="86">
        <f t="shared" si="2"/>
        <v>0</v>
      </c>
    </row>
    <row r="45" spans="3:26" x14ac:dyDescent="0.25">
      <c r="C45">
        <f>IF(ISBLANK('Gastos medicos y sepelios'!E45),0,YEAR('Gastos medicos y sepelios'!E45))</f>
        <v>2021</v>
      </c>
      <c r="D45">
        <v>1</v>
      </c>
      <c r="F45" s="94" t="s">
        <v>1113</v>
      </c>
      <c r="G45" s="94">
        <f>COUNTIFS('Gastos medicos y sepelios'!$N$4:$N$300,$F45,$C$4:$C$300,G$27)</f>
        <v>0</v>
      </c>
      <c r="H45" s="94">
        <f>COUNTIFS('Gastos medicos y sepelios'!$N$4:$N$300,$F45,$C$4:$C$300,H$27)</f>
        <v>0</v>
      </c>
      <c r="I45" s="94">
        <f>COUNTIFS('Gastos medicos y sepelios'!$N$4:$N$300,$F45,$C$4:$C$300,I$27)</f>
        <v>0</v>
      </c>
      <c r="J45" s="94">
        <f>COUNTIFS('Gastos medicos y sepelios'!$N$4:$N$300,$F45,$C$4:$C$300,J$27)</f>
        <v>0</v>
      </c>
      <c r="K45" s="94">
        <f>COUNTIFS('Gastos medicos y sepelios'!$N$4:$N$300,$F45,$C$4:$C$300,K$27)</f>
        <v>0</v>
      </c>
      <c r="L45" s="94">
        <f>COUNTIFS('Gastos medicos y sepelios'!$N$4:$N$300,$F45,$C$4:$C$300,L$27)</f>
        <v>0</v>
      </c>
      <c r="M45" s="94">
        <f>COUNTIFS('Gastos medicos y sepelios'!$N$4:$N$300,$F45,$C$4:$C$300,M$27)</f>
        <v>0</v>
      </c>
      <c r="N45" s="94">
        <f>COUNTIFS('Gastos medicos y sepelios'!$N$4:$N$300,$F45,$C$4:$C$300,N$27)</f>
        <v>0</v>
      </c>
      <c r="O45" s="94">
        <f>COUNTIFS('Gastos medicos y sepelios'!$N$4:$N$300,$F45,$C$4:$C$300,O$27)</f>
        <v>0</v>
      </c>
      <c r="P45" s="94">
        <f>COUNTIFS('Gastos medicos y sepelios'!$N$4:$N$300,$F45,$C$4:$C$300,P$27)</f>
        <v>0</v>
      </c>
      <c r="Q45" s="94">
        <f>COUNTIFS('Gastos medicos y sepelios'!$N$4:$N$300,$F45,$C$4:$C$300,Q$27)</f>
        <v>0</v>
      </c>
      <c r="R45" s="94">
        <f>COUNTIFS('Gastos medicos y sepelios'!$N$4:$N$300,$F45,$C$4:$C$300,R$27)</f>
        <v>0</v>
      </c>
      <c r="S45" s="94">
        <f>COUNTIFS('Gastos medicos y sepelios'!$N$4:$N$300,$F45,$C$4:$C$300,S$27)</f>
        <v>0</v>
      </c>
      <c r="T45" s="94">
        <f>COUNTIFS('Gastos medicos y sepelios'!$N$4:$N$300,$F45,$C$4:$C$300,T$27)</f>
        <v>0</v>
      </c>
      <c r="U45" s="94">
        <f>COUNTIFS('Gastos medicos y sepelios'!$N$4:$N$300,$F45,$C$4:$C$300,U$27)</f>
        <v>0</v>
      </c>
      <c r="V45" s="94">
        <f>COUNTIFS('Gastos medicos y sepelios'!$N$4:$N$300,$F45,$C$4:$C$300,V$27)</f>
        <v>0</v>
      </c>
      <c r="W45" s="94">
        <f>COUNTIFS('Gastos medicos y sepelios'!$N$4:$N$300,$F45,$C$4:$C$300,W$27)</f>
        <v>0</v>
      </c>
      <c r="X45" s="94">
        <f>COUNTIFS('Gastos medicos y sepelios'!$N$4:$N$300,$F45,$C$4:$C$300,X$27)</f>
        <v>0</v>
      </c>
      <c r="Y45" s="94">
        <f>COUNTIFS('Gastos medicos y sepelios'!$N$4:$N$300,$F45,$C$4:$C$300,Y$27)</f>
        <v>0</v>
      </c>
      <c r="Z45" s="86">
        <f t="shared" si="2"/>
        <v>0</v>
      </c>
    </row>
    <row r="46" spans="3:26" x14ac:dyDescent="0.25">
      <c r="C46">
        <f>IF(ISBLANK('Gastos medicos y sepelios'!E46),0,YEAR('Gastos medicos y sepelios'!E46))</f>
        <v>2022</v>
      </c>
      <c r="D46">
        <v>1</v>
      </c>
      <c r="F46" s="94" t="s">
        <v>336</v>
      </c>
      <c r="G46" s="94">
        <f>COUNTIFS('Gastos medicos y sepelios'!$N$4:$N$300,$F46,$C$4:$C$300,G$27)</f>
        <v>0</v>
      </c>
      <c r="H46" s="94">
        <f>COUNTIFS('Gastos medicos y sepelios'!$N$4:$N$300,$F46,$C$4:$C$300,H$27)</f>
        <v>0</v>
      </c>
      <c r="I46" s="94">
        <f>COUNTIFS('Gastos medicos y sepelios'!$N$4:$N$300,$F46,$C$4:$C$300,I$27)</f>
        <v>0</v>
      </c>
      <c r="J46" s="94">
        <f>COUNTIFS('Gastos medicos y sepelios'!$N$4:$N$300,$F46,$C$4:$C$300,J$27)</f>
        <v>0</v>
      </c>
      <c r="K46" s="94">
        <f>COUNTIFS('Gastos medicos y sepelios'!$N$4:$N$300,$F46,$C$4:$C$300,K$27)</f>
        <v>0</v>
      </c>
      <c r="L46" s="94">
        <f>COUNTIFS('Gastos medicos y sepelios'!$N$4:$N$300,$F46,$C$4:$C$300,L$27)</f>
        <v>0</v>
      </c>
      <c r="M46" s="94">
        <f>COUNTIFS('Gastos medicos y sepelios'!$N$4:$N$300,$F46,$C$4:$C$300,M$27)</f>
        <v>0</v>
      </c>
      <c r="N46" s="94">
        <f>COUNTIFS('Gastos medicos y sepelios'!$N$4:$N$300,$F46,$C$4:$C$300,N$27)</f>
        <v>0</v>
      </c>
      <c r="O46" s="94">
        <f>COUNTIFS('Gastos medicos y sepelios'!$N$4:$N$300,$F46,$C$4:$C$300,O$27)</f>
        <v>0</v>
      </c>
      <c r="P46" s="94">
        <f>COUNTIFS('Gastos medicos y sepelios'!$N$4:$N$300,$F46,$C$4:$C$300,P$27)</f>
        <v>0</v>
      </c>
      <c r="Q46" s="94">
        <f>COUNTIFS('Gastos medicos y sepelios'!$N$4:$N$300,$F46,$C$4:$C$300,Q$27)</f>
        <v>0</v>
      </c>
      <c r="R46" s="94">
        <f>COUNTIFS('Gastos medicos y sepelios'!$N$4:$N$300,$F46,$C$4:$C$300,R$27)</f>
        <v>0</v>
      </c>
      <c r="S46" s="94">
        <f>COUNTIFS('Gastos medicos y sepelios'!$N$4:$N$300,$F46,$C$4:$C$300,S$27)</f>
        <v>0</v>
      </c>
      <c r="T46" s="94">
        <f>COUNTIFS('Gastos medicos y sepelios'!$N$4:$N$300,$F46,$C$4:$C$300,T$27)</f>
        <v>0</v>
      </c>
      <c r="U46" s="94">
        <f>COUNTIFS('Gastos medicos y sepelios'!$N$4:$N$300,$F46,$C$4:$C$300,U$27)</f>
        <v>0</v>
      </c>
      <c r="V46" s="94">
        <f>COUNTIFS('Gastos medicos y sepelios'!$N$4:$N$300,$F46,$C$4:$C$300,V$27)</f>
        <v>0</v>
      </c>
      <c r="W46" s="94">
        <f>COUNTIFS('Gastos medicos y sepelios'!$N$4:$N$300,$F46,$C$4:$C$300,W$27)</f>
        <v>0</v>
      </c>
      <c r="X46" s="94">
        <f>COUNTIFS('Gastos medicos y sepelios'!$N$4:$N$300,$F46,$C$4:$C$300,X$27)</f>
        <v>1</v>
      </c>
      <c r="Y46" s="94">
        <f>COUNTIFS('Gastos medicos y sepelios'!$N$4:$N$300,$F46,$C$4:$C$300,Y$27)</f>
        <v>0</v>
      </c>
      <c r="Z46" s="86">
        <f t="shared" si="2"/>
        <v>1</v>
      </c>
    </row>
    <row r="47" spans="3:26" x14ac:dyDescent="0.25">
      <c r="C47">
        <f>IF(ISBLANK('Gastos medicos y sepelios'!E47),0,YEAR('Gastos medicos y sepelios'!E47))</f>
        <v>2021</v>
      </c>
      <c r="D47">
        <v>1</v>
      </c>
      <c r="F47" s="94" t="s">
        <v>113</v>
      </c>
      <c r="G47" s="94">
        <f>COUNTIFS('Gastos medicos y sepelios'!$N$4:$N$300,$F47,$C$4:$C$300,G$27)</f>
        <v>0</v>
      </c>
      <c r="H47" s="94">
        <f>COUNTIFS('Gastos medicos y sepelios'!$N$4:$N$300,$F47,$C$4:$C$300,H$27)</f>
        <v>0</v>
      </c>
      <c r="I47" s="94">
        <f>COUNTIFS('Gastos medicos y sepelios'!$N$4:$N$300,$F47,$C$4:$C$300,I$27)</f>
        <v>0</v>
      </c>
      <c r="J47" s="94">
        <f>COUNTIFS('Gastos medicos y sepelios'!$N$4:$N$300,$F47,$C$4:$C$300,J$27)</f>
        <v>0</v>
      </c>
      <c r="K47" s="94">
        <f>COUNTIFS('Gastos medicos y sepelios'!$N$4:$N$300,$F47,$C$4:$C$300,K$27)</f>
        <v>0</v>
      </c>
      <c r="L47" s="94">
        <f>COUNTIFS('Gastos medicos y sepelios'!$N$4:$N$300,$F47,$C$4:$C$300,L$27)</f>
        <v>0</v>
      </c>
      <c r="M47" s="94">
        <f>COUNTIFS('Gastos medicos y sepelios'!$N$4:$N$300,$F47,$C$4:$C$300,M$27)</f>
        <v>0</v>
      </c>
      <c r="N47" s="94">
        <f>COUNTIFS('Gastos medicos y sepelios'!$N$4:$N$300,$F47,$C$4:$C$300,N$27)</f>
        <v>0</v>
      </c>
      <c r="O47" s="94">
        <f>COUNTIFS('Gastos medicos y sepelios'!$N$4:$N$300,$F47,$C$4:$C$300,O$27)</f>
        <v>0</v>
      </c>
      <c r="P47" s="94">
        <f>COUNTIFS('Gastos medicos y sepelios'!$N$4:$N$300,$F47,$C$4:$C$300,P$27)</f>
        <v>0</v>
      </c>
      <c r="Q47" s="94">
        <f>COUNTIFS('Gastos medicos y sepelios'!$N$4:$N$300,$F47,$C$4:$C$300,Q$27)</f>
        <v>0</v>
      </c>
      <c r="R47" s="94">
        <f>COUNTIFS('Gastos medicos y sepelios'!$N$4:$N$300,$F47,$C$4:$C$300,R$27)</f>
        <v>0</v>
      </c>
      <c r="S47" s="94">
        <f>COUNTIFS('Gastos medicos y sepelios'!$N$4:$N$300,$F47,$C$4:$C$300,S$27)</f>
        <v>0</v>
      </c>
      <c r="T47" s="94">
        <f>COUNTIFS('Gastos medicos y sepelios'!$N$4:$N$300,$F47,$C$4:$C$300,T$27)</f>
        <v>0</v>
      </c>
      <c r="U47" s="94">
        <f>COUNTIFS('Gastos medicos y sepelios'!$N$4:$N$300,$F47,$C$4:$C$300,U$27)</f>
        <v>0</v>
      </c>
      <c r="V47" s="94">
        <f>COUNTIFS('Gastos medicos y sepelios'!$N$4:$N$300,$F47,$C$4:$C$300,V$27)</f>
        <v>0</v>
      </c>
      <c r="W47" s="94">
        <f>COUNTIFS('Gastos medicos y sepelios'!$N$4:$N$300,$F47,$C$4:$C$300,W$27)</f>
        <v>0</v>
      </c>
      <c r="X47" s="94">
        <f>COUNTIFS('Gastos medicos y sepelios'!$N$4:$N$300,$F47,$C$4:$C$300,X$27)</f>
        <v>2</v>
      </c>
      <c r="Y47" s="94">
        <f>COUNTIFS('Gastos medicos y sepelios'!$N$4:$N$300,$F47,$C$4:$C$300,Y$27)</f>
        <v>3</v>
      </c>
      <c r="Z47" s="86">
        <f t="shared" si="2"/>
        <v>5</v>
      </c>
    </row>
    <row r="48" spans="3:26" x14ac:dyDescent="0.25">
      <c r="C48">
        <f>IF(ISBLANK('Gastos medicos y sepelios'!E48),0,YEAR('Gastos medicos y sepelios'!E48))</f>
        <v>2022</v>
      </c>
      <c r="D48">
        <v>1</v>
      </c>
      <c r="F48" s="94" t="s">
        <v>167</v>
      </c>
      <c r="G48" s="94">
        <f>COUNTIFS('Gastos medicos y sepelios'!$N$4:$N$300,$F48,$C$4:$C$300,G$27)</f>
        <v>0</v>
      </c>
      <c r="H48" s="94">
        <f>COUNTIFS('Gastos medicos y sepelios'!$N$4:$N$300,$F48,$C$4:$C$300,H$27)</f>
        <v>0</v>
      </c>
      <c r="I48" s="94">
        <f>COUNTIFS('Gastos medicos y sepelios'!$N$4:$N$300,$F48,$C$4:$C$300,I$27)</f>
        <v>0</v>
      </c>
      <c r="J48" s="94">
        <f>COUNTIFS('Gastos medicos y sepelios'!$N$4:$N$300,$F48,$C$4:$C$300,J$27)</f>
        <v>0</v>
      </c>
      <c r="K48" s="94">
        <f>COUNTIFS('Gastos medicos y sepelios'!$N$4:$N$300,$F48,$C$4:$C$300,K$27)</f>
        <v>0</v>
      </c>
      <c r="L48" s="94">
        <f>COUNTIFS('Gastos medicos y sepelios'!$N$4:$N$300,$F48,$C$4:$C$300,L$27)</f>
        <v>0</v>
      </c>
      <c r="M48" s="94">
        <f>COUNTIFS('Gastos medicos y sepelios'!$N$4:$N$300,$F48,$C$4:$C$300,M$27)</f>
        <v>0</v>
      </c>
      <c r="N48" s="94">
        <f>COUNTIFS('Gastos medicos y sepelios'!$N$4:$N$300,$F48,$C$4:$C$300,N$27)</f>
        <v>0</v>
      </c>
      <c r="O48" s="94">
        <f>COUNTIFS('Gastos medicos y sepelios'!$N$4:$N$300,$F48,$C$4:$C$300,O$27)</f>
        <v>0</v>
      </c>
      <c r="P48" s="94">
        <f>COUNTIFS('Gastos medicos y sepelios'!$N$4:$N$300,$F48,$C$4:$C$300,P$27)</f>
        <v>0</v>
      </c>
      <c r="Q48" s="94">
        <f>COUNTIFS('Gastos medicos y sepelios'!$N$4:$N$300,$F48,$C$4:$C$300,Q$27)</f>
        <v>0</v>
      </c>
      <c r="R48" s="94">
        <f>COUNTIFS('Gastos medicos y sepelios'!$N$4:$N$300,$F48,$C$4:$C$300,R$27)</f>
        <v>0</v>
      </c>
      <c r="S48" s="94">
        <f>COUNTIFS('Gastos medicos y sepelios'!$N$4:$N$300,$F48,$C$4:$C$300,S$27)</f>
        <v>0</v>
      </c>
      <c r="T48" s="94">
        <f>COUNTIFS('Gastos medicos y sepelios'!$N$4:$N$300,$F48,$C$4:$C$300,T$27)</f>
        <v>0</v>
      </c>
      <c r="U48" s="94">
        <f>COUNTIFS('Gastos medicos y sepelios'!$N$4:$N$300,$F48,$C$4:$C$300,U$27)</f>
        <v>0</v>
      </c>
      <c r="V48" s="94">
        <f>COUNTIFS('Gastos medicos y sepelios'!$N$4:$N$300,$F48,$C$4:$C$300,V$27)</f>
        <v>0</v>
      </c>
      <c r="W48" s="94">
        <f>COUNTIFS('Gastos medicos y sepelios'!$N$4:$N$300,$F48,$C$4:$C$300,W$27)</f>
        <v>0</v>
      </c>
      <c r="X48" s="94">
        <f>COUNTIFS('Gastos medicos y sepelios'!$N$4:$N$300,$F48,$C$4:$C$300,X$27)</f>
        <v>10</v>
      </c>
      <c r="Y48" s="94">
        <f>COUNTIFS('Gastos medicos y sepelios'!$N$4:$N$300,$F48,$C$4:$C$300,Y$27)</f>
        <v>21</v>
      </c>
      <c r="Z48" s="86">
        <f t="shared" si="2"/>
        <v>31</v>
      </c>
    </row>
    <row r="49" spans="3:26" x14ac:dyDescent="0.25">
      <c r="C49">
        <f>IF(ISBLANK('Gastos medicos y sepelios'!E49),0,YEAR('Gastos medicos y sepelios'!E49))</f>
        <v>2021</v>
      </c>
      <c r="D49">
        <v>1</v>
      </c>
      <c r="F49" s="94" t="s">
        <v>284</v>
      </c>
      <c r="G49" s="94">
        <f>COUNTIFS('Gastos medicos y sepelios'!$N$4:$N$300,$F49,$C$4:$C$300,G$27)</f>
        <v>0</v>
      </c>
      <c r="H49" s="94">
        <f>COUNTIFS('Gastos medicos y sepelios'!$N$4:$N$300,$F49,$C$4:$C$300,H$27)</f>
        <v>0</v>
      </c>
      <c r="I49" s="94">
        <f>COUNTIFS('Gastos medicos y sepelios'!$N$4:$N$300,$F49,$C$4:$C$300,I$27)</f>
        <v>0</v>
      </c>
      <c r="J49" s="94">
        <f>COUNTIFS('Gastos medicos y sepelios'!$N$4:$N$300,$F49,$C$4:$C$300,J$27)</f>
        <v>0</v>
      </c>
      <c r="K49" s="94">
        <f>COUNTIFS('Gastos medicos y sepelios'!$N$4:$N$300,$F49,$C$4:$C$300,K$27)</f>
        <v>0</v>
      </c>
      <c r="L49" s="94">
        <f>COUNTIFS('Gastos medicos y sepelios'!$N$4:$N$300,$F49,$C$4:$C$300,L$27)</f>
        <v>0</v>
      </c>
      <c r="M49" s="94">
        <f>COUNTIFS('Gastos medicos y sepelios'!$N$4:$N$300,$F49,$C$4:$C$300,M$27)</f>
        <v>0</v>
      </c>
      <c r="N49" s="94">
        <f>COUNTIFS('Gastos medicos y sepelios'!$N$4:$N$300,$F49,$C$4:$C$300,N$27)</f>
        <v>0</v>
      </c>
      <c r="O49" s="94">
        <f>COUNTIFS('Gastos medicos y sepelios'!$N$4:$N$300,$F49,$C$4:$C$300,O$27)</f>
        <v>0</v>
      </c>
      <c r="P49" s="94">
        <f>COUNTIFS('Gastos medicos y sepelios'!$N$4:$N$300,$F49,$C$4:$C$300,P$27)</f>
        <v>0</v>
      </c>
      <c r="Q49" s="94">
        <f>COUNTIFS('Gastos medicos y sepelios'!$N$4:$N$300,$F49,$C$4:$C$300,Q$27)</f>
        <v>0</v>
      </c>
      <c r="R49" s="94">
        <f>COUNTIFS('Gastos medicos y sepelios'!$N$4:$N$300,$F49,$C$4:$C$300,R$27)</f>
        <v>0</v>
      </c>
      <c r="S49" s="94">
        <f>COUNTIFS('Gastos medicos y sepelios'!$N$4:$N$300,$F49,$C$4:$C$300,S$27)</f>
        <v>0</v>
      </c>
      <c r="T49" s="94">
        <f>COUNTIFS('Gastos medicos y sepelios'!$N$4:$N$300,$F49,$C$4:$C$300,T$27)</f>
        <v>0</v>
      </c>
      <c r="U49" s="94">
        <f>COUNTIFS('Gastos medicos y sepelios'!$N$4:$N$300,$F49,$C$4:$C$300,U$27)</f>
        <v>0</v>
      </c>
      <c r="V49" s="94">
        <f>COUNTIFS('Gastos medicos y sepelios'!$N$4:$N$300,$F49,$C$4:$C$300,V$27)</f>
        <v>0</v>
      </c>
      <c r="W49" s="94">
        <f>COUNTIFS('Gastos medicos y sepelios'!$N$4:$N$300,$F49,$C$4:$C$300,W$27)</f>
        <v>0</v>
      </c>
      <c r="X49" s="94">
        <f>COUNTIFS('Gastos medicos y sepelios'!$N$4:$N$300,$F49,$C$4:$C$300,X$27)</f>
        <v>2</v>
      </c>
      <c r="Y49" s="94">
        <f>COUNTIFS('Gastos medicos y sepelios'!$N$4:$N$300,$F49,$C$4:$C$300,Y$27)</f>
        <v>5</v>
      </c>
      <c r="Z49" s="86">
        <f t="shared" si="2"/>
        <v>7</v>
      </c>
    </row>
    <row r="50" spans="3:26" x14ac:dyDescent="0.25">
      <c r="C50">
        <f>IF(ISBLANK('Gastos medicos y sepelios'!E50),0,YEAR('Gastos medicos y sepelios'!E50))</f>
        <v>2022</v>
      </c>
      <c r="D50">
        <v>1</v>
      </c>
      <c r="F50" s="94" t="s">
        <v>280</v>
      </c>
      <c r="G50" s="94">
        <f>COUNTIFS('Gastos medicos y sepelios'!$N$4:$N$300,$F50,$C$4:$C$300,G$27)</f>
        <v>0</v>
      </c>
      <c r="H50" s="94">
        <f>COUNTIFS('Gastos medicos y sepelios'!$N$4:$N$300,$F50,$C$4:$C$300,H$27)</f>
        <v>0</v>
      </c>
      <c r="I50" s="94">
        <f>COUNTIFS('Gastos medicos y sepelios'!$N$4:$N$300,$F50,$C$4:$C$300,I$27)</f>
        <v>0</v>
      </c>
      <c r="J50" s="94">
        <f>COUNTIFS('Gastos medicos y sepelios'!$N$4:$N$300,$F50,$C$4:$C$300,J$27)</f>
        <v>0</v>
      </c>
      <c r="K50" s="94">
        <f>COUNTIFS('Gastos medicos y sepelios'!$N$4:$N$300,$F50,$C$4:$C$300,K$27)</f>
        <v>0</v>
      </c>
      <c r="L50" s="94">
        <f>COUNTIFS('Gastos medicos y sepelios'!$N$4:$N$300,$F50,$C$4:$C$300,L$27)</f>
        <v>0</v>
      </c>
      <c r="M50" s="94">
        <f>COUNTIFS('Gastos medicos y sepelios'!$N$4:$N$300,$F50,$C$4:$C$300,M$27)</f>
        <v>0</v>
      </c>
      <c r="N50" s="94">
        <f>COUNTIFS('Gastos medicos y sepelios'!$N$4:$N$300,$F50,$C$4:$C$300,N$27)</f>
        <v>0</v>
      </c>
      <c r="O50" s="94">
        <f>COUNTIFS('Gastos medicos y sepelios'!$N$4:$N$300,$F50,$C$4:$C$300,O$27)</f>
        <v>0</v>
      </c>
      <c r="P50" s="94">
        <f>COUNTIFS('Gastos medicos y sepelios'!$N$4:$N$300,$F50,$C$4:$C$300,P$27)</f>
        <v>0</v>
      </c>
      <c r="Q50" s="94">
        <f>COUNTIFS('Gastos medicos y sepelios'!$N$4:$N$300,$F50,$C$4:$C$300,Q$27)</f>
        <v>0</v>
      </c>
      <c r="R50" s="94">
        <f>COUNTIFS('Gastos medicos y sepelios'!$N$4:$N$300,$F50,$C$4:$C$300,R$27)</f>
        <v>0</v>
      </c>
      <c r="S50" s="94">
        <f>COUNTIFS('Gastos medicos y sepelios'!$N$4:$N$300,$F50,$C$4:$C$300,S$27)</f>
        <v>0</v>
      </c>
      <c r="T50" s="94">
        <f>COUNTIFS('Gastos medicos y sepelios'!$N$4:$N$300,$F50,$C$4:$C$300,T$27)</f>
        <v>0</v>
      </c>
      <c r="U50" s="94">
        <f>COUNTIFS('Gastos medicos y sepelios'!$N$4:$N$300,$F50,$C$4:$C$300,U$27)</f>
        <v>0</v>
      </c>
      <c r="V50" s="94">
        <f>COUNTIFS('Gastos medicos y sepelios'!$N$4:$N$300,$F50,$C$4:$C$300,V$27)</f>
        <v>0</v>
      </c>
      <c r="W50" s="94">
        <f>COUNTIFS('Gastos medicos y sepelios'!$N$4:$N$300,$F50,$C$4:$C$300,W$27)</f>
        <v>0</v>
      </c>
      <c r="X50" s="94">
        <f>COUNTIFS('Gastos medicos y sepelios'!$N$4:$N$300,$F50,$C$4:$C$300,X$27)</f>
        <v>0</v>
      </c>
      <c r="Y50" s="94">
        <f>COUNTIFS('Gastos medicos y sepelios'!$N$4:$N$300,$F50,$C$4:$C$300,Y$27)</f>
        <v>4</v>
      </c>
      <c r="Z50" s="86">
        <f t="shared" si="2"/>
        <v>4</v>
      </c>
    </row>
    <row r="51" spans="3:26" x14ac:dyDescent="0.25">
      <c r="C51">
        <f>IF(ISBLANK('Gastos medicos y sepelios'!E51),0,YEAR('Gastos medicos y sepelios'!E51))</f>
        <v>2021</v>
      </c>
      <c r="D51">
        <v>1</v>
      </c>
      <c r="F51" s="94" t="s">
        <v>215</v>
      </c>
      <c r="G51" s="94">
        <f>COUNTIFS('Gastos medicos y sepelios'!$N$4:$N$300,$F51,$C$4:$C$300,G$27)</f>
        <v>0</v>
      </c>
      <c r="H51" s="94">
        <f>COUNTIFS('Gastos medicos y sepelios'!$N$4:$N$300,$F51,$C$4:$C$300,H$27)</f>
        <v>0</v>
      </c>
      <c r="I51" s="94">
        <f>COUNTIFS('Gastos medicos y sepelios'!$N$4:$N$300,$F51,$C$4:$C$300,I$27)</f>
        <v>0</v>
      </c>
      <c r="J51" s="94">
        <f>COUNTIFS('Gastos medicos y sepelios'!$N$4:$N$300,$F51,$C$4:$C$300,J$27)</f>
        <v>0</v>
      </c>
      <c r="K51" s="94">
        <f>COUNTIFS('Gastos medicos y sepelios'!$N$4:$N$300,$F51,$C$4:$C$300,K$27)</f>
        <v>0</v>
      </c>
      <c r="L51" s="94">
        <f>COUNTIFS('Gastos medicos y sepelios'!$N$4:$N$300,$F51,$C$4:$C$300,L$27)</f>
        <v>0</v>
      </c>
      <c r="M51" s="94">
        <f>COUNTIFS('Gastos medicos y sepelios'!$N$4:$N$300,$F51,$C$4:$C$300,M$27)</f>
        <v>0</v>
      </c>
      <c r="N51" s="94">
        <f>COUNTIFS('Gastos medicos y sepelios'!$N$4:$N$300,$F51,$C$4:$C$300,N$27)</f>
        <v>0</v>
      </c>
      <c r="O51" s="94">
        <f>COUNTIFS('Gastos medicos y sepelios'!$N$4:$N$300,$F51,$C$4:$C$300,O$27)</f>
        <v>0</v>
      </c>
      <c r="P51" s="94">
        <f>COUNTIFS('Gastos medicos y sepelios'!$N$4:$N$300,$F51,$C$4:$C$300,P$27)</f>
        <v>0</v>
      </c>
      <c r="Q51" s="94">
        <f>COUNTIFS('Gastos medicos y sepelios'!$N$4:$N$300,$F51,$C$4:$C$300,Q$27)</f>
        <v>0</v>
      </c>
      <c r="R51" s="94">
        <f>COUNTIFS('Gastos medicos y sepelios'!$N$4:$N$300,$F51,$C$4:$C$300,R$27)</f>
        <v>0</v>
      </c>
      <c r="S51" s="94">
        <f>COUNTIFS('Gastos medicos y sepelios'!$N$4:$N$300,$F51,$C$4:$C$300,S$27)</f>
        <v>0</v>
      </c>
      <c r="T51" s="94">
        <f>COUNTIFS('Gastos medicos y sepelios'!$N$4:$N$300,$F51,$C$4:$C$300,T$27)</f>
        <v>0</v>
      </c>
      <c r="U51" s="94">
        <f>COUNTIFS('Gastos medicos y sepelios'!$N$4:$N$300,$F51,$C$4:$C$300,U$27)</f>
        <v>0</v>
      </c>
      <c r="V51" s="94">
        <f>COUNTIFS('Gastos medicos y sepelios'!$N$4:$N$300,$F51,$C$4:$C$300,V$27)</f>
        <v>0</v>
      </c>
      <c r="W51" s="94">
        <f>COUNTIFS('Gastos medicos y sepelios'!$N$4:$N$300,$F51,$C$4:$C$300,W$27)</f>
        <v>0</v>
      </c>
      <c r="X51" s="94">
        <f>COUNTIFS('Gastos medicos y sepelios'!$N$4:$N$300,$F51,$C$4:$C$300,X$27)</f>
        <v>0</v>
      </c>
      <c r="Y51" s="94">
        <f>COUNTIFS('Gastos medicos y sepelios'!$N$4:$N$300,$F51,$C$4:$C$300,Y$27)</f>
        <v>1</v>
      </c>
      <c r="Z51" s="86">
        <f t="shared" si="2"/>
        <v>1</v>
      </c>
    </row>
    <row r="52" spans="3:26" x14ac:dyDescent="0.25">
      <c r="C52">
        <f>IF(ISBLANK('Gastos medicos y sepelios'!E52),0,YEAR('Gastos medicos y sepelios'!E52))</f>
        <v>2022</v>
      </c>
      <c r="D52">
        <v>1</v>
      </c>
      <c r="F52" s="94" t="s">
        <v>621</v>
      </c>
      <c r="G52" s="94">
        <f>COUNTIFS('Gastos medicos y sepelios'!$N$4:$N$300,$F52,$C$4:$C$300,G$27)</f>
        <v>0</v>
      </c>
      <c r="H52" s="94">
        <f>COUNTIFS('Gastos medicos y sepelios'!$N$4:$N$300,$F52,$C$4:$C$300,H$27)</f>
        <v>0</v>
      </c>
      <c r="I52" s="94">
        <f>COUNTIFS('Gastos medicos y sepelios'!$N$4:$N$300,$F52,$C$4:$C$300,I$27)</f>
        <v>0</v>
      </c>
      <c r="J52" s="94">
        <f>COUNTIFS('Gastos medicos y sepelios'!$N$4:$N$300,$F52,$C$4:$C$300,J$27)</f>
        <v>0</v>
      </c>
      <c r="K52" s="94">
        <f>COUNTIFS('Gastos medicos y sepelios'!$N$4:$N$300,$F52,$C$4:$C$300,K$27)</f>
        <v>0</v>
      </c>
      <c r="L52" s="94">
        <f>COUNTIFS('Gastos medicos y sepelios'!$N$4:$N$300,$F52,$C$4:$C$300,L$27)</f>
        <v>0</v>
      </c>
      <c r="M52" s="94">
        <f>COUNTIFS('Gastos medicos y sepelios'!$N$4:$N$300,$F52,$C$4:$C$300,M$27)</f>
        <v>0</v>
      </c>
      <c r="N52" s="94">
        <f>COUNTIFS('Gastos medicos y sepelios'!$N$4:$N$300,$F52,$C$4:$C$300,N$27)</f>
        <v>0</v>
      </c>
      <c r="O52" s="94">
        <f>COUNTIFS('Gastos medicos y sepelios'!$N$4:$N$300,$F52,$C$4:$C$300,O$27)</f>
        <v>0</v>
      </c>
      <c r="P52" s="94">
        <f>COUNTIFS('Gastos medicos y sepelios'!$N$4:$N$300,$F52,$C$4:$C$300,P$27)</f>
        <v>0</v>
      </c>
      <c r="Q52" s="94">
        <f>COUNTIFS('Gastos medicos y sepelios'!$N$4:$N$300,$F52,$C$4:$C$300,Q$27)</f>
        <v>0</v>
      </c>
      <c r="R52" s="94">
        <f>COUNTIFS('Gastos medicos y sepelios'!$N$4:$N$300,$F52,$C$4:$C$300,R$27)</f>
        <v>0</v>
      </c>
      <c r="S52" s="94">
        <f>COUNTIFS('Gastos medicos y sepelios'!$N$4:$N$300,$F52,$C$4:$C$300,S$27)</f>
        <v>0</v>
      </c>
      <c r="T52" s="94">
        <f>COUNTIFS('Gastos medicos y sepelios'!$N$4:$N$300,$F52,$C$4:$C$300,T$27)</f>
        <v>0</v>
      </c>
      <c r="U52" s="94">
        <f>COUNTIFS('Gastos medicos y sepelios'!$N$4:$N$300,$F52,$C$4:$C$300,U$27)</f>
        <v>0</v>
      </c>
      <c r="V52" s="94">
        <f>COUNTIFS('Gastos medicos y sepelios'!$N$4:$N$300,$F52,$C$4:$C$300,V$27)</f>
        <v>0</v>
      </c>
      <c r="W52" s="94">
        <f>COUNTIFS('Gastos medicos y sepelios'!$N$4:$N$300,$F52,$C$4:$C$300,W$27)</f>
        <v>0</v>
      </c>
      <c r="X52" s="94">
        <f>COUNTIFS('Gastos medicos y sepelios'!$N$4:$N$300,$F52,$C$4:$C$300,X$27)</f>
        <v>0</v>
      </c>
      <c r="Y52" s="94">
        <f>COUNTIFS('Gastos medicos y sepelios'!$N$4:$N$300,$F52,$C$4:$C$300,Y$27)</f>
        <v>1</v>
      </c>
      <c r="Z52" s="86">
        <f t="shared" si="2"/>
        <v>1</v>
      </c>
    </row>
    <row r="53" spans="3:26" x14ac:dyDescent="0.25">
      <c r="C53">
        <f>IF(ISBLANK('Gastos medicos y sepelios'!E53),0,YEAR('Gastos medicos y sepelios'!E53))</f>
        <v>2022</v>
      </c>
      <c r="D53">
        <v>1</v>
      </c>
      <c r="F53" s="93" t="s">
        <v>1048</v>
      </c>
      <c r="G53" s="95">
        <f>SUM(G28:G52)</f>
        <v>0</v>
      </c>
      <c r="H53" s="95">
        <f t="shared" ref="H53:Y53" si="3">SUM(H28:H52)</f>
        <v>0</v>
      </c>
      <c r="I53" s="95">
        <f t="shared" si="3"/>
        <v>0</v>
      </c>
      <c r="J53" s="95">
        <f t="shared" si="3"/>
        <v>0</v>
      </c>
      <c r="K53" s="95">
        <f t="shared" si="3"/>
        <v>0</v>
      </c>
      <c r="L53" s="95">
        <f t="shared" si="3"/>
        <v>0</v>
      </c>
      <c r="M53" s="95">
        <f t="shared" si="3"/>
        <v>0</v>
      </c>
      <c r="N53" s="95">
        <f t="shared" si="3"/>
        <v>0</v>
      </c>
      <c r="O53" s="95">
        <f t="shared" si="3"/>
        <v>0</v>
      </c>
      <c r="P53" s="95">
        <f t="shared" si="3"/>
        <v>0</v>
      </c>
      <c r="Q53" s="95">
        <f t="shared" si="3"/>
        <v>0</v>
      </c>
      <c r="R53" s="95">
        <f t="shared" si="3"/>
        <v>0</v>
      </c>
      <c r="S53" s="95">
        <f t="shared" si="3"/>
        <v>0</v>
      </c>
      <c r="T53" s="95">
        <f t="shared" si="3"/>
        <v>0</v>
      </c>
      <c r="U53" s="95">
        <f t="shared" si="3"/>
        <v>0</v>
      </c>
      <c r="V53" s="95">
        <f t="shared" si="3"/>
        <v>2</v>
      </c>
      <c r="W53" s="95">
        <f t="shared" si="3"/>
        <v>16</v>
      </c>
      <c r="X53" s="95">
        <f t="shared" si="3"/>
        <v>97</v>
      </c>
      <c r="Y53" s="95">
        <f t="shared" si="3"/>
        <v>175</v>
      </c>
      <c r="Z53" s="95">
        <f>SUM(Z28:Z52)</f>
        <v>290</v>
      </c>
    </row>
    <row r="54" spans="3:26" x14ac:dyDescent="0.25">
      <c r="C54">
        <f>IF(ISBLANK('Gastos medicos y sepelios'!E54),0,YEAR('Gastos medicos y sepelios'!E54))</f>
        <v>2021</v>
      </c>
      <c r="D54">
        <v>1</v>
      </c>
    </row>
    <row r="55" spans="3:26" x14ac:dyDescent="0.25">
      <c r="C55">
        <f>IF(ISBLANK('Gastos medicos y sepelios'!E55),0,YEAR('Gastos medicos y sepelios'!E55))</f>
        <v>2022</v>
      </c>
      <c r="D55">
        <v>1</v>
      </c>
    </row>
    <row r="56" spans="3:26" x14ac:dyDescent="0.25">
      <c r="C56">
        <f>IF(ISBLANK('Gastos medicos y sepelios'!E56),0,YEAR('Gastos medicos y sepelios'!E56))</f>
        <v>2022</v>
      </c>
      <c r="D56">
        <v>1</v>
      </c>
    </row>
    <row r="57" spans="3:26" x14ac:dyDescent="0.25">
      <c r="C57">
        <f>IF(ISBLANK('Gastos medicos y sepelios'!E57),0,YEAR('Gastos medicos y sepelios'!E57))</f>
        <v>2022</v>
      </c>
      <c r="D57">
        <v>1</v>
      </c>
    </row>
    <row r="58" spans="3:26" x14ac:dyDescent="0.25">
      <c r="C58">
        <f>IF(ISBLANK('Gastos medicos y sepelios'!E58),0,YEAR('Gastos medicos y sepelios'!E58))</f>
        <v>2022</v>
      </c>
      <c r="D58">
        <v>1</v>
      </c>
    </row>
    <row r="59" spans="3:26" x14ac:dyDescent="0.25">
      <c r="C59">
        <f>IF(ISBLANK('Gastos medicos y sepelios'!E59),0,YEAR('Gastos medicos y sepelios'!E59))</f>
        <v>2022</v>
      </c>
      <c r="D59">
        <v>1</v>
      </c>
    </row>
    <row r="60" spans="3:26" x14ac:dyDescent="0.25">
      <c r="C60">
        <f>IF(ISBLANK('Gastos medicos y sepelios'!E60),0,YEAR('Gastos medicos y sepelios'!E60))</f>
        <v>2021</v>
      </c>
      <c r="D60">
        <v>1</v>
      </c>
    </row>
    <row r="61" spans="3:26" x14ac:dyDescent="0.25">
      <c r="C61">
        <f>IF(ISBLANK('Gastos medicos y sepelios'!E61),0,YEAR('Gastos medicos y sepelios'!E61))</f>
        <v>2021</v>
      </c>
      <c r="D61">
        <v>1</v>
      </c>
    </row>
    <row r="62" spans="3:26" x14ac:dyDescent="0.25">
      <c r="C62">
        <f>IF(ISBLANK('Gastos medicos y sepelios'!E62),0,YEAR('Gastos medicos y sepelios'!E62))</f>
        <v>2022</v>
      </c>
      <c r="D62">
        <v>1</v>
      </c>
    </row>
    <row r="63" spans="3:26" x14ac:dyDescent="0.25">
      <c r="C63">
        <f>IF(ISBLANK('Gastos medicos y sepelios'!E63),0,YEAR('Gastos medicos y sepelios'!E63))</f>
        <v>2021</v>
      </c>
      <c r="D63">
        <v>1</v>
      </c>
    </row>
    <row r="64" spans="3:26" x14ac:dyDescent="0.25">
      <c r="C64">
        <f>IF(ISBLANK('Gastos medicos y sepelios'!E64),0,YEAR('Gastos medicos y sepelios'!E64))</f>
        <v>2022</v>
      </c>
      <c r="D64">
        <v>1</v>
      </c>
    </row>
    <row r="65" spans="3:4" x14ac:dyDescent="0.25">
      <c r="C65">
        <f>IF(ISBLANK('Gastos medicos y sepelios'!E65),0,YEAR('Gastos medicos y sepelios'!E65))</f>
        <v>2022</v>
      </c>
      <c r="D65">
        <v>1</v>
      </c>
    </row>
    <row r="66" spans="3:4" x14ac:dyDescent="0.25">
      <c r="C66">
        <f>IF(ISBLANK('Gastos medicos y sepelios'!E66),0,YEAR('Gastos medicos y sepelios'!E66))</f>
        <v>2021</v>
      </c>
      <c r="D66">
        <v>1</v>
      </c>
    </row>
    <row r="67" spans="3:4" x14ac:dyDescent="0.25">
      <c r="C67">
        <f>IF(ISBLANK('Gastos medicos y sepelios'!E67),0,YEAR('Gastos medicos y sepelios'!E67))</f>
        <v>2022</v>
      </c>
      <c r="D67">
        <v>1</v>
      </c>
    </row>
    <row r="68" spans="3:4" x14ac:dyDescent="0.25">
      <c r="C68">
        <f>IF(ISBLANK('Gastos medicos y sepelios'!E68),0,YEAR('Gastos medicos y sepelios'!E68))</f>
        <v>2021</v>
      </c>
      <c r="D68">
        <v>1</v>
      </c>
    </row>
    <row r="69" spans="3:4" x14ac:dyDescent="0.25">
      <c r="C69">
        <f>IF(ISBLANK('Gastos medicos y sepelios'!E69),0,YEAR('Gastos medicos y sepelios'!E69))</f>
        <v>2022</v>
      </c>
      <c r="D69">
        <v>1</v>
      </c>
    </row>
    <row r="70" spans="3:4" x14ac:dyDescent="0.25">
      <c r="C70">
        <f>IF(ISBLANK('Gastos medicos y sepelios'!E70),0,YEAR('Gastos medicos y sepelios'!E70))</f>
        <v>2022</v>
      </c>
      <c r="D70">
        <v>1</v>
      </c>
    </row>
    <row r="71" spans="3:4" x14ac:dyDescent="0.25">
      <c r="C71">
        <f>IF(ISBLANK('Gastos medicos y sepelios'!E71),0,YEAR('Gastos medicos y sepelios'!E71))</f>
        <v>2021</v>
      </c>
      <c r="D71">
        <v>1</v>
      </c>
    </row>
    <row r="72" spans="3:4" x14ac:dyDescent="0.25">
      <c r="C72">
        <f>IF(ISBLANK('Gastos medicos y sepelios'!E72),0,YEAR('Gastos medicos y sepelios'!E72))</f>
        <v>2022</v>
      </c>
      <c r="D72">
        <v>1</v>
      </c>
    </row>
    <row r="73" spans="3:4" x14ac:dyDescent="0.25">
      <c r="C73">
        <f>IF(ISBLANK('Gastos medicos y sepelios'!E73),0,YEAR('Gastos medicos y sepelios'!E73))</f>
        <v>2022</v>
      </c>
      <c r="D73">
        <v>1</v>
      </c>
    </row>
    <row r="74" spans="3:4" x14ac:dyDescent="0.25">
      <c r="C74">
        <f>IF(ISBLANK('Gastos medicos y sepelios'!E74),0,YEAR('Gastos medicos y sepelios'!E74))</f>
        <v>2022</v>
      </c>
      <c r="D74">
        <v>1</v>
      </c>
    </row>
    <row r="75" spans="3:4" x14ac:dyDescent="0.25">
      <c r="C75">
        <f>IF(ISBLANK('Gastos medicos y sepelios'!E75),0,YEAR('Gastos medicos y sepelios'!E75))</f>
        <v>2022</v>
      </c>
      <c r="D75">
        <v>1</v>
      </c>
    </row>
    <row r="76" spans="3:4" x14ac:dyDescent="0.25">
      <c r="C76">
        <f>IF(ISBLANK('Gastos medicos y sepelios'!E76),0,YEAR('Gastos medicos y sepelios'!E76))</f>
        <v>2022</v>
      </c>
      <c r="D76">
        <v>1</v>
      </c>
    </row>
    <row r="77" spans="3:4" x14ac:dyDescent="0.25">
      <c r="C77">
        <f>IF(ISBLANK('Gastos medicos y sepelios'!E77),0,YEAR('Gastos medicos y sepelios'!E77))</f>
        <v>2022</v>
      </c>
      <c r="D77">
        <v>1</v>
      </c>
    </row>
    <row r="78" spans="3:4" x14ac:dyDescent="0.25">
      <c r="C78">
        <f>IF(ISBLANK('Gastos medicos y sepelios'!E78),0,YEAR('Gastos medicos y sepelios'!E78))</f>
        <v>2022</v>
      </c>
      <c r="D78">
        <v>1</v>
      </c>
    </row>
    <row r="79" spans="3:4" x14ac:dyDescent="0.25">
      <c r="C79">
        <f>IF(ISBLANK('Gastos medicos y sepelios'!E79),0,YEAR('Gastos medicos y sepelios'!E79))</f>
        <v>2022</v>
      </c>
      <c r="D79">
        <v>1</v>
      </c>
    </row>
    <row r="80" spans="3:4" x14ac:dyDescent="0.25">
      <c r="C80">
        <f>IF(ISBLANK('Gastos medicos y sepelios'!E80),0,YEAR('Gastos medicos y sepelios'!E80))</f>
        <v>2022</v>
      </c>
      <c r="D80">
        <v>1</v>
      </c>
    </row>
    <row r="81" spans="3:4" x14ac:dyDescent="0.25">
      <c r="C81">
        <f>IF(ISBLANK('Gastos medicos y sepelios'!E81),0,YEAR('Gastos medicos y sepelios'!E81))</f>
        <v>2022</v>
      </c>
      <c r="D81">
        <v>1</v>
      </c>
    </row>
    <row r="82" spans="3:4" x14ac:dyDescent="0.25">
      <c r="C82">
        <f>IF(ISBLANK('Gastos medicos y sepelios'!E82),0,YEAR('Gastos medicos y sepelios'!E82))</f>
        <v>2021</v>
      </c>
      <c r="D82">
        <v>1</v>
      </c>
    </row>
    <row r="83" spans="3:4" x14ac:dyDescent="0.25">
      <c r="C83">
        <f>IF(ISBLANK('Gastos medicos y sepelios'!E83),0,YEAR('Gastos medicos y sepelios'!E83))</f>
        <v>2022</v>
      </c>
      <c r="D83">
        <v>1</v>
      </c>
    </row>
    <row r="84" spans="3:4" x14ac:dyDescent="0.25">
      <c r="C84">
        <f>IF(ISBLANK('Gastos medicos y sepelios'!E84),0,YEAR('Gastos medicos y sepelios'!E84))</f>
        <v>2022</v>
      </c>
      <c r="D84">
        <v>1</v>
      </c>
    </row>
    <row r="85" spans="3:4" x14ac:dyDescent="0.25">
      <c r="C85">
        <f>IF(ISBLANK('Gastos medicos y sepelios'!E85),0,YEAR('Gastos medicos y sepelios'!E85))</f>
        <v>2022</v>
      </c>
      <c r="D85">
        <v>1</v>
      </c>
    </row>
    <row r="86" spans="3:4" x14ac:dyDescent="0.25">
      <c r="C86">
        <f>IF(ISBLANK('Gastos medicos y sepelios'!E86),0,YEAR('Gastos medicos y sepelios'!E86))</f>
        <v>2022</v>
      </c>
      <c r="D86">
        <v>1</v>
      </c>
    </row>
    <row r="87" spans="3:4" x14ac:dyDescent="0.25">
      <c r="C87">
        <f>IF(ISBLANK('Gastos medicos y sepelios'!E87),0,YEAR('Gastos medicos y sepelios'!E87))</f>
        <v>2022</v>
      </c>
      <c r="D87">
        <v>1</v>
      </c>
    </row>
    <row r="88" spans="3:4" x14ac:dyDescent="0.25">
      <c r="C88">
        <f>IF(ISBLANK('Gastos medicos y sepelios'!E88),0,YEAR('Gastos medicos y sepelios'!E88))</f>
        <v>2022</v>
      </c>
      <c r="D88">
        <v>1</v>
      </c>
    </row>
    <row r="89" spans="3:4" x14ac:dyDescent="0.25">
      <c r="C89">
        <f>IF(ISBLANK('Gastos medicos y sepelios'!E89),0,YEAR('Gastos medicos y sepelios'!E89))</f>
        <v>2022</v>
      </c>
      <c r="D89">
        <v>1</v>
      </c>
    </row>
    <row r="90" spans="3:4" x14ac:dyDescent="0.25">
      <c r="C90">
        <f>IF(ISBLANK('Gastos medicos y sepelios'!E90),0,YEAR('Gastos medicos y sepelios'!E90))</f>
        <v>2021</v>
      </c>
      <c r="D90">
        <v>1</v>
      </c>
    </row>
    <row r="91" spans="3:4" x14ac:dyDescent="0.25">
      <c r="C91">
        <f>IF(ISBLANK('Gastos medicos y sepelios'!E91),0,YEAR('Gastos medicos y sepelios'!E91))</f>
        <v>2022</v>
      </c>
      <c r="D91">
        <v>1</v>
      </c>
    </row>
    <row r="92" spans="3:4" x14ac:dyDescent="0.25">
      <c r="C92">
        <f>IF(ISBLANK('Gastos medicos y sepelios'!E92),0,YEAR('Gastos medicos y sepelios'!E92))</f>
        <v>2022</v>
      </c>
      <c r="D92">
        <v>1</v>
      </c>
    </row>
    <row r="93" spans="3:4" x14ac:dyDescent="0.25">
      <c r="C93">
        <f>IF(ISBLANK('Gastos medicos y sepelios'!E93),0,YEAR('Gastos medicos y sepelios'!E93))</f>
        <v>2022</v>
      </c>
      <c r="D93">
        <v>1</v>
      </c>
    </row>
    <row r="94" spans="3:4" x14ac:dyDescent="0.25">
      <c r="C94">
        <f>IF(ISBLANK('Gastos medicos y sepelios'!E94),0,YEAR('Gastos medicos y sepelios'!E94))</f>
        <v>2022</v>
      </c>
      <c r="D94">
        <v>1</v>
      </c>
    </row>
    <row r="95" spans="3:4" x14ac:dyDescent="0.25">
      <c r="C95">
        <f>IF(ISBLANK('Gastos medicos y sepelios'!E95),0,YEAR('Gastos medicos y sepelios'!E95))</f>
        <v>2022</v>
      </c>
      <c r="D95">
        <v>1</v>
      </c>
    </row>
    <row r="96" spans="3:4" x14ac:dyDescent="0.25">
      <c r="C96">
        <f>IF(ISBLANK('Gastos medicos y sepelios'!E96),0,YEAR('Gastos medicos y sepelios'!E96))</f>
        <v>2022</v>
      </c>
      <c r="D96">
        <v>1</v>
      </c>
    </row>
    <row r="97" spans="3:4" x14ac:dyDescent="0.25">
      <c r="C97">
        <f>IF(ISBLANK('Gastos medicos y sepelios'!E97),0,YEAR('Gastos medicos y sepelios'!E97))</f>
        <v>2022</v>
      </c>
      <c r="D97">
        <v>1</v>
      </c>
    </row>
    <row r="98" spans="3:4" x14ac:dyDescent="0.25">
      <c r="C98">
        <f>IF(ISBLANK('Gastos medicos y sepelios'!E98),0,YEAR('Gastos medicos y sepelios'!E98))</f>
        <v>2022</v>
      </c>
      <c r="D98">
        <v>1</v>
      </c>
    </row>
    <row r="99" spans="3:4" x14ac:dyDescent="0.25">
      <c r="C99">
        <f>IF(ISBLANK('Gastos medicos y sepelios'!E99),0,YEAR('Gastos medicos y sepelios'!E99))</f>
        <v>2022</v>
      </c>
      <c r="D99">
        <v>1</v>
      </c>
    </row>
    <row r="100" spans="3:4" x14ac:dyDescent="0.25">
      <c r="C100">
        <f>IF(ISBLANK('Gastos medicos y sepelios'!E100),0,YEAR('Gastos medicos y sepelios'!E100))</f>
        <v>2022</v>
      </c>
      <c r="D100">
        <v>1</v>
      </c>
    </row>
    <row r="101" spans="3:4" x14ac:dyDescent="0.25">
      <c r="C101">
        <f>IF(ISBLANK('Gastos medicos y sepelios'!E101),0,YEAR('Gastos medicos y sepelios'!E101))</f>
        <v>2022</v>
      </c>
      <c r="D101">
        <v>1</v>
      </c>
    </row>
    <row r="102" spans="3:4" x14ac:dyDescent="0.25">
      <c r="C102">
        <f>IF(ISBLANK('Gastos medicos y sepelios'!E102),0,YEAR('Gastos medicos y sepelios'!E102))</f>
        <v>2022</v>
      </c>
      <c r="D102">
        <v>1</v>
      </c>
    </row>
    <row r="103" spans="3:4" x14ac:dyDescent="0.25">
      <c r="C103">
        <f>IF(ISBLANK('Gastos medicos y sepelios'!E103),0,YEAR('Gastos medicos y sepelios'!E103))</f>
        <v>2022</v>
      </c>
      <c r="D103">
        <v>1</v>
      </c>
    </row>
    <row r="104" spans="3:4" x14ac:dyDescent="0.25">
      <c r="C104">
        <f>IF(ISBLANK('Gastos medicos y sepelios'!E104),0,YEAR('Gastos medicos y sepelios'!E104))</f>
        <v>2022</v>
      </c>
      <c r="D104">
        <v>1</v>
      </c>
    </row>
    <row r="105" spans="3:4" x14ac:dyDescent="0.25">
      <c r="C105">
        <f>IF(ISBLANK('Gastos medicos y sepelios'!E105),0,YEAR('Gastos medicos y sepelios'!E105))</f>
        <v>2022</v>
      </c>
      <c r="D105">
        <v>1</v>
      </c>
    </row>
    <row r="106" spans="3:4" x14ac:dyDescent="0.25">
      <c r="C106">
        <f>IF(ISBLANK('Gastos medicos y sepelios'!E106),0,YEAR('Gastos medicos y sepelios'!E106))</f>
        <v>2022</v>
      </c>
      <c r="D106">
        <v>1</v>
      </c>
    </row>
    <row r="107" spans="3:4" x14ac:dyDescent="0.25">
      <c r="C107">
        <f>IF(ISBLANK('Gastos medicos y sepelios'!E107),0,YEAR('Gastos medicos y sepelios'!E107))</f>
        <v>2022</v>
      </c>
      <c r="D107">
        <v>1</v>
      </c>
    </row>
    <row r="108" spans="3:4" x14ac:dyDescent="0.25">
      <c r="C108">
        <f>IF(ISBLANK('Gastos medicos y sepelios'!E108),0,YEAR('Gastos medicos y sepelios'!E108))</f>
        <v>2022</v>
      </c>
      <c r="D108">
        <v>1</v>
      </c>
    </row>
    <row r="109" spans="3:4" x14ac:dyDescent="0.25">
      <c r="C109">
        <f>IF(ISBLANK('Gastos medicos y sepelios'!E109),0,YEAR('Gastos medicos y sepelios'!E109))</f>
        <v>2022</v>
      </c>
      <c r="D109">
        <v>1</v>
      </c>
    </row>
    <row r="110" spans="3:4" x14ac:dyDescent="0.25">
      <c r="C110">
        <f>IF(ISBLANK('Gastos medicos y sepelios'!E110),0,YEAR('Gastos medicos y sepelios'!E110))</f>
        <v>2022</v>
      </c>
      <c r="D110">
        <v>1</v>
      </c>
    </row>
    <row r="111" spans="3:4" x14ac:dyDescent="0.25">
      <c r="C111">
        <f>IF(ISBLANK('Gastos medicos y sepelios'!E111),0,YEAR('Gastos medicos y sepelios'!E111))</f>
        <v>2022</v>
      </c>
      <c r="D111">
        <v>1</v>
      </c>
    </row>
    <row r="112" spans="3:4" x14ac:dyDescent="0.25">
      <c r="C112">
        <f>IF(ISBLANK('Gastos medicos y sepelios'!E112),0,YEAR('Gastos medicos y sepelios'!E112))</f>
        <v>2022</v>
      </c>
      <c r="D112">
        <v>1</v>
      </c>
    </row>
    <row r="113" spans="3:4" x14ac:dyDescent="0.25">
      <c r="C113">
        <f>IF(ISBLANK('Gastos medicos y sepelios'!E113),0,YEAR('Gastos medicos y sepelios'!E113))</f>
        <v>2022</v>
      </c>
      <c r="D113">
        <v>1</v>
      </c>
    </row>
    <row r="114" spans="3:4" x14ac:dyDescent="0.25">
      <c r="C114">
        <f>IF(ISBLANK('Gastos medicos y sepelios'!E114),0,YEAR('Gastos medicos y sepelios'!E114))</f>
        <v>2022</v>
      </c>
      <c r="D114">
        <v>1</v>
      </c>
    </row>
    <row r="115" spans="3:4" x14ac:dyDescent="0.25">
      <c r="C115">
        <f>IF(ISBLANK('Gastos medicos y sepelios'!E115),0,YEAR('Gastos medicos y sepelios'!E115))</f>
        <v>2022</v>
      </c>
      <c r="D115">
        <v>1</v>
      </c>
    </row>
    <row r="116" spans="3:4" x14ac:dyDescent="0.25">
      <c r="C116">
        <f>IF(ISBLANK('Gastos medicos y sepelios'!E116),0,YEAR('Gastos medicos y sepelios'!E116))</f>
        <v>2022</v>
      </c>
      <c r="D116">
        <v>1</v>
      </c>
    </row>
    <row r="117" spans="3:4" x14ac:dyDescent="0.25">
      <c r="C117">
        <f>IF(ISBLANK('Gastos medicos y sepelios'!E117),0,YEAR('Gastos medicos y sepelios'!E117))</f>
        <v>2022</v>
      </c>
      <c r="D117">
        <v>1</v>
      </c>
    </row>
    <row r="118" spans="3:4" x14ac:dyDescent="0.25">
      <c r="C118">
        <f>IF(ISBLANK('Gastos medicos y sepelios'!E118),0,YEAR('Gastos medicos y sepelios'!E118))</f>
        <v>2022</v>
      </c>
      <c r="D118">
        <v>1</v>
      </c>
    </row>
    <row r="119" spans="3:4" x14ac:dyDescent="0.25">
      <c r="C119">
        <f>IF(ISBLANK('Gastos medicos y sepelios'!E119),0,YEAR('Gastos medicos y sepelios'!E119))</f>
        <v>2022</v>
      </c>
      <c r="D119">
        <v>1</v>
      </c>
    </row>
    <row r="120" spans="3:4" x14ac:dyDescent="0.25">
      <c r="C120">
        <f>IF(ISBLANK('Gastos medicos y sepelios'!E120),0,YEAR('Gastos medicos y sepelios'!E120))</f>
        <v>2022</v>
      </c>
      <c r="D120">
        <v>1</v>
      </c>
    </row>
    <row r="121" spans="3:4" x14ac:dyDescent="0.25">
      <c r="C121">
        <f>IF(ISBLANK('Gastos medicos y sepelios'!E121),0,YEAR('Gastos medicos y sepelios'!E121))</f>
        <v>2022</v>
      </c>
      <c r="D121">
        <v>1</v>
      </c>
    </row>
    <row r="122" spans="3:4" x14ac:dyDescent="0.25">
      <c r="C122">
        <f>IF(ISBLANK('Gastos medicos y sepelios'!E122),0,YEAR('Gastos medicos y sepelios'!E122))</f>
        <v>2022</v>
      </c>
      <c r="D122">
        <v>1</v>
      </c>
    </row>
    <row r="123" spans="3:4" x14ac:dyDescent="0.25">
      <c r="C123">
        <f>IF(ISBLANK('Gastos medicos y sepelios'!E123),0,YEAR('Gastos medicos y sepelios'!E123))</f>
        <v>2022</v>
      </c>
      <c r="D123">
        <v>1</v>
      </c>
    </row>
    <row r="124" spans="3:4" x14ac:dyDescent="0.25">
      <c r="C124">
        <f>IF(ISBLANK('Gastos medicos y sepelios'!E124),0,YEAR('Gastos medicos y sepelios'!E124))</f>
        <v>2022</v>
      </c>
      <c r="D124">
        <v>1</v>
      </c>
    </row>
    <row r="125" spans="3:4" x14ac:dyDescent="0.25">
      <c r="C125">
        <f>IF(ISBLANK('Gastos medicos y sepelios'!E125),0,YEAR('Gastos medicos y sepelios'!E125))</f>
        <v>2022</v>
      </c>
      <c r="D125">
        <v>1</v>
      </c>
    </row>
    <row r="126" spans="3:4" x14ac:dyDescent="0.25">
      <c r="C126">
        <f>IF(ISBLANK('Gastos medicos y sepelios'!E126),0,YEAR('Gastos medicos y sepelios'!E126))</f>
        <v>2022</v>
      </c>
      <c r="D126">
        <v>1</v>
      </c>
    </row>
    <row r="127" spans="3:4" x14ac:dyDescent="0.25">
      <c r="C127">
        <f>IF(ISBLANK('Gastos medicos y sepelios'!E127),0,YEAR('Gastos medicos y sepelios'!E127))</f>
        <v>2022</v>
      </c>
      <c r="D127">
        <v>1</v>
      </c>
    </row>
    <row r="128" spans="3:4" x14ac:dyDescent="0.25">
      <c r="C128">
        <f>IF(ISBLANK('Gastos medicos y sepelios'!E128),0,YEAR('Gastos medicos y sepelios'!E128))</f>
        <v>2022</v>
      </c>
      <c r="D128">
        <v>1</v>
      </c>
    </row>
    <row r="129" spans="3:4" x14ac:dyDescent="0.25">
      <c r="C129">
        <f>IF(ISBLANK('Gastos medicos y sepelios'!E129),0,YEAR('Gastos medicos y sepelios'!E129))</f>
        <v>2022</v>
      </c>
      <c r="D129">
        <v>1</v>
      </c>
    </row>
    <row r="130" spans="3:4" x14ac:dyDescent="0.25">
      <c r="C130">
        <f>IF(ISBLANK('Gastos medicos y sepelios'!E130),0,YEAR('Gastos medicos y sepelios'!E130))</f>
        <v>2022</v>
      </c>
      <c r="D130">
        <v>1</v>
      </c>
    </row>
    <row r="131" spans="3:4" x14ac:dyDescent="0.25">
      <c r="C131">
        <f>IF(ISBLANK('Gastos medicos y sepelios'!E131),0,YEAR('Gastos medicos y sepelios'!E131))</f>
        <v>2022</v>
      </c>
      <c r="D131">
        <v>1</v>
      </c>
    </row>
    <row r="132" spans="3:4" x14ac:dyDescent="0.25">
      <c r="C132">
        <f>IF(ISBLANK('Gastos medicos y sepelios'!E132),0,YEAR('Gastos medicos y sepelios'!E132))</f>
        <v>2022</v>
      </c>
      <c r="D132">
        <v>1</v>
      </c>
    </row>
    <row r="133" spans="3:4" x14ac:dyDescent="0.25">
      <c r="C133">
        <f>IF(ISBLANK('Gastos medicos y sepelios'!E133),0,YEAR('Gastos medicos y sepelios'!E133))</f>
        <v>2022</v>
      </c>
      <c r="D133">
        <v>1</v>
      </c>
    </row>
    <row r="134" spans="3:4" x14ac:dyDescent="0.25">
      <c r="C134">
        <f>IF(ISBLANK('Gastos medicos y sepelios'!E134),0,YEAR('Gastos medicos y sepelios'!E134))</f>
        <v>2022</v>
      </c>
      <c r="D134">
        <v>1</v>
      </c>
    </row>
    <row r="135" spans="3:4" x14ac:dyDescent="0.25">
      <c r="C135">
        <f>IF(ISBLANK('Gastos medicos y sepelios'!E135),0,YEAR('Gastos medicos y sepelios'!E135))</f>
        <v>2022</v>
      </c>
      <c r="D135">
        <v>1</v>
      </c>
    </row>
    <row r="136" spans="3:4" x14ac:dyDescent="0.25">
      <c r="C136">
        <f>IF(ISBLANK('Gastos medicos y sepelios'!E136),0,YEAR('Gastos medicos y sepelios'!E136))</f>
        <v>2022</v>
      </c>
      <c r="D136">
        <v>1</v>
      </c>
    </row>
    <row r="137" spans="3:4" x14ac:dyDescent="0.25">
      <c r="C137">
        <f>IF(ISBLANK('Gastos medicos y sepelios'!E137),0,YEAR('Gastos medicos y sepelios'!E137))</f>
        <v>2022</v>
      </c>
      <c r="D137">
        <v>1</v>
      </c>
    </row>
    <row r="138" spans="3:4" x14ac:dyDescent="0.25">
      <c r="C138">
        <f>IF(ISBLANK('Gastos medicos y sepelios'!E138),0,YEAR('Gastos medicos y sepelios'!E138))</f>
        <v>2022</v>
      </c>
      <c r="D138">
        <v>1</v>
      </c>
    </row>
    <row r="139" spans="3:4" x14ac:dyDescent="0.25">
      <c r="C139">
        <f>IF(ISBLANK('Gastos medicos y sepelios'!E139),0,YEAR('Gastos medicos y sepelios'!E139))</f>
        <v>2022</v>
      </c>
      <c r="D139">
        <v>1</v>
      </c>
    </row>
    <row r="140" spans="3:4" x14ac:dyDescent="0.25">
      <c r="C140">
        <f>IF(ISBLANK('Gastos medicos y sepelios'!E140),0,YEAR('Gastos medicos y sepelios'!E140))</f>
        <v>2022</v>
      </c>
      <c r="D140">
        <v>1</v>
      </c>
    </row>
    <row r="141" spans="3:4" x14ac:dyDescent="0.25">
      <c r="C141">
        <f>IF(ISBLANK('Gastos medicos y sepelios'!E141),0,YEAR('Gastos medicos y sepelios'!E141))</f>
        <v>2022</v>
      </c>
      <c r="D141">
        <v>1</v>
      </c>
    </row>
    <row r="142" spans="3:4" x14ac:dyDescent="0.25">
      <c r="C142">
        <f>IF(ISBLANK('Gastos medicos y sepelios'!E142),0,YEAR('Gastos medicos y sepelios'!E142))</f>
        <v>2022</v>
      </c>
      <c r="D142">
        <v>1</v>
      </c>
    </row>
    <row r="143" spans="3:4" x14ac:dyDescent="0.25">
      <c r="C143">
        <f>IF(ISBLANK('Gastos medicos y sepelios'!E143),0,YEAR('Gastos medicos y sepelios'!E143))</f>
        <v>2022</v>
      </c>
      <c r="D143">
        <v>1</v>
      </c>
    </row>
    <row r="144" spans="3:4" x14ac:dyDescent="0.25">
      <c r="C144">
        <f>IF(ISBLANK('Gastos medicos y sepelios'!E144),0,YEAR('Gastos medicos y sepelios'!E144))</f>
        <v>2022</v>
      </c>
      <c r="D144">
        <v>1</v>
      </c>
    </row>
    <row r="145" spans="3:4" x14ac:dyDescent="0.25">
      <c r="C145">
        <f>IF(ISBLANK('Gastos medicos y sepelios'!E145),0,YEAR('Gastos medicos y sepelios'!E145))</f>
        <v>2022</v>
      </c>
      <c r="D145">
        <v>1</v>
      </c>
    </row>
    <row r="146" spans="3:4" x14ac:dyDescent="0.25">
      <c r="C146">
        <f>IF(ISBLANK('Gastos medicos y sepelios'!E146),0,YEAR('Gastos medicos y sepelios'!E146))</f>
        <v>2022</v>
      </c>
      <c r="D146">
        <v>1</v>
      </c>
    </row>
    <row r="147" spans="3:4" x14ac:dyDescent="0.25">
      <c r="C147">
        <f>IF(ISBLANK('Gastos medicos y sepelios'!E147),0,YEAR('Gastos medicos y sepelios'!E147))</f>
        <v>2021</v>
      </c>
      <c r="D147">
        <v>1</v>
      </c>
    </row>
    <row r="148" spans="3:4" x14ac:dyDescent="0.25">
      <c r="C148">
        <f>IF(ISBLANK('Gastos medicos y sepelios'!E148),0,YEAR('Gastos medicos y sepelios'!E148))</f>
        <v>2022</v>
      </c>
      <c r="D148">
        <v>1</v>
      </c>
    </row>
    <row r="149" spans="3:4" x14ac:dyDescent="0.25">
      <c r="C149">
        <f>IF(ISBLANK('Gastos medicos y sepelios'!E149),0,YEAR('Gastos medicos y sepelios'!E149))</f>
        <v>2022</v>
      </c>
      <c r="D149">
        <v>1</v>
      </c>
    </row>
    <row r="150" spans="3:4" x14ac:dyDescent="0.25">
      <c r="C150">
        <f>IF(ISBLANK('Gastos medicos y sepelios'!E150),0,YEAR('Gastos medicos y sepelios'!E150))</f>
        <v>2022</v>
      </c>
      <c r="D150">
        <v>1</v>
      </c>
    </row>
    <row r="151" spans="3:4" x14ac:dyDescent="0.25">
      <c r="C151">
        <f>IF(ISBLANK('Gastos medicos y sepelios'!E151),0,YEAR('Gastos medicos y sepelios'!E151))</f>
        <v>2022</v>
      </c>
      <c r="D151">
        <v>1</v>
      </c>
    </row>
    <row r="152" spans="3:4" x14ac:dyDescent="0.25">
      <c r="C152">
        <f>IF(ISBLANK('Gastos medicos y sepelios'!E152),0,YEAR('Gastos medicos y sepelios'!E152))</f>
        <v>2022</v>
      </c>
      <c r="D152">
        <v>1</v>
      </c>
    </row>
    <row r="153" spans="3:4" x14ac:dyDescent="0.25">
      <c r="C153">
        <f>IF(ISBLANK('Gastos medicos y sepelios'!E153),0,YEAR('Gastos medicos y sepelios'!E153))</f>
        <v>2022</v>
      </c>
      <c r="D153">
        <v>1</v>
      </c>
    </row>
    <row r="154" spans="3:4" x14ac:dyDescent="0.25">
      <c r="C154">
        <f>IF(ISBLANK('Gastos medicos y sepelios'!E154),0,YEAR('Gastos medicos y sepelios'!E154))</f>
        <v>2022</v>
      </c>
      <c r="D154">
        <v>1</v>
      </c>
    </row>
    <row r="155" spans="3:4" x14ac:dyDescent="0.25">
      <c r="C155">
        <f>IF(ISBLANK('Gastos medicos y sepelios'!E155),0,YEAR('Gastos medicos y sepelios'!E155))</f>
        <v>2022</v>
      </c>
      <c r="D155">
        <v>1</v>
      </c>
    </row>
    <row r="156" spans="3:4" x14ac:dyDescent="0.25">
      <c r="C156">
        <f>IF(ISBLANK('Gastos medicos y sepelios'!E156),0,YEAR('Gastos medicos y sepelios'!E156))</f>
        <v>2022</v>
      </c>
      <c r="D156">
        <v>1</v>
      </c>
    </row>
    <row r="157" spans="3:4" x14ac:dyDescent="0.25">
      <c r="C157">
        <f>IF(ISBLANK('Gastos medicos y sepelios'!E157),0,YEAR('Gastos medicos y sepelios'!E157))</f>
        <v>2022</v>
      </c>
      <c r="D157">
        <v>1</v>
      </c>
    </row>
    <row r="158" spans="3:4" x14ac:dyDescent="0.25">
      <c r="C158">
        <f>IF(ISBLANK('Gastos medicos y sepelios'!E158),0,YEAR('Gastos medicos y sepelios'!E158))</f>
        <v>2022</v>
      </c>
      <c r="D158">
        <v>1</v>
      </c>
    </row>
    <row r="159" spans="3:4" x14ac:dyDescent="0.25">
      <c r="C159">
        <f>IF(ISBLANK('Gastos medicos y sepelios'!E159),0,YEAR('Gastos medicos y sepelios'!E159))</f>
        <v>2022</v>
      </c>
      <c r="D159">
        <v>1</v>
      </c>
    </row>
    <row r="160" spans="3:4" x14ac:dyDescent="0.25">
      <c r="C160">
        <f>IF(ISBLANK('Gastos medicos y sepelios'!E160),0,YEAR('Gastos medicos y sepelios'!E160))</f>
        <v>2022</v>
      </c>
      <c r="D160">
        <v>1</v>
      </c>
    </row>
    <row r="161" spans="3:4" x14ac:dyDescent="0.25">
      <c r="C161">
        <f>IF(ISBLANK('Gastos medicos y sepelios'!E161),0,YEAR('Gastos medicos y sepelios'!E161))</f>
        <v>2022</v>
      </c>
      <c r="D161">
        <v>1</v>
      </c>
    </row>
    <row r="162" spans="3:4" x14ac:dyDescent="0.25">
      <c r="C162">
        <f>IF(ISBLANK('Gastos medicos y sepelios'!E162),0,YEAR('Gastos medicos y sepelios'!E162))</f>
        <v>2022</v>
      </c>
      <c r="D162">
        <v>1</v>
      </c>
    </row>
    <row r="163" spans="3:4" x14ac:dyDescent="0.25">
      <c r="C163">
        <f>IF(ISBLANK('Gastos medicos y sepelios'!E163),0,YEAR('Gastos medicos y sepelios'!E163))</f>
        <v>2022</v>
      </c>
      <c r="D163">
        <v>1</v>
      </c>
    </row>
    <row r="164" spans="3:4" x14ac:dyDescent="0.25">
      <c r="C164">
        <f>IF(ISBLANK('Gastos medicos y sepelios'!E164),0,YEAR('Gastos medicos y sepelios'!E164))</f>
        <v>2022</v>
      </c>
      <c r="D164">
        <v>1</v>
      </c>
    </row>
    <row r="165" spans="3:4" x14ac:dyDescent="0.25">
      <c r="C165">
        <f>IF(ISBLANK('Gastos medicos y sepelios'!E165),0,YEAR('Gastos medicos y sepelios'!E165))</f>
        <v>2022</v>
      </c>
      <c r="D165">
        <v>1</v>
      </c>
    </row>
    <row r="166" spans="3:4" x14ac:dyDescent="0.25">
      <c r="C166">
        <f>IF(ISBLANK('Gastos medicos y sepelios'!E166),0,YEAR('Gastos medicos y sepelios'!E166))</f>
        <v>2022</v>
      </c>
      <c r="D166">
        <v>1</v>
      </c>
    </row>
    <row r="167" spans="3:4" x14ac:dyDescent="0.25">
      <c r="C167">
        <f>IF(ISBLANK('Gastos medicos y sepelios'!E167),0,YEAR('Gastos medicos y sepelios'!E167))</f>
        <v>2022</v>
      </c>
      <c r="D167">
        <v>1</v>
      </c>
    </row>
    <row r="168" spans="3:4" x14ac:dyDescent="0.25">
      <c r="C168">
        <f>IF(ISBLANK('Gastos medicos y sepelios'!E168),0,YEAR('Gastos medicos y sepelios'!E168))</f>
        <v>2022</v>
      </c>
      <c r="D168">
        <v>1</v>
      </c>
    </row>
    <row r="169" spans="3:4" x14ac:dyDescent="0.25">
      <c r="C169">
        <f>IF(ISBLANK('Gastos medicos y sepelios'!E169),0,YEAR('Gastos medicos y sepelios'!E169))</f>
        <v>2022</v>
      </c>
      <c r="D169">
        <v>1</v>
      </c>
    </row>
    <row r="170" spans="3:4" x14ac:dyDescent="0.25">
      <c r="C170">
        <f>IF(ISBLANK('Gastos medicos y sepelios'!E170),0,YEAR('Gastos medicos y sepelios'!E170))</f>
        <v>2022</v>
      </c>
      <c r="D170">
        <v>1</v>
      </c>
    </row>
    <row r="171" spans="3:4" x14ac:dyDescent="0.25">
      <c r="C171">
        <f>IF(ISBLANK('Gastos medicos y sepelios'!E171),0,YEAR('Gastos medicos y sepelios'!E171))</f>
        <v>2022</v>
      </c>
      <c r="D171">
        <v>1</v>
      </c>
    </row>
    <row r="172" spans="3:4" x14ac:dyDescent="0.25">
      <c r="C172">
        <f>IF(ISBLANK('Gastos medicos y sepelios'!E172),0,YEAR('Gastos medicos y sepelios'!E172))</f>
        <v>2022</v>
      </c>
      <c r="D172">
        <v>1</v>
      </c>
    </row>
    <row r="173" spans="3:4" x14ac:dyDescent="0.25">
      <c r="C173">
        <f>IF(ISBLANK('Gastos medicos y sepelios'!E173),0,YEAR('Gastos medicos y sepelios'!E173))</f>
        <v>2022</v>
      </c>
      <c r="D173">
        <v>1</v>
      </c>
    </row>
    <row r="174" spans="3:4" x14ac:dyDescent="0.25">
      <c r="C174">
        <f>IF(ISBLANK('Gastos medicos y sepelios'!E174),0,YEAR('Gastos medicos y sepelios'!E174))</f>
        <v>2022</v>
      </c>
      <c r="D174">
        <v>1</v>
      </c>
    </row>
    <row r="175" spans="3:4" x14ac:dyDescent="0.25">
      <c r="C175">
        <f>IF(ISBLANK('Gastos medicos y sepelios'!E175),0,YEAR('Gastos medicos y sepelios'!E175))</f>
        <v>2022</v>
      </c>
      <c r="D175">
        <v>1</v>
      </c>
    </row>
    <row r="176" spans="3:4" x14ac:dyDescent="0.25">
      <c r="C176">
        <f>IF(ISBLANK('Gastos medicos y sepelios'!E176),0,YEAR('Gastos medicos y sepelios'!E176))</f>
        <v>2022</v>
      </c>
      <c r="D176">
        <v>1</v>
      </c>
    </row>
    <row r="177" spans="3:4" x14ac:dyDescent="0.25">
      <c r="C177">
        <f>IF(ISBLANK('Gastos medicos y sepelios'!E177),0,YEAR('Gastos medicos y sepelios'!E177))</f>
        <v>2022</v>
      </c>
      <c r="D177">
        <v>1</v>
      </c>
    </row>
    <row r="178" spans="3:4" x14ac:dyDescent="0.25">
      <c r="C178">
        <f>IF(ISBLANK('Gastos medicos y sepelios'!E178),0,YEAR('Gastos medicos y sepelios'!E178))</f>
        <v>2022</v>
      </c>
      <c r="D178">
        <v>1</v>
      </c>
    </row>
    <row r="179" spans="3:4" x14ac:dyDescent="0.25">
      <c r="C179">
        <f>IF(ISBLANK('Gastos medicos y sepelios'!E179),0,YEAR('Gastos medicos y sepelios'!E179))</f>
        <v>2022</v>
      </c>
      <c r="D179">
        <v>1</v>
      </c>
    </row>
    <row r="180" spans="3:4" x14ac:dyDescent="0.25">
      <c r="C180">
        <f>IF(ISBLANK('Gastos medicos y sepelios'!E180),0,YEAR('Gastos medicos y sepelios'!E180))</f>
        <v>2022</v>
      </c>
      <c r="D180">
        <v>1</v>
      </c>
    </row>
    <row r="181" spans="3:4" x14ac:dyDescent="0.25">
      <c r="C181">
        <f>IF(ISBLANK('Gastos medicos y sepelios'!E181),0,YEAR('Gastos medicos y sepelios'!E181))</f>
        <v>2022</v>
      </c>
      <c r="D181">
        <v>1</v>
      </c>
    </row>
    <row r="182" spans="3:4" x14ac:dyDescent="0.25">
      <c r="C182">
        <f>IF(ISBLANK('Gastos medicos y sepelios'!E182),0,YEAR('Gastos medicos y sepelios'!E182))</f>
        <v>2022</v>
      </c>
      <c r="D182">
        <v>1</v>
      </c>
    </row>
    <row r="183" spans="3:4" x14ac:dyDescent="0.25">
      <c r="C183">
        <f>IF(ISBLANK('Gastos medicos y sepelios'!E183),0,YEAR('Gastos medicos y sepelios'!E183))</f>
        <v>2021</v>
      </c>
      <c r="D183">
        <v>1</v>
      </c>
    </row>
    <row r="184" spans="3:4" x14ac:dyDescent="0.25">
      <c r="C184">
        <f>IF(ISBLANK('Gastos medicos y sepelios'!E184),0,YEAR('Gastos medicos y sepelios'!E184))</f>
        <v>2022</v>
      </c>
      <c r="D184">
        <v>1</v>
      </c>
    </row>
    <row r="185" spans="3:4" x14ac:dyDescent="0.25">
      <c r="C185">
        <f>IF(ISBLANK('Gastos medicos y sepelios'!E185),0,YEAR('Gastos medicos y sepelios'!E185))</f>
        <v>2022</v>
      </c>
      <c r="D185">
        <v>1</v>
      </c>
    </row>
    <row r="186" spans="3:4" x14ac:dyDescent="0.25">
      <c r="C186">
        <f>IF(ISBLANK('Gastos medicos y sepelios'!E186),0,YEAR('Gastos medicos y sepelios'!E186))</f>
        <v>2022</v>
      </c>
      <c r="D186">
        <v>1</v>
      </c>
    </row>
    <row r="187" spans="3:4" x14ac:dyDescent="0.25">
      <c r="C187">
        <f>IF(ISBLANK('Gastos medicos y sepelios'!E187),0,YEAR('Gastos medicos y sepelios'!E187))</f>
        <v>2022</v>
      </c>
      <c r="D187">
        <v>1</v>
      </c>
    </row>
    <row r="188" spans="3:4" x14ac:dyDescent="0.25">
      <c r="C188">
        <f>IF(ISBLANK('Gastos medicos y sepelios'!E188),0,YEAR('Gastos medicos y sepelios'!E188))</f>
        <v>2022</v>
      </c>
      <c r="D188">
        <v>1</v>
      </c>
    </row>
    <row r="189" spans="3:4" x14ac:dyDescent="0.25">
      <c r="C189">
        <f>IF(ISBLANK('Gastos medicos y sepelios'!E189),0,YEAR('Gastos medicos y sepelios'!E189))</f>
        <v>2022</v>
      </c>
      <c r="D189">
        <v>1</v>
      </c>
    </row>
    <row r="190" spans="3:4" x14ac:dyDescent="0.25">
      <c r="C190">
        <f>IF(ISBLANK('Gastos medicos y sepelios'!E190),0,YEAR('Gastos medicos y sepelios'!E190))</f>
        <v>2022</v>
      </c>
      <c r="D190">
        <v>1</v>
      </c>
    </row>
    <row r="191" spans="3:4" x14ac:dyDescent="0.25">
      <c r="C191">
        <f>IF(ISBLANK('Gastos medicos y sepelios'!E191),0,YEAR('Gastos medicos y sepelios'!E191))</f>
        <v>2022</v>
      </c>
      <c r="D191">
        <v>1</v>
      </c>
    </row>
    <row r="192" spans="3:4" x14ac:dyDescent="0.25">
      <c r="C192">
        <f>IF(ISBLANK('Gastos medicos y sepelios'!E192),0,YEAR('Gastos medicos y sepelios'!E192))</f>
        <v>2022</v>
      </c>
      <c r="D192">
        <v>1</v>
      </c>
    </row>
    <row r="193" spans="3:4" x14ac:dyDescent="0.25">
      <c r="C193">
        <f>IF(ISBLANK('Gastos medicos y sepelios'!E193),0,YEAR('Gastos medicos y sepelios'!E193))</f>
        <v>2022</v>
      </c>
      <c r="D193">
        <v>1</v>
      </c>
    </row>
    <row r="194" spans="3:4" x14ac:dyDescent="0.25">
      <c r="C194">
        <f>IF(ISBLANK('Gastos medicos y sepelios'!E194),0,YEAR('Gastos medicos y sepelios'!E194))</f>
        <v>2022</v>
      </c>
      <c r="D194">
        <v>1</v>
      </c>
    </row>
    <row r="195" spans="3:4" x14ac:dyDescent="0.25">
      <c r="C195">
        <f>IF(ISBLANK('Gastos medicos y sepelios'!E195),0,YEAR('Gastos medicos y sepelios'!E195))</f>
        <v>2022</v>
      </c>
      <c r="D195">
        <v>1</v>
      </c>
    </row>
    <row r="196" spans="3:4" x14ac:dyDescent="0.25">
      <c r="C196">
        <f>IF(ISBLANK('Gastos medicos y sepelios'!E196),0,YEAR('Gastos medicos y sepelios'!E196))</f>
        <v>2021</v>
      </c>
      <c r="D196">
        <v>1</v>
      </c>
    </row>
    <row r="197" spans="3:4" x14ac:dyDescent="0.25">
      <c r="C197">
        <f>IF(ISBLANK('Gastos medicos y sepelios'!E197),0,YEAR('Gastos medicos y sepelios'!E197))</f>
        <v>2022</v>
      </c>
      <c r="D197">
        <v>1</v>
      </c>
    </row>
    <row r="198" spans="3:4" x14ac:dyDescent="0.25">
      <c r="C198">
        <f>IF(ISBLANK('Gastos medicos y sepelios'!E198),0,YEAR('Gastos medicos y sepelios'!E198))</f>
        <v>2022</v>
      </c>
      <c r="D198">
        <v>1</v>
      </c>
    </row>
    <row r="199" spans="3:4" x14ac:dyDescent="0.25">
      <c r="C199">
        <f>IF(ISBLANK('Gastos medicos y sepelios'!E199),0,YEAR('Gastos medicos y sepelios'!E199))</f>
        <v>2021</v>
      </c>
      <c r="D199">
        <v>1</v>
      </c>
    </row>
    <row r="200" spans="3:4" x14ac:dyDescent="0.25">
      <c r="C200">
        <f>IF(ISBLANK('Gastos medicos y sepelios'!E200),0,YEAR('Gastos medicos y sepelios'!E200))</f>
        <v>2022</v>
      </c>
      <c r="D200">
        <v>1</v>
      </c>
    </row>
    <row r="201" spans="3:4" x14ac:dyDescent="0.25">
      <c r="C201">
        <f>IF(ISBLANK('Gastos medicos y sepelios'!E201),0,YEAR('Gastos medicos y sepelios'!E201))</f>
        <v>2022</v>
      </c>
      <c r="D201">
        <v>1</v>
      </c>
    </row>
    <row r="202" spans="3:4" x14ac:dyDescent="0.25">
      <c r="C202">
        <f>IF(ISBLANK('Gastos medicos y sepelios'!E202),0,YEAR('Gastos medicos y sepelios'!E202))</f>
        <v>2022</v>
      </c>
      <c r="D202">
        <v>1</v>
      </c>
    </row>
    <row r="203" spans="3:4" x14ac:dyDescent="0.25">
      <c r="C203">
        <f>IF(ISBLANK('Gastos medicos y sepelios'!E203),0,YEAR('Gastos medicos y sepelios'!E203))</f>
        <v>2022</v>
      </c>
      <c r="D203">
        <v>1</v>
      </c>
    </row>
    <row r="204" spans="3:4" x14ac:dyDescent="0.25">
      <c r="C204">
        <f>IF(ISBLANK('Gastos medicos y sepelios'!E204),0,YEAR('Gastos medicos y sepelios'!E204))</f>
        <v>2022</v>
      </c>
      <c r="D204">
        <v>1</v>
      </c>
    </row>
    <row r="205" spans="3:4" x14ac:dyDescent="0.25">
      <c r="C205">
        <f>IF(ISBLANK('Gastos medicos y sepelios'!E205),0,YEAR('Gastos medicos y sepelios'!E205))</f>
        <v>2022</v>
      </c>
      <c r="D205">
        <v>1</v>
      </c>
    </row>
    <row r="206" spans="3:4" x14ac:dyDescent="0.25">
      <c r="C206">
        <f>IF(ISBLANK('Gastos medicos y sepelios'!E206),0,YEAR('Gastos medicos y sepelios'!E206))</f>
        <v>2022</v>
      </c>
      <c r="D206">
        <v>1</v>
      </c>
    </row>
    <row r="207" spans="3:4" x14ac:dyDescent="0.25">
      <c r="C207">
        <f>IF(ISBLANK('Gastos medicos y sepelios'!E207),0,YEAR('Gastos medicos y sepelios'!E207))</f>
        <v>2022</v>
      </c>
      <c r="D207">
        <v>1</v>
      </c>
    </row>
    <row r="208" spans="3:4" x14ac:dyDescent="0.25">
      <c r="C208">
        <f>IF(ISBLANK('Gastos medicos y sepelios'!E208),0,YEAR('Gastos medicos y sepelios'!E208))</f>
        <v>2021</v>
      </c>
      <c r="D208">
        <v>1</v>
      </c>
    </row>
    <row r="209" spans="3:4" x14ac:dyDescent="0.25">
      <c r="C209">
        <f>IF(ISBLANK('Gastos medicos y sepelios'!E209),0,YEAR('Gastos medicos y sepelios'!E209))</f>
        <v>2022</v>
      </c>
      <c r="D209">
        <v>1</v>
      </c>
    </row>
    <row r="210" spans="3:4" x14ac:dyDescent="0.25">
      <c r="C210">
        <f>IF(ISBLANK('Gastos medicos y sepelios'!E210),0,YEAR('Gastos medicos y sepelios'!E210))</f>
        <v>2022</v>
      </c>
      <c r="D210">
        <v>1</v>
      </c>
    </row>
    <row r="211" spans="3:4" x14ac:dyDescent="0.25">
      <c r="C211">
        <f>IF(ISBLANK('Gastos medicos y sepelios'!E211),0,YEAR('Gastos medicos y sepelios'!E211))</f>
        <v>2022</v>
      </c>
      <c r="D211">
        <v>1</v>
      </c>
    </row>
    <row r="212" spans="3:4" x14ac:dyDescent="0.25">
      <c r="C212">
        <f>IF(ISBLANK('Gastos medicos y sepelios'!E212),0,YEAR('Gastos medicos y sepelios'!E212))</f>
        <v>2022</v>
      </c>
      <c r="D212">
        <v>1</v>
      </c>
    </row>
    <row r="213" spans="3:4" x14ac:dyDescent="0.25">
      <c r="C213">
        <f>IF(ISBLANK('Gastos medicos y sepelios'!E213),0,YEAR('Gastos medicos y sepelios'!E213))</f>
        <v>2022</v>
      </c>
      <c r="D213">
        <v>1</v>
      </c>
    </row>
    <row r="214" spans="3:4" x14ac:dyDescent="0.25">
      <c r="C214">
        <f>IF(ISBLANK('Gastos medicos y sepelios'!E214),0,YEAR('Gastos medicos y sepelios'!E214))</f>
        <v>2022</v>
      </c>
      <c r="D214">
        <v>1</v>
      </c>
    </row>
    <row r="215" spans="3:4" x14ac:dyDescent="0.25">
      <c r="C215">
        <f>IF(ISBLANK('Gastos medicos y sepelios'!E215),0,YEAR('Gastos medicos y sepelios'!E215))</f>
        <v>2022</v>
      </c>
      <c r="D215">
        <v>1</v>
      </c>
    </row>
    <row r="216" spans="3:4" x14ac:dyDescent="0.25">
      <c r="C216">
        <f>IF(ISBLANK('Gastos medicos y sepelios'!E216),0,YEAR('Gastos medicos y sepelios'!E216))</f>
        <v>2022</v>
      </c>
      <c r="D216">
        <v>1</v>
      </c>
    </row>
    <row r="217" spans="3:4" x14ac:dyDescent="0.25">
      <c r="C217">
        <f>IF(ISBLANK('Gastos medicos y sepelios'!E217),0,YEAR('Gastos medicos y sepelios'!E217))</f>
        <v>2022</v>
      </c>
      <c r="D217">
        <v>1</v>
      </c>
    </row>
    <row r="218" spans="3:4" x14ac:dyDescent="0.25">
      <c r="C218">
        <f>IF(ISBLANK('Gastos medicos y sepelios'!E218),0,YEAR('Gastos medicos y sepelios'!E218))</f>
        <v>2022</v>
      </c>
      <c r="D218">
        <v>1</v>
      </c>
    </row>
    <row r="219" spans="3:4" x14ac:dyDescent="0.25">
      <c r="C219">
        <f>IF(ISBLANK('Gastos medicos y sepelios'!E219),0,YEAR('Gastos medicos y sepelios'!E219))</f>
        <v>2022</v>
      </c>
      <c r="D219">
        <v>1</v>
      </c>
    </row>
    <row r="220" spans="3:4" x14ac:dyDescent="0.25">
      <c r="C220">
        <f>IF(ISBLANK('Gastos medicos y sepelios'!E220),0,YEAR('Gastos medicos y sepelios'!E220))</f>
        <v>2022</v>
      </c>
      <c r="D220">
        <v>1</v>
      </c>
    </row>
    <row r="221" spans="3:4" x14ac:dyDescent="0.25">
      <c r="C221">
        <f>IF(ISBLANK('Gastos medicos y sepelios'!E221),0,YEAR('Gastos medicos y sepelios'!E221))</f>
        <v>2022</v>
      </c>
      <c r="D221">
        <v>1</v>
      </c>
    </row>
    <row r="222" spans="3:4" x14ac:dyDescent="0.25">
      <c r="C222">
        <f>IF(ISBLANK('Gastos medicos y sepelios'!E222),0,YEAR('Gastos medicos y sepelios'!E222))</f>
        <v>2021</v>
      </c>
      <c r="D222">
        <v>1</v>
      </c>
    </row>
    <row r="223" spans="3:4" x14ac:dyDescent="0.25">
      <c r="C223">
        <f>IF(ISBLANK('Gastos medicos y sepelios'!E223),0,YEAR('Gastos medicos y sepelios'!E223))</f>
        <v>2020</v>
      </c>
      <c r="D223">
        <v>1</v>
      </c>
    </row>
    <row r="224" spans="3:4" x14ac:dyDescent="0.25">
      <c r="C224">
        <f>IF(ISBLANK('Gastos medicos y sepelios'!E224),0,YEAR('Gastos medicos y sepelios'!E224))</f>
        <v>2020</v>
      </c>
      <c r="D224">
        <v>1</v>
      </c>
    </row>
    <row r="225" spans="3:4" x14ac:dyDescent="0.25">
      <c r="C225">
        <f>IF(ISBLANK('Gastos medicos y sepelios'!E225),0,YEAR('Gastos medicos y sepelios'!E225))</f>
        <v>2021</v>
      </c>
      <c r="D225">
        <v>1</v>
      </c>
    </row>
    <row r="226" spans="3:4" x14ac:dyDescent="0.25">
      <c r="C226">
        <f>IF(ISBLANK('Gastos medicos y sepelios'!E226),0,YEAR('Gastos medicos y sepelios'!E226))</f>
        <v>2020</v>
      </c>
      <c r="D226">
        <v>1</v>
      </c>
    </row>
    <row r="227" spans="3:4" x14ac:dyDescent="0.25">
      <c r="C227">
        <f>IF(ISBLANK('Gastos medicos y sepelios'!E227),0,YEAR('Gastos medicos y sepelios'!E227))</f>
        <v>2021</v>
      </c>
      <c r="D227">
        <v>1</v>
      </c>
    </row>
    <row r="228" spans="3:4" x14ac:dyDescent="0.25">
      <c r="C228">
        <f>IF(ISBLANK('Gastos medicos y sepelios'!E228),0,YEAR('Gastos medicos y sepelios'!E228))</f>
        <v>2020</v>
      </c>
      <c r="D228">
        <v>1</v>
      </c>
    </row>
    <row r="229" spans="3:4" x14ac:dyDescent="0.25">
      <c r="C229">
        <f>IF(ISBLANK('Gastos medicos y sepelios'!E229),0,YEAR('Gastos medicos y sepelios'!E229))</f>
        <v>2020</v>
      </c>
      <c r="D229">
        <v>1</v>
      </c>
    </row>
    <row r="230" spans="3:4" x14ac:dyDescent="0.25">
      <c r="C230">
        <f>IF(ISBLANK('Gastos medicos y sepelios'!E230),0,YEAR('Gastos medicos y sepelios'!E230))</f>
        <v>2021</v>
      </c>
      <c r="D230">
        <v>1</v>
      </c>
    </row>
    <row r="231" spans="3:4" x14ac:dyDescent="0.25">
      <c r="C231">
        <f>IF(ISBLANK('Gastos medicos y sepelios'!E231),0,YEAR('Gastos medicos y sepelios'!E231))</f>
        <v>2021</v>
      </c>
      <c r="D231">
        <v>1</v>
      </c>
    </row>
    <row r="232" spans="3:4" x14ac:dyDescent="0.25">
      <c r="C232">
        <f>IF(ISBLANK('Gastos medicos y sepelios'!E232),0,YEAR('Gastos medicos y sepelios'!E232))</f>
        <v>2021</v>
      </c>
      <c r="D232">
        <v>1</v>
      </c>
    </row>
    <row r="233" spans="3:4" x14ac:dyDescent="0.25">
      <c r="C233">
        <f>IF(ISBLANK('Gastos medicos y sepelios'!E233),0,YEAR('Gastos medicos y sepelios'!E233))</f>
        <v>2021</v>
      </c>
      <c r="D233">
        <v>1</v>
      </c>
    </row>
    <row r="234" spans="3:4" x14ac:dyDescent="0.25">
      <c r="C234">
        <f>IF(ISBLANK('Gastos medicos y sepelios'!E234),0,YEAR('Gastos medicos y sepelios'!E234))</f>
        <v>2021</v>
      </c>
      <c r="D234">
        <v>1</v>
      </c>
    </row>
    <row r="235" spans="3:4" x14ac:dyDescent="0.25">
      <c r="C235">
        <f>IF(ISBLANK('Gastos medicos y sepelios'!E235),0,YEAR('Gastos medicos y sepelios'!E235))</f>
        <v>2021</v>
      </c>
      <c r="D235">
        <v>1</v>
      </c>
    </row>
    <row r="236" spans="3:4" x14ac:dyDescent="0.25">
      <c r="C236">
        <f>IF(ISBLANK('Gastos medicos y sepelios'!E236),0,YEAR('Gastos medicos y sepelios'!E236))</f>
        <v>2021</v>
      </c>
      <c r="D236">
        <v>1</v>
      </c>
    </row>
    <row r="237" spans="3:4" x14ac:dyDescent="0.25">
      <c r="C237">
        <f>IF(ISBLANK('Gastos medicos y sepelios'!E237),0,YEAR('Gastos medicos y sepelios'!E237))</f>
        <v>2021</v>
      </c>
      <c r="D237">
        <v>1</v>
      </c>
    </row>
    <row r="238" spans="3:4" x14ac:dyDescent="0.25">
      <c r="C238">
        <f>IF(ISBLANK('Gastos medicos y sepelios'!E238),0,YEAR('Gastos medicos y sepelios'!E238))</f>
        <v>2021</v>
      </c>
      <c r="D238">
        <v>1</v>
      </c>
    </row>
    <row r="239" spans="3:4" x14ac:dyDescent="0.25">
      <c r="C239">
        <f>IF(ISBLANK('Gastos medicos y sepelios'!E239),0,YEAR('Gastos medicos y sepelios'!E239))</f>
        <v>2021</v>
      </c>
      <c r="D239">
        <v>1</v>
      </c>
    </row>
    <row r="240" spans="3:4" x14ac:dyDescent="0.25">
      <c r="C240">
        <f>IF(ISBLANK('Gastos medicos y sepelios'!E240),0,YEAR('Gastos medicos y sepelios'!E240))</f>
        <v>2021</v>
      </c>
      <c r="D240">
        <v>1</v>
      </c>
    </row>
    <row r="241" spans="3:4" x14ac:dyDescent="0.25">
      <c r="C241">
        <f>IF(ISBLANK('Gastos medicos y sepelios'!E241),0,YEAR('Gastos medicos y sepelios'!E241))</f>
        <v>2021</v>
      </c>
      <c r="D241">
        <v>1</v>
      </c>
    </row>
    <row r="242" spans="3:4" x14ac:dyDescent="0.25">
      <c r="C242">
        <f>IF(ISBLANK('Gastos medicos y sepelios'!E242),0,YEAR('Gastos medicos y sepelios'!E242))</f>
        <v>2021</v>
      </c>
      <c r="D242">
        <v>1</v>
      </c>
    </row>
    <row r="243" spans="3:4" x14ac:dyDescent="0.25">
      <c r="C243">
        <f>IF(ISBLANK('Gastos medicos y sepelios'!E243),0,YEAR('Gastos medicos y sepelios'!E243))</f>
        <v>2020</v>
      </c>
      <c r="D243">
        <v>1</v>
      </c>
    </row>
    <row r="244" spans="3:4" x14ac:dyDescent="0.25">
      <c r="C244">
        <f>IF(ISBLANK('Gastos medicos y sepelios'!E244),0,YEAR('Gastos medicos y sepelios'!E244))</f>
        <v>2021</v>
      </c>
      <c r="D244">
        <v>1</v>
      </c>
    </row>
    <row r="245" spans="3:4" x14ac:dyDescent="0.25">
      <c r="C245">
        <f>IF(ISBLANK('Gastos medicos y sepelios'!E245),0,YEAR('Gastos medicos y sepelios'!E245))</f>
        <v>2021</v>
      </c>
      <c r="D245">
        <v>1</v>
      </c>
    </row>
    <row r="246" spans="3:4" x14ac:dyDescent="0.25">
      <c r="C246">
        <f>IF(ISBLANK('Gastos medicos y sepelios'!E246),0,YEAR('Gastos medicos y sepelios'!E246))</f>
        <v>2021</v>
      </c>
      <c r="D246">
        <v>1</v>
      </c>
    </row>
    <row r="247" spans="3:4" x14ac:dyDescent="0.25">
      <c r="C247">
        <f>IF(ISBLANK('Gastos medicos y sepelios'!E247),0,YEAR('Gastos medicos y sepelios'!E247))</f>
        <v>2021</v>
      </c>
      <c r="D247">
        <v>1</v>
      </c>
    </row>
    <row r="248" spans="3:4" x14ac:dyDescent="0.25">
      <c r="C248">
        <f>IF(ISBLANK('Gastos medicos y sepelios'!E248),0,YEAR('Gastos medicos y sepelios'!E248))</f>
        <v>2021</v>
      </c>
      <c r="D248">
        <v>1</v>
      </c>
    </row>
    <row r="249" spans="3:4" x14ac:dyDescent="0.25">
      <c r="C249">
        <f>IF(ISBLANK('Gastos medicos y sepelios'!E249),0,YEAR('Gastos medicos y sepelios'!E249))</f>
        <v>2021</v>
      </c>
      <c r="D249">
        <v>1</v>
      </c>
    </row>
    <row r="250" spans="3:4" x14ac:dyDescent="0.25">
      <c r="C250">
        <f>IF(ISBLANK('Gastos medicos y sepelios'!E250),0,YEAR('Gastos medicos y sepelios'!E250))</f>
        <v>2021</v>
      </c>
      <c r="D250">
        <v>1</v>
      </c>
    </row>
    <row r="251" spans="3:4" x14ac:dyDescent="0.25">
      <c r="C251">
        <f>IF(ISBLANK('Gastos medicos y sepelios'!E251),0,YEAR('Gastos medicos y sepelios'!E251))</f>
        <v>2020</v>
      </c>
      <c r="D251">
        <v>1</v>
      </c>
    </row>
    <row r="252" spans="3:4" x14ac:dyDescent="0.25">
      <c r="C252">
        <f>IF(ISBLANK('Gastos medicos y sepelios'!E252),0,YEAR('Gastos medicos y sepelios'!E252))</f>
        <v>2021</v>
      </c>
      <c r="D252">
        <v>1</v>
      </c>
    </row>
    <row r="253" spans="3:4" x14ac:dyDescent="0.25">
      <c r="C253">
        <f>IF(ISBLANK('Gastos medicos y sepelios'!E253),0,YEAR('Gastos medicos y sepelios'!E253))</f>
        <v>2021</v>
      </c>
      <c r="D253">
        <v>1</v>
      </c>
    </row>
    <row r="254" spans="3:4" x14ac:dyDescent="0.25">
      <c r="C254">
        <f>IF(ISBLANK('Gastos medicos y sepelios'!E254),0,YEAR('Gastos medicos y sepelios'!E254))</f>
        <v>2021</v>
      </c>
      <c r="D254">
        <v>1</v>
      </c>
    </row>
    <row r="255" spans="3:4" x14ac:dyDescent="0.25">
      <c r="C255">
        <f>IF(ISBLANK('Gastos medicos y sepelios'!E255),0,YEAR('Gastos medicos y sepelios'!E255))</f>
        <v>2021</v>
      </c>
      <c r="D255">
        <v>1</v>
      </c>
    </row>
    <row r="256" spans="3:4" x14ac:dyDescent="0.25">
      <c r="C256">
        <f>IF(ISBLANK('Gastos medicos y sepelios'!E256),0,YEAR('Gastos medicos y sepelios'!E256))</f>
        <v>2021</v>
      </c>
      <c r="D256">
        <v>1</v>
      </c>
    </row>
    <row r="257" spans="3:4" x14ac:dyDescent="0.25">
      <c r="C257">
        <f>IF(ISBLANK('Gastos medicos y sepelios'!E257),0,YEAR('Gastos medicos y sepelios'!E257))</f>
        <v>2021</v>
      </c>
      <c r="D257">
        <v>1</v>
      </c>
    </row>
    <row r="258" spans="3:4" x14ac:dyDescent="0.25">
      <c r="C258">
        <f>IF(ISBLANK('Gastos medicos y sepelios'!E258),0,YEAR('Gastos medicos y sepelios'!E258))</f>
        <v>2021</v>
      </c>
      <c r="D258">
        <v>1</v>
      </c>
    </row>
    <row r="259" spans="3:4" x14ac:dyDescent="0.25">
      <c r="C259">
        <f>IF(ISBLANK('Gastos medicos y sepelios'!E259),0,YEAR('Gastos medicos y sepelios'!E259))</f>
        <v>2021</v>
      </c>
      <c r="D259">
        <v>1</v>
      </c>
    </row>
    <row r="260" spans="3:4" x14ac:dyDescent="0.25">
      <c r="C260">
        <f>IF(ISBLANK('Gastos medicos y sepelios'!E260),0,YEAR('Gastos medicos y sepelios'!E260))</f>
        <v>2021</v>
      </c>
      <c r="D260">
        <v>1</v>
      </c>
    </row>
    <row r="261" spans="3:4" x14ac:dyDescent="0.25">
      <c r="C261">
        <f>IF(ISBLANK('Gastos medicos y sepelios'!E261),0,YEAR('Gastos medicos y sepelios'!E261))</f>
        <v>2021</v>
      </c>
      <c r="D261">
        <v>1</v>
      </c>
    </row>
    <row r="262" spans="3:4" x14ac:dyDescent="0.25">
      <c r="C262">
        <f>IF(ISBLANK('Gastos medicos y sepelios'!E262),0,YEAR('Gastos medicos y sepelios'!E262))</f>
        <v>2021</v>
      </c>
      <c r="D262">
        <v>1</v>
      </c>
    </row>
    <row r="263" spans="3:4" x14ac:dyDescent="0.25">
      <c r="C263">
        <f>IF(ISBLANK('Gastos medicos y sepelios'!E263),0,YEAR('Gastos medicos y sepelios'!E263))</f>
        <v>2021</v>
      </c>
      <c r="D263">
        <v>1</v>
      </c>
    </row>
    <row r="264" spans="3:4" x14ac:dyDescent="0.25">
      <c r="C264">
        <f>IF(ISBLANK('Gastos medicos y sepelios'!E264),0,YEAR('Gastos medicos y sepelios'!E264))</f>
        <v>2021</v>
      </c>
      <c r="D264">
        <v>1</v>
      </c>
    </row>
    <row r="265" spans="3:4" x14ac:dyDescent="0.25">
      <c r="C265">
        <f>IF(ISBLANK('Gastos medicos y sepelios'!E265),0,YEAR('Gastos medicos y sepelios'!E265))</f>
        <v>2021</v>
      </c>
      <c r="D265">
        <v>1</v>
      </c>
    </row>
    <row r="266" spans="3:4" x14ac:dyDescent="0.25">
      <c r="C266">
        <f>IF(ISBLANK('Gastos medicos y sepelios'!E266),0,YEAR('Gastos medicos y sepelios'!E266))</f>
        <v>2021</v>
      </c>
      <c r="D266">
        <v>1</v>
      </c>
    </row>
    <row r="267" spans="3:4" x14ac:dyDescent="0.25">
      <c r="C267">
        <f>IF(ISBLANK('Gastos medicos y sepelios'!E267),0,YEAR('Gastos medicos y sepelios'!E267))</f>
        <v>2021</v>
      </c>
      <c r="D267">
        <v>1</v>
      </c>
    </row>
    <row r="268" spans="3:4" x14ac:dyDescent="0.25">
      <c r="C268">
        <f>IF(ISBLANK('Gastos medicos y sepelios'!E268),0,YEAR('Gastos medicos y sepelios'!E268))</f>
        <v>2021</v>
      </c>
      <c r="D268">
        <v>1</v>
      </c>
    </row>
    <row r="269" spans="3:4" x14ac:dyDescent="0.25">
      <c r="C269">
        <f>IF(ISBLANK('Gastos medicos y sepelios'!E269),0,YEAR('Gastos medicos y sepelios'!E269))</f>
        <v>2021</v>
      </c>
      <c r="D269">
        <v>1</v>
      </c>
    </row>
    <row r="270" spans="3:4" x14ac:dyDescent="0.25">
      <c r="C270">
        <f>IF(ISBLANK('Gastos medicos y sepelios'!E270),0,YEAR('Gastos medicos y sepelios'!E270))</f>
        <v>2021</v>
      </c>
      <c r="D270">
        <v>1</v>
      </c>
    </row>
    <row r="271" spans="3:4" x14ac:dyDescent="0.25">
      <c r="C271">
        <f>IF(ISBLANK('Gastos medicos y sepelios'!E271),0,YEAR('Gastos medicos y sepelios'!E271))</f>
        <v>2021</v>
      </c>
      <c r="D271">
        <v>1</v>
      </c>
    </row>
    <row r="272" spans="3:4" x14ac:dyDescent="0.25">
      <c r="C272">
        <f>IF(ISBLANK('Gastos medicos y sepelios'!E272),0,YEAR('Gastos medicos y sepelios'!E272))</f>
        <v>2021</v>
      </c>
      <c r="D272">
        <v>1</v>
      </c>
    </row>
    <row r="273" spans="3:4" x14ac:dyDescent="0.25">
      <c r="C273">
        <f>IF(ISBLANK('Gastos medicos y sepelios'!E273),0,YEAR('Gastos medicos y sepelios'!E273))</f>
        <v>2021</v>
      </c>
      <c r="D273">
        <v>1</v>
      </c>
    </row>
    <row r="274" spans="3:4" x14ac:dyDescent="0.25">
      <c r="C274">
        <f>IF(ISBLANK('Gastos medicos y sepelios'!E274),0,YEAR('Gastos medicos y sepelios'!E274))</f>
        <v>2021</v>
      </c>
      <c r="D274">
        <v>1</v>
      </c>
    </row>
    <row r="275" spans="3:4" x14ac:dyDescent="0.25">
      <c r="C275">
        <f>IF(ISBLANK('Gastos medicos y sepelios'!E275),0,YEAR('Gastos medicos y sepelios'!E275))</f>
        <v>2021</v>
      </c>
      <c r="D275">
        <v>1</v>
      </c>
    </row>
    <row r="276" spans="3:4" x14ac:dyDescent="0.25">
      <c r="C276">
        <f>IF(ISBLANK('Gastos medicos y sepelios'!E276),0,YEAR('Gastos medicos y sepelios'!E276))</f>
        <v>2021</v>
      </c>
      <c r="D276">
        <v>1</v>
      </c>
    </row>
    <row r="277" spans="3:4" x14ac:dyDescent="0.25">
      <c r="C277">
        <f>IF(ISBLANK('Gastos medicos y sepelios'!E277),0,YEAR('Gastos medicos y sepelios'!E277))</f>
        <v>2021</v>
      </c>
      <c r="D277">
        <v>1</v>
      </c>
    </row>
    <row r="278" spans="3:4" x14ac:dyDescent="0.25">
      <c r="C278">
        <f>IF(ISBLANK('Gastos medicos y sepelios'!E278),0,YEAR('Gastos medicos y sepelios'!E278))</f>
        <v>2021</v>
      </c>
      <c r="D278">
        <v>1</v>
      </c>
    </row>
    <row r="279" spans="3:4" x14ac:dyDescent="0.25">
      <c r="C279">
        <f>IF(ISBLANK('Gastos medicos y sepelios'!E279),0,YEAR('Gastos medicos y sepelios'!E279))</f>
        <v>2021</v>
      </c>
      <c r="D279">
        <v>1</v>
      </c>
    </row>
    <row r="280" spans="3:4" x14ac:dyDescent="0.25">
      <c r="C280">
        <f>IF(ISBLANK('Gastos medicos y sepelios'!E280),0,YEAR('Gastos medicos y sepelios'!E280))</f>
        <v>2021</v>
      </c>
      <c r="D280">
        <v>1</v>
      </c>
    </row>
    <row r="281" spans="3:4" x14ac:dyDescent="0.25">
      <c r="C281">
        <f>IF(ISBLANK('Gastos medicos y sepelios'!E281),0,YEAR('Gastos medicos y sepelios'!E281))</f>
        <v>2021</v>
      </c>
      <c r="D281">
        <v>1</v>
      </c>
    </row>
    <row r="282" spans="3:4" x14ac:dyDescent="0.25">
      <c r="C282">
        <f>IF(ISBLANK('Gastos medicos y sepelios'!E282),0,YEAR('Gastos medicos y sepelios'!E282))</f>
        <v>2021</v>
      </c>
      <c r="D282">
        <v>1</v>
      </c>
    </row>
    <row r="283" spans="3:4" x14ac:dyDescent="0.25">
      <c r="C283">
        <f>IF(ISBLANK('Gastos medicos y sepelios'!E283),0,YEAR('Gastos medicos y sepelios'!E283))</f>
        <v>2021</v>
      </c>
      <c r="D283">
        <v>1</v>
      </c>
    </row>
    <row r="284" spans="3:4" x14ac:dyDescent="0.25">
      <c r="C284">
        <f>IF(ISBLANK('Gastos medicos y sepelios'!E284),0,YEAR('Gastos medicos y sepelios'!E284))</f>
        <v>2021</v>
      </c>
      <c r="D284">
        <v>1</v>
      </c>
    </row>
    <row r="285" spans="3:4" x14ac:dyDescent="0.25">
      <c r="C285">
        <f>IF(ISBLANK('Gastos medicos y sepelios'!E285),0,YEAR('Gastos medicos y sepelios'!E285))</f>
        <v>2021</v>
      </c>
      <c r="D285">
        <v>1</v>
      </c>
    </row>
    <row r="286" spans="3:4" x14ac:dyDescent="0.25">
      <c r="C286">
        <f>IF(ISBLANK('Gastos medicos y sepelios'!E286),0,YEAR('Gastos medicos y sepelios'!E286))</f>
        <v>2021</v>
      </c>
      <c r="D286">
        <v>1</v>
      </c>
    </row>
    <row r="287" spans="3:4" x14ac:dyDescent="0.25">
      <c r="C287">
        <f>IF(ISBLANK('Gastos medicos y sepelios'!E287),0,YEAR('Gastos medicos y sepelios'!E287))</f>
        <v>2021</v>
      </c>
      <c r="D287">
        <v>1</v>
      </c>
    </row>
    <row r="288" spans="3:4" x14ac:dyDescent="0.25">
      <c r="C288">
        <f>IF(ISBLANK('Gastos medicos y sepelios'!E288),0,YEAR('Gastos medicos y sepelios'!E288))</f>
        <v>2021</v>
      </c>
      <c r="D288">
        <v>1</v>
      </c>
    </row>
    <row r="289" spans="3:4" x14ac:dyDescent="0.25">
      <c r="C289">
        <f>IF(ISBLANK('Gastos medicos y sepelios'!E289),0,YEAR('Gastos medicos y sepelios'!E289))</f>
        <v>2021</v>
      </c>
      <c r="D289">
        <v>1</v>
      </c>
    </row>
    <row r="290" spans="3:4" x14ac:dyDescent="0.25">
      <c r="C290">
        <f>IF(ISBLANK('Gastos medicos y sepelios'!E290),0,YEAR('Gastos medicos y sepelios'!E290))</f>
        <v>2021</v>
      </c>
      <c r="D290">
        <v>1</v>
      </c>
    </row>
    <row r="291" spans="3:4" x14ac:dyDescent="0.25">
      <c r="C291">
        <f>IF(ISBLANK('Gastos medicos y sepelios'!E291),0,YEAR('Gastos medicos y sepelios'!E291))</f>
        <v>2021</v>
      </c>
      <c r="D291">
        <v>1</v>
      </c>
    </row>
    <row r="292" spans="3:4" x14ac:dyDescent="0.25">
      <c r="C292">
        <f>IF(ISBLANK('Gastos medicos y sepelios'!E292),0,YEAR('Gastos medicos y sepelios'!E292))</f>
        <v>2021</v>
      </c>
      <c r="D292">
        <v>1</v>
      </c>
    </row>
    <row r="293" spans="3:4" x14ac:dyDescent="0.25">
      <c r="C293">
        <f>IF(ISBLANK('Gastos medicos y sepelios'!E293),0,YEAR('Gastos medicos y sepelios'!E293))</f>
        <v>2021</v>
      </c>
      <c r="D293">
        <v>1</v>
      </c>
    </row>
    <row r="295" spans="3:4" x14ac:dyDescent="0.25">
      <c r="D295">
        <f>SUM(D4:D294)</f>
        <v>290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"/>
  <sheetViews>
    <sheetView workbookViewId="0">
      <selection activeCell="H16" sqref="H16"/>
    </sheetView>
  </sheetViews>
  <sheetFormatPr baseColWidth="10" defaultRowHeight="15" x14ac:dyDescent="0.25"/>
  <cols>
    <col min="4" max="4" width="26.140625" bestFit="1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+[1]Cobertura!A2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">
        <v>1043</v>
      </c>
      <c r="B3" s="113"/>
      <c r="C3" s="113"/>
      <c r="D3" s="113"/>
      <c r="E3" s="113"/>
      <c r="F3" s="113"/>
      <c r="G3" s="113"/>
    </row>
    <row r="4" spans="1:7" ht="20.25" x14ac:dyDescent="0.25">
      <c r="A4" s="34"/>
      <c r="B4" s="34"/>
      <c r="C4" s="34"/>
      <c r="D4" s="34"/>
      <c r="E4" s="34"/>
      <c r="F4" s="34"/>
      <c r="G4" s="34"/>
    </row>
    <row r="5" spans="1:7" ht="18" x14ac:dyDescent="0.25">
      <c r="A5" s="114" t="s">
        <v>1044</v>
      </c>
      <c r="B5" s="114"/>
      <c r="C5" s="114"/>
      <c r="D5" s="114"/>
      <c r="E5" s="114"/>
      <c r="F5" s="114"/>
      <c r="G5" s="114"/>
    </row>
    <row r="6" spans="1:7" ht="18" x14ac:dyDescent="0.25">
      <c r="A6" s="114" t="s">
        <v>1045</v>
      </c>
      <c r="B6" s="114"/>
      <c r="C6" s="114"/>
      <c r="D6" s="114"/>
      <c r="E6" s="114"/>
      <c r="F6" s="114"/>
      <c r="G6" s="114"/>
    </row>
    <row r="7" spans="1:7" x14ac:dyDescent="0.25">
      <c r="A7" s="32"/>
      <c r="B7" s="35" t="s">
        <v>1046</v>
      </c>
      <c r="C7" s="32"/>
      <c r="D7" s="32"/>
      <c r="E7" s="32"/>
      <c r="F7" s="32"/>
      <c r="G7" s="32"/>
    </row>
    <row r="8" spans="1:7" ht="15.75" thickBot="1" x14ac:dyDescent="0.3">
      <c r="A8" s="32"/>
      <c r="B8" s="32"/>
      <c r="C8" s="32"/>
      <c r="D8" s="32"/>
      <c r="E8" s="32"/>
      <c r="F8" s="32"/>
      <c r="G8" s="32"/>
    </row>
    <row r="9" spans="1:7" x14ac:dyDescent="0.25">
      <c r="A9" s="32"/>
      <c r="B9" s="36" t="s">
        <v>1047</v>
      </c>
      <c r="C9" s="36" t="s">
        <v>1048</v>
      </c>
      <c r="D9" s="37" t="s">
        <v>1049</v>
      </c>
      <c r="E9" s="37" t="s">
        <v>1050</v>
      </c>
      <c r="F9" s="37" t="s">
        <v>1051</v>
      </c>
      <c r="G9" s="32"/>
    </row>
    <row r="10" spans="1:7" x14ac:dyDescent="0.25">
      <c r="A10" s="32"/>
      <c r="B10" s="38" t="s">
        <v>1049</v>
      </c>
      <c r="C10" s="39">
        <f>SUM(E10:E108)</f>
        <v>290</v>
      </c>
      <c r="D10" s="40" t="s">
        <v>388</v>
      </c>
      <c r="E10" s="32">
        <f>+COUNTIF('Gastos medicos y sepelios'!$M$4:$M$299,Distrito!D10)</f>
        <v>1</v>
      </c>
      <c r="F10" s="41">
        <f>E10/$C$10*100</f>
        <v>0.34482758620689657</v>
      </c>
      <c r="G10" s="32"/>
    </row>
    <row r="11" spans="1:7" x14ac:dyDescent="0.25">
      <c r="A11" s="32"/>
      <c r="B11" s="32"/>
      <c r="C11" s="42"/>
      <c r="D11" s="40" t="s">
        <v>184</v>
      </c>
      <c r="E11" s="32">
        <f>+COUNTIF('Gastos medicos y sepelios'!$M$4:$M$299,Distrito!D11)</f>
        <v>1</v>
      </c>
      <c r="F11" s="41">
        <f t="shared" ref="F11:F25" si="0">E11/$C$10*100</f>
        <v>0.34482758620689657</v>
      </c>
      <c r="G11" s="32"/>
    </row>
    <row r="12" spans="1:7" x14ac:dyDescent="0.25">
      <c r="A12" s="32"/>
      <c r="B12" s="32"/>
      <c r="C12" s="42"/>
      <c r="D12" s="40" t="s">
        <v>123</v>
      </c>
      <c r="E12" s="32">
        <f>+COUNTIF('Gastos medicos y sepelios'!$M$4:$M$299,Distrito!D12)</f>
        <v>1</v>
      </c>
      <c r="F12" s="41">
        <f>E12/$C$10*100</f>
        <v>0.34482758620689657</v>
      </c>
      <c r="G12" s="32"/>
    </row>
    <row r="13" spans="1:7" x14ac:dyDescent="0.25">
      <c r="A13" s="32"/>
      <c r="B13" s="32"/>
      <c r="C13" s="32"/>
      <c r="D13" s="40" t="s">
        <v>870</v>
      </c>
      <c r="E13" s="32">
        <f>+COUNTIF('Gastos medicos y sepelios'!$M$4:$M$299,Distrito!D13)</f>
        <v>1</v>
      </c>
      <c r="F13" s="41">
        <f t="shared" si="0"/>
        <v>0.34482758620689657</v>
      </c>
      <c r="G13" s="32"/>
    </row>
    <row r="14" spans="1:7" x14ac:dyDescent="0.25">
      <c r="A14" s="32"/>
      <c r="B14" s="32"/>
      <c r="C14" s="32"/>
      <c r="D14" s="40" t="s">
        <v>906</v>
      </c>
      <c r="E14" s="32">
        <f>+COUNTIF('Gastos medicos y sepelios'!$M$4:$M$299,Distrito!D14)</f>
        <v>1</v>
      </c>
      <c r="F14" s="41">
        <f t="shared" si="0"/>
        <v>0.34482758620689657</v>
      </c>
      <c r="G14" s="32"/>
    </row>
    <row r="15" spans="1:7" x14ac:dyDescent="0.25">
      <c r="A15" s="32"/>
      <c r="B15" s="32"/>
      <c r="C15" s="32"/>
      <c r="D15" s="40" t="s">
        <v>389</v>
      </c>
      <c r="E15" s="32">
        <f>+COUNTIF('Gastos medicos y sepelios'!$M$4:$M$299,Distrito!D15)</f>
        <v>1</v>
      </c>
      <c r="F15" s="41">
        <f t="shared" si="0"/>
        <v>0.34482758620689657</v>
      </c>
      <c r="G15" s="32"/>
    </row>
    <row r="16" spans="1:7" x14ac:dyDescent="0.25">
      <c r="A16" s="32"/>
      <c r="B16" s="32"/>
      <c r="C16" s="32"/>
      <c r="D16" s="40" t="s">
        <v>261</v>
      </c>
      <c r="E16" s="32">
        <f>+COUNTIF('Gastos medicos y sepelios'!$M$4:$M$299,Distrito!D16)</f>
        <v>16</v>
      </c>
      <c r="F16" s="41">
        <f t="shared" si="0"/>
        <v>5.5172413793103452</v>
      </c>
      <c r="G16" s="32"/>
    </row>
    <row r="17" spans="1:7" x14ac:dyDescent="0.25">
      <c r="A17" s="32"/>
      <c r="B17" s="32"/>
      <c r="C17" s="32"/>
      <c r="D17" s="40" t="s">
        <v>255</v>
      </c>
      <c r="E17" s="32">
        <f>+COUNTIF('Gastos medicos y sepelios'!$M$4:$M$299,Distrito!D17)</f>
        <v>1</v>
      </c>
      <c r="F17" s="41">
        <f t="shared" si="0"/>
        <v>0.34482758620689657</v>
      </c>
      <c r="G17" s="32"/>
    </row>
    <row r="18" spans="1:7" x14ac:dyDescent="0.25">
      <c r="A18" s="32"/>
      <c r="B18" s="32"/>
      <c r="C18" s="32"/>
      <c r="D18" s="40" t="s">
        <v>174</v>
      </c>
      <c r="E18" s="32">
        <f>+COUNTIF('Gastos medicos y sepelios'!$M$4:$M$299,Distrito!D18)</f>
        <v>7</v>
      </c>
      <c r="F18" s="41">
        <f t="shared" si="0"/>
        <v>2.4137931034482758</v>
      </c>
      <c r="G18" s="32"/>
    </row>
    <row r="19" spans="1:7" x14ac:dyDescent="0.25">
      <c r="A19" s="32"/>
      <c r="B19" s="32"/>
      <c r="C19" s="32"/>
      <c r="D19" s="40" t="s">
        <v>577</v>
      </c>
      <c r="E19" s="32">
        <f>+COUNTIF('Gastos medicos y sepelios'!$M$4:$M$299,Distrito!D19)</f>
        <v>2</v>
      </c>
      <c r="F19" s="41">
        <f t="shared" si="0"/>
        <v>0.68965517241379315</v>
      </c>
      <c r="G19" s="32"/>
    </row>
    <row r="20" spans="1:7" x14ac:dyDescent="0.25">
      <c r="A20" s="32"/>
      <c r="B20" s="32"/>
      <c r="C20" s="32"/>
      <c r="D20" s="40" t="s">
        <v>453</v>
      </c>
      <c r="E20" s="32">
        <f>+COUNTIF('Gastos medicos y sepelios'!$M$4:$M$299,Distrito!D20)</f>
        <v>1</v>
      </c>
      <c r="F20" s="41">
        <f t="shared" si="0"/>
        <v>0.34482758620689657</v>
      </c>
      <c r="G20" s="32"/>
    </row>
    <row r="21" spans="1:7" x14ac:dyDescent="0.25">
      <c r="A21" s="32"/>
      <c r="B21" s="32"/>
      <c r="C21" s="32"/>
      <c r="D21" s="40" t="s">
        <v>754</v>
      </c>
      <c r="E21" s="32">
        <f>+COUNTIF('Gastos medicos y sepelios'!$M$4:$M$299,Distrito!D21)</f>
        <v>2</v>
      </c>
      <c r="F21" s="41">
        <f t="shared" si="0"/>
        <v>0.68965517241379315</v>
      </c>
      <c r="G21" s="32"/>
    </row>
    <row r="22" spans="1:7" x14ac:dyDescent="0.25">
      <c r="A22" s="32"/>
      <c r="B22" s="32"/>
      <c r="C22" s="32"/>
      <c r="D22" s="40" t="s">
        <v>95</v>
      </c>
      <c r="E22" s="32">
        <f>+COUNTIF('Gastos medicos y sepelios'!$M$4:$M$299,Distrito!D22)</f>
        <v>1</v>
      </c>
      <c r="F22" s="41">
        <f t="shared" si="0"/>
        <v>0.34482758620689657</v>
      </c>
      <c r="G22" s="32"/>
    </row>
    <row r="23" spans="1:7" x14ac:dyDescent="0.25">
      <c r="A23" s="32"/>
      <c r="B23" s="32"/>
      <c r="C23" s="32"/>
      <c r="D23" s="40" t="s">
        <v>239</v>
      </c>
      <c r="E23" s="32">
        <f>+COUNTIF('Gastos medicos y sepelios'!$M$4:$M$299,Distrito!D23)</f>
        <v>3</v>
      </c>
      <c r="F23" s="41">
        <f t="shared" si="0"/>
        <v>1.0344827586206897</v>
      </c>
      <c r="G23" s="32"/>
    </row>
    <row r="24" spans="1:7" x14ac:dyDescent="0.25">
      <c r="A24" s="32"/>
      <c r="B24" s="32"/>
      <c r="C24" s="32"/>
      <c r="D24" s="40" t="s">
        <v>223</v>
      </c>
      <c r="E24" s="32">
        <f>+COUNTIF('Gastos medicos y sepelios'!$M$4:$M$299,Distrito!D24)</f>
        <v>5</v>
      </c>
      <c r="F24" s="41">
        <f t="shared" si="0"/>
        <v>1.7241379310344827</v>
      </c>
      <c r="G24" s="32"/>
    </row>
    <row r="25" spans="1:7" x14ac:dyDescent="0.25">
      <c r="A25" s="32"/>
      <c r="B25" s="32"/>
      <c r="C25" s="32"/>
      <c r="D25" s="40" t="s">
        <v>705</v>
      </c>
      <c r="E25" s="32">
        <f>+COUNTIF('Gastos medicos y sepelios'!$M$4:$M$299,Distrito!D25)</f>
        <v>1</v>
      </c>
      <c r="F25" s="41">
        <f t="shared" si="0"/>
        <v>0.34482758620689657</v>
      </c>
      <c r="G25" s="32"/>
    </row>
    <row r="26" spans="1:7" x14ac:dyDescent="0.25">
      <c r="A26" s="32"/>
      <c r="B26" s="32"/>
      <c r="C26" s="32"/>
      <c r="D26" s="40" t="s">
        <v>127</v>
      </c>
      <c r="E26" s="32">
        <f>+COUNTIF('Gastos medicos y sepelios'!$M$4:$M$299,Distrito!D26)</f>
        <v>3</v>
      </c>
      <c r="F26" s="41">
        <f>E26/$C$10*100</f>
        <v>1.0344827586206897</v>
      </c>
      <c r="G26" s="32"/>
    </row>
    <row r="27" spans="1:7" x14ac:dyDescent="0.25">
      <c r="A27" s="32"/>
      <c r="B27" s="32"/>
      <c r="C27" s="32"/>
      <c r="D27" s="40" t="s">
        <v>740</v>
      </c>
      <c r="E27" s="32">
        <f>+COUNTIF('Gastos medicos y sepelios'!$M$4:$M$299,Distrito!D27)</f>
        <v>1</v>
      </c>
      <c r="F27" s="41">
        <f t="shared" ref="F27:F40" si="1">E27/$C$10*100</f>
        <v>0.34482758620689657</v>
      </c>
      <c r="G27" s="32"/>
    </row>
    <row r="28" spans="1:7" x14ac:dyDescent="0.25">
      <c r="A28" s="32"/>
      <c r="B28" s="32"/>
      <c r="C28" s="32"/>
      <c r="D28" s="40" t="s">
        <v>139</v>
      </c>
      <c r="E28" s="32">
        <f>+COUNTIF('Gastos medicos y sepelios'!$M$4:$M$299,Distrito!D28)</f>
        <v>2</v>
      </c>
      <c r="F28" s="41">
        <f>E28/$C$10*100</f>
        <v>0.68965517241379315</v>
      </c>
      <c r="G28" s="32"/>
    </row>
    <row r="29" spans="1:7" x14ac:dyDescent="0.25">
      <c r="A29" s="32"/>
      <c r="B29" s="32"/>
      <c r="C29" s="32"/>
      <c r="D29" s="40" t="s">
        <v>852</v>
      </c>
      <c r="E29" s="32">
        <f>+COUNTIF('Gastos medicos y sepelios'!$M$4:$M$299,Distrito!D29)</f>
        <v>1</v>
      </c>
      <c r="F29" s="41">
        <f t="shared" si="1"/>
        <v>0.34482758620689657</v>
      </c>
      <c r="G29" s="32"/>
    </row>
    <row r="30" spans="1:7" x14ac:dyDescent="0.25">
      <c r="A30" s="32"/>
      <c r="B30" s="32"/>
      <c r="C30" s="32"/>
      <c r="D30" s="40" t="s">
        <v>525</v>
      </c>
      <c r="E30" s="32">
        <f>+COUNTIF('Gastos medicos y sepelios'!$M$4:$M$299,Distrito!D30)</f>
        <v>2</v>
      </c>
      <c r="F30" s="41">
        <f>E30/$C$10*100</f>
        <v>0.68965517241379315</v>
      </c>
      <c r="G30" s="32"/>
    </row>
    <row r="31" spans="1:7" x14ac:dyDescent="0.25">
      <c r="A31" s="32"/>
      <c r="B31" s="32"/>
      <c r="C31" s="32"/>
      <c r="D31" s="40" t="s">
        <v>447</v>
      </c>
      <c r="E31" s="32">
        <f>+COUNTIF('Gastos medicos y sepelios'!$M$4:$M$299,Distrito!D31)</f>
        <v>2</v>
      </c>
      <c r="F31" s="41">
        <f t="shared" si="1"/>
        <v>0.68965517241379315</v>
      </c>
      <c r="G31" s="32"/>
    </row>
    <row r="32" spans="1:7" x14ac:dyDescent="0.25">
      <c r="A32" s="32"/>
      <c r="B32" s="32"/>
      <c r="C32" s="32"/>
      <c r="D32" s="40" t="s">
        <v>492</v>
      </c>
      <c r="E32" s="32">
        <f>+COUNTIF('Gastos medicos y sepelios'!$M$4:$M$299,Distrito!D32)</f>
        <v>1</v>
      </c>
      <c r="F32" s="41">
        <f t="shared" si="1"/>
        <v>0.34482758620689657</v>
      </c>
      <c r="G32" s="32"/>
    </row>
    <row r="33" spans="1:7" x14ac:dyDescent="0.25">
      <c r="A33" s="32"/>
      <c r="B33" s="32"/>
      <c r="C33" s="32"/>
      <c r="D33" s="40" t="s">
        <v>950</v>
      </c>
      <c r="E33" s="32">
        <f>+COUNTIF('Gastos medicos y sepelios'!$M$4:$M$299,Distrito!D33)</f>
        <v>2</v>
      </c>
      <c r="F33" s="41">
        <f t="shared" si="1"/>
        <v>0.68965517241379315</v>
      </c>
      <c r="G33" s="32"/>
    </row>
    <row r="34" spans="1:7" x14ac:dyDescent="0.25">
      <c r="A34" s="32"/>
      <c r="B34" s="32"/>
      <c r="C34" s="32"/>
      <c r="D34" s="40" t="s">
        <v>152</v>
      </c>
      <c r="E34" s="32">
        <f>+COUNTIF('Gastos medicos y sepelios'!$M$4:$M$299,Distrito!D34)</f>
        <v>9</v>
      </c>
      <c r="F34" s="41">
        <f t="shared" si="1"/>
        <v>3.103448275862069</v>
      </c>
      <c r="G34" s="32"/>
    </row>
    <row r="35" spans="1:7" x14ac:dyDescent="0.25">
      <c r="A35" s="32"/>
      <c r="B35" s="32"/>
      <c r="C35" s="32"/>
      <c r="D35" s="40" t="s">
        <v>662</v>
      </c>
      <c r="E35" s="32">
        <f>+COUNTIF('Gastos medicos y sepelios'!$M$4:$M$299,Distrito!D35)</f>
        <v>1</v>
      </c>
      <c r="F35" s="41">
        <f t="shared" si="1"/>
        <v>0.34482758620689657</v>
      </c>
      <c r="G35" s="32"/>
    </row>
    <row r="36" spans="1:7" x14ac:dyDescent="0.25">
      <c r="A36" s="32"/>
      <c r="B36" s="32"/>
      <c r="C36" s="32"/>
      <c r="D36" s="40" t="s">
        <v>328</v>
      </c>
      <c r="E36" s="32">
        <f>+COUNTIF('Gastos medicos y sepelios'!$M$4:$M$299,Distrito!D36)</f>
        <v>2</v>
      </c>
      <c r="F36" s="41">
        <f t="shared" si="1"/>
        <v>0.68965517241379315</v>
      </c>
      <c r="G36" s="32"/>
    </row>
    <row r="37" spans="1:7" x14ac:dyDescent="0.25">
      <c r="A37" s="32"/>
      <c r="B37" s="32"/>
      <c r="C37" s="32"/>
      <c r="D37" s="40" t="s">
        <v>102</v>
      </c>
      <c r="E37" s="32">
        <f>+COUNTIF('Gastos medicos y sepelios'!$M$4:$M$299,Distrito!D37)</f>
        <v>1</v>
      </c>
      <c r="F37" s="41">
        <f t="shared" si="1"/>
        <v>0.34482758620689657</v>
      </c>
      <c r="G37" s="32"/>
    </row>
    <row r="38" spans="1:7" x14ac:dyDescent="0.25">
      <c r="A38" s="32"/>
      <c r="B38" s="32"/>
      <c r="C38" s="32"/>
      <c r="D38" s="40" t="s">
        <v>638</v>
      </c>
      <c r="E38" s="32">
        <f>+COUNTIF('Gastos medicos y sepelios'!$M$4:$M$299,Distrito!D38)</f>
        <v>3</v>
      </c>
      <c r="F38" s="41">
        <f t="shared" si="1"/>
        <v>1.0344827586206897</v>
      </c>
      <c r="G38" s="32"/>
    </row>
    <row r="39" spans="1:7" x14ac:dyDescent="0.25">
      <c r="A39" s="32"/>
      <c r="B39" s="32"/>
      <c r="C39" s="32"/>
      <c r="D39" s="40" t="s">
        <v>246</v>
      </c>
      <c r="E39" s="32">
        <f>+COUNTIF('Gastos medicos y sepelios'!$M$4:$M$299,Distrito!D39)</f>
        <v>1</v>
      </c>
      <c r="F39" s="41">
        <f t="shared" si="1"/>
        <v>0.34482758620689657</v>
      </c>
      <c r="G39" s="32"/>
    </row>
    <row r="40" spans="1:7" x14ac:dyDescent="0.25">
      <c r="A40" s="32"/>
      <c r="B40" s="32"/>
      <c r="C40" s="32"/>
      <c r="D40" s="40" t="s">
        <v>51</v>
      </c>
      <c r="E40" s="32">
        <f>+COUNTIF('Gastos medicos y sepelios'!$M$4:$M$299,Distrito!D40)</f>
        <v>12</v>
      </c>
      <c r="F40" s="41">
        <f t="shared" si="1"/>
        <v>4.1379310344827589</v>
      </c>
      <c r="G40" s="32"/>
    </row>
    <row r="41" spans="1:7" x14ac:dyDescent="0.25">
      <c r="A41" s="32"/>
      <c r="B41" s="32"/>
      <c r="C41" s="32"/>
      <c r="D41" s="40" t="s">
        <v>196</v>
      </c>
      <c r="E41" s="32">
        <f>+COUNTIF('Gastos medicos y sepelios'!$M$4:$M$299,Distrito!D41)</f>
        <v>2</v>
      </c>
      <c r="F41" s="41">
        <f>E41/$C$10*100</f>
        <v>0.68965517241379315</v>
      </c>
      <c r="G41" s="32"/>
    </row>
    <row r="42" spans="1:7" x14ac:dyDescent="0.25">
      <c r="A42" s="32"/>
      <c r="B42" s="32"/>
      <c r="C42" s="32"/>
      <c r="D42" s="40" t="s">
        <v>620</v>
      </c>
      <c r="E42" s="32">
        <f>+COUNTIF('Gastos medicos y sepelios'!$M$4:$M$299,Distrito!D42)</f>
        <v>1</v>
      </c>
      <c r="F42" s="41">
        <f t="shared" ref="F42:F85" si="2">E42/$C$10*100</f>
        <v>0.34482758620689657</v>
      </c>
      <c r="G42" s="32"/>
    </row>
    <row r="43" spans="1:7" x14ac:dyDescent="0.25">
      <c r="A43" s="32"/>
      <c r="B43" s="32"/>
      <c r="C43" s="32"/>
      <c r="D43" s="40" t="s">
        <v>706</v>
      </c>
      <c r="E43" s="32">
        <f>+COUNTIF('Gastos medicos y sepelios'!$M$4:$M$299,Distrito!D43)</f>
        <v>2</v>
      </c>
      <c r="F43" s="41">
        <f t="shared" si="2"/>
        <v>0.68965517241379315</v>
      </c>
      <c r="G43" s="32"/>
    </row>
    <row r="44" spans="1:7" x14ac:dyDescent="0.25">
      <c r="A44" s="32"/>
      <c r="B44" s="32"/>
      <c r="C44" s="32"/>
      <c r="D44" s="40" t="s">
        <v>65</v>
      </c>
      <c r="E44" s="32">
        <f>+COUNTIF('Gastos medicos y sepelios'!$M$4:$M$299,Distrito!D44)</f>
        <v>8</v>
      </c>
      <c r="F44" s="41">
        <f t="shared" si="2"/>
        <v>2.7586206896551726</v>
      </c>
      <c r="G44" s="32"/>
    </row>
    <row r="45" spans="1:7" x14ac:dyDescent="0.25">
      <c r="A45" s="32"/>
      <c r="B45" s="32"/>
      <c r="C45" s="32"/>
      <c r="D45" s="40" t="s">
        <v>611</v>
      </c>
      <c r="E45" s="32">
        <f>+COUNTIF('Gastos medicos y sepelios'!$M$4:$M$299,Distrito!D45)</f>
        <v>1</v>
      </c>
      <c r="F45" s="41">
        <f t="shared" si="2"/>
        <v>0.34482758620689657</v>
      </c>
      <c r="G45" s="32"/>
    </row>
    <row r="46" spans="1:7" x14ac:dyDescent="0.25">
      <c r="A46" s="32"/>
      <c r="B46" s="32"/>
      <c r="C46" s="32"/>
      <c r="D46" s="40" t="s">
        <v>310</v>
      </c>
      <c r="E46" s="32">
        <f>+COUNTIF('Gastos medicos y sepelios'!$M$4:$M$299,Distrito!D46)</f>
        <v>1</v>
      </c>
      <c r="F46" s="41">
        <f t="shared" si="2"/>
        <v>0.34482758620689657</v>
      </c>
      <c r="G46" s="32"/>
    </row>
    <row r="47" spans="1:7" x14ac:dyDescent="0.25">
      <c r="A47" s="32"/>
      <c r="B47" s="32"/>
      <c r="C47" s="32"/>
      <c r="D47" s="40" t="s">
        <v>576</v>
      </c>
      <c r="E47" s="32">
        <f>+COUNTIF('Gastos medicos y sepelios'!$M$4:$M$299,Distrito!D47)</f>
        <v>1</v>
      </c>
      <c r="F47" s="41">
        <f t="shared" si="2"/>
        <v>0.34482758620689657</v>
      </c>
      <c r="G47" s="32"/>
    </row>
    <row r="48" spans="1:7" x14ac:dyDescent="0.25">
      <c r="A48" s="32"/>
      <c r="B48" s="32"/>
      <c r="C48" s="32"/>
      <c r="D48" s="40" t="s">
        <v>236</v>
      </c>
      <c r="E48" s="32">
        <f>+COUNTIF('Gastos medicos y sepelios'!$M$4:$M$299,Distrito!D48)</f>
        <v>4</v>
      </c>
      <c r="F48" s="41">
        <f t="shared" si="2"/>
        <v>1.3793103448275863</v>
      </c>
      <c r="G48" s="32"/>
    </row>
    <row r="49" spans="1:7" x14ac:dyDescent="0.25">
      <c r="A49" s="32"/>
      <c r="B49" s="32"/>
      <c r="C49" s="32"/>
      <c r="D49" s="40" t="s">
        <v>25</v>
      </c>
      <c r="E49" s="32">
        <f>+COUNTIF('Gastos medicos y sepelios'!$M$4:$M$299,Distrito!D49)</f>
        <v>14</v>
      </c>
      <c r="F49" s="41">
        <f t="shared" si="2"/>
        <v>4.8275862068965516</v>
      </c>
      <c r="G49" s="32"/>
    </row>
    <row r="50" spans="1:7" x14ac:dyDescent="0.25">
      <c r="A50" s="32"/>
      <c r="B50" s="32"/>
      <c r="C50" s="32"/>
      <c r="D50" s="40" t="s">
        <v>593</v>
      </c>
      <c r="E50" s="32">
        <f>+COUNTIF('Gastos medicos y sepelios'!$M$4:$M$299,Distrito!D50)</f>
        <v>5</v>
      </c>
      <c r="F50" s="41">
        <f t="shared" si="2"/>
        <v>1.7241379310344827</v>
      </c>
      <c r="G50" s="32"/>
    </row>
    <row r="51" spans="1:7" x14ac:dyDescent="0.25">
      <c r="A51" s="32"/>
      <c r="B51" s="32"/>
      <c r="C51" s="32"/>
      <c r="D51" s="40" t="s">
        <v>203</v>
      </c>
      <c r="E51" s="32">
        <f>+COUNTIF('Gastos medicos y sepelios'!$M$4:$M$299,Distrito!D51)</f>
        <v>2</v>
      </c>
      <c r="F51" s="41">
        <f t="shared" si="2"/>
        <v>0.68965517241379315</v>
      </c>
      <c r="G51" s="32"/>
    </row>
    <row r="52" spans="1:7" x14ac:dyDescent="0.25">
      <c r="A52" s="32"/>
      <c r="B52" s="32"/>
      <c r="C52" s="32"/>
      <c r="D52" s="40" t="s">
        <v>507</v>
      </c>
      <c r="E52" s="32">
        <f>+COUNTIF('Gastos medicos y sepelios'!$M$4:$M$299,Distrito!D52)</f>
        <v>1</v>
      </c>
      <c r="F52" s="41">
        <f t="shared" si="2"/>
        <v>0.34482758620689657</v>
      </c>
      <c r="G52" s="32"/>
    </row>
    <row r="53" spans="1:7" x14ac:dyDescent="0.25">
      <c r="A53" s="32"/>
      <c r="B53" s="32"/>
      <c r="C53" s="32"/>
      <c r="D53" s="40" t="s">
        <v>607</v>
      </c>
      <c r="E53" s="32">
        <f>+COUNTIF('Gastos medicos y sepelios'!$M$4:$M$299,Distrito!D53)</f>
        <v>1</v>
      </c>
      <c r="F53" s="41">
        <f t="shared" si="2"/>
        <v>0.34482758620689657</v>
      </c>
      <c r="G53" s="32"/>
    </row>
    <row r="54" spans="1:7" x14ac:dyDescent="0.25">
      <c r="A54" s="32"/>
      <c r="B54" s="32"/>
      <c r="C54" s="32"/>
      <c r="D54" s="40" t="s">
        <v>43</v>
      </c>
      <c r="E54" s="32">
        <f>+COUNTIF('Gastos medicos y sepelios'!$M$4:$M$299,Distrito!D54)</f>
        <v>6</v>
      </c>
      <c r="F54" s="41">
        <f>E54/$C$10*100</f>
        <v>2.0689655172413794</v>
      </c>
      <c r="G54" s="32"/>
    </row>
    <row r="55" spans="1:7" x14ac:dyDescent="0.25">
      <c r="A55" s="32"/>
      <c r="B55" s="32"/>
      <c r="C55" s="32"/>
      <c r="D55" s="40" t="s">
        <v>148</v>
      </c>
      <c r="E55" s="32">
        <f>+COUNTIF('Gastos medicos y sepelios'!$M$4:$M$299,Distrito!D55)</f>
        <v>4</v>
      </c>
      <c r="F55" s="41">
        <f t="shared" si="2"/>
        <v>1.3793103448275863</v>
      </c>
      <c r="G55" s="32"/>
    </row>
    <row r="56" spans="1:7" x14ac:dyDescent="0.25">
      <c r="A56" s="32"/>
      <c r="B56" s="32"/>
      <c r="C56" s="32"/>
      <c r="D56" s="40" t="s">
        <v>179</v>
      </c>
      <c r="E56" s="32">
        <f>+COUNTIF('Gastos medicos y sepelios'!$M$4:$M$299,Distrito!D56)</f>
        <v>1</v>
      </c>
      <c r="F56" s="41">
        <f>E56/$C$10*100</f>
        <v>0.34482758620689657</v>
      </c>
      <c r="G56" s="32"/>
    </row>
    <row r="57" spans="1:7" x14ac:dyDescent="0.25">
      <c r="A57" s="32"/>
      <c r="B57" s="32"/>
      <c r="C57" s="32"/>
      <c r="D57" s="40" t="s">
        <v>210</v>
      </c>
      <c r="E57" s="32">
        <f>+COUNTIF('Gastos medicos y sepelios'!$M$4:$M$299,Distrito!D57)</f>
        <v>2</v>
      </c>
      <c r="F57" s="41">
        <f t="shared" si="2"/>
        <v>0.68965517241379315</v>
      </c>
      <c r="G57" s="32"/>
    </row>
    <row r="58" spans="1:7" x14ac:dyDescent="0.25">
      <c r="A58" s="32"/>
      <c r="B58" s="32"/>
      <c r="C58" s="32"/>
      <c r="D58" s="40" t="s">
        <v>666</v>
      </c>
      <c r="E58" s="32">
        <f>+COUNTIF('Gastos medicos y sepelios'!$M$4:$M$299,Distrito!D58)</f>
        <v>4</v>
      </c>
      <c r="F58" s="41">
        <f t="shared" si="2"/>
        <v>1.3793103448275863</v>
      </c>
      <c r="G58" s="32"/>
    </row>
    <row r="59" spans="1:7" x14ac:dyDescent="0.25">
      <c r="A59" s="32"/>
      <c r="B59" s="32"/>
      <c r="C59" s="32"/>
      <c r="D59" s="40" t="s">
        <v>166</v>
      </c>
      <c r="E59" s="32">
        <f>+COUNTIF('Gastos medicos y sepelios'!$M$4:$M$299,Distrito!D59)</f>
        <v>3</v>
      </c>
      <c r="F59" s="41">
        <f t="shared" si="2"/>
        <v>1.0344827586206897</v>
      </c>
      <c r="G59" s="32"/>
    </row>
    <row r="60" spans="1:7" x14ac:dyDescent="0.25">
      <c r="A60" s="32"/>
      <c r="B60" s="32"/>
      <c r="C60" s="32"/>
      <c r="D60" s="40" t="s">
        <v>26</v>
      </c>
      <c r="E60" s="32">
        <f>+COUNTIF('Gastos medicos y sepelios'!$M$4:$M$299,Distrito!D60)</f>
        <v>3</v>
      </c>
      <c r="F60" s="41">
        <f t="shared" si="2"/>
        <v>1.0344827586206897</v>
      </c>
      <c r="G60" s="32"/>
    </row>
    <row r="61" spans="1:7" x14ac:dyDescent="0.25">
      <c r="A61" s="32"/>
      <c r="B61" s="32"/>
      <c r="C61" s="32"/>
      <c r="D61" s="40" t="s">
        <v>650</v>
      </c>
      <c r="E61" s="32">
        <f>+COUNTIF('Gastos medicos y sepelios'!$M$4:$M$299,Distrito!D61)</f>
        <v>1</v>
      </c>
      <c r="F61" s="41">
        <f t="shared" si="2"/>
        <v>0.34482758620689657</v>
      </c>
      <c r="G61" s="32"/>
    </row>
    <row r="62" spans="1:7" x14ac:dyDescent="0.25">
      <c r="A62" s="32"/>
      <c r="B62" s="32"/>
      <c r="C62" s="32"/>
      <c r="D62" s="40" t="s">
        <v>171</v>
      </c>
      <c r="E62" s="32">
        <f>+COUNTIF('Gastos medicos y sepelios'!$M$4:$M$299,Distrito!D62)</f>
        <v>4</v>
      </c>
      <c r="F62" s="41">
        <f t="shared" si="2"/>
        <v>1.3793103448275863</v>
      </c>
      <c r="G62" s="32"/>
    </row>
    <row r="63" spans="1:7" x14ac:dyDescent="0.25">
      <c r="A63" s="32"/>
      <c r="B63" s="32"/>
      <c r="C63" s="32"/>
      <c r="D63" s="40" t="s">
        <v>153</v>
      </c>
      <c r="E63" s="32">
        <f>+COUNTIF('Gastos medicos y sepelios'!$M$4:$M$299,Distrito!D63)</f>
        <v>3</v>
      </c>
      <c r="F63" s="41">
        <f>E63/$C$10*100</f>
        <v>1.0344827586206897</v>
      </c>
      <c r="G63" s="32"/>
    </row>
    <row r="64" spans="1:7" x14ac:dyDescent="0.25">
      <c r="A64" s="32"/>
      <c r="B64" s="32"/>
      <c r="C64" s="32"/>
      <c r="D64" s="40" t="s">
        <v>36</v>
      </c>
      <c r="E64" s="32">
        <f>+COUNTIF('Gastos medicos y sepelios'!$M$4:$M$299,Distrito!D64)</f>
        <v>24</v>
      </c>
      <c r="F64" s="41">
        <f>E64/$C$10*100</f>
        <v>8.2758620689655178</v>
      </c>
      <c r="G64" s="32"/>
    </row>
    <row r="65" spans="1:7" x14ac:dyDescent="0.25">
      <c r="A65" s="32"/>
      <c r="B65" s="32"/>
      <c r="C65" s="32"/>
      <c r="D65" s="40" t="s">
        <v>556</v>
      </c>
      <c r="E65" s="32">
        <f>+COUNTIF('Gastos medicos y sepelios'!$M$4:$M$299,Distrito!D65)</f>
        <v>1</v>
      </c>
      <c r="F65" s="41">
        <f t="shared" si="2"/>
        <v>0.34482758620689657</v>
      </c>
      <c r="G65" s="32"/>
    </row>
    <row r="66" spans="1:7" x14ac:dyDescent="0.25">
      <c r="A66" s="32"/>
      <c r="B66" s="32"/>
      <c r="C66" s="32"/>
      <c r="D66" s="40" t="s">
        <v>351</v>
      </c>
      <c r="E66" s="32">
        <f>+COUNTIF('Gastos medicos y sepelios'!$M$4:$M$299,Distrito!D66)</f>
        <v>3</v>
      </c>
      <c r="F66" s="41">
        <f t="shared" si="2"/>
        <v>1.0344827586206897</v>
      </c>
      <c r="G66" s="32"/>
    </row>
    <row r="67" spans="1:7" x14ac:dyDescent="0.25">
      <c r="A67" s="32"/>
      <c r="B67" s="32"/>
      <c r="C67" s="32"/>
      <c r="D67" s="40" t="s">
        <v>430</v>
      </c>
      <c r="E67" s="32">
        <f>+COUNTIF('Gastos medicos y sepelios'!$M$4:$M$299,Distrito!D67)</f>
        <v>2</v>
      </c>
      <c r="F67" s="41">
        <f t="shared" si="2"/>
        <v>0.68965517241379315</v>
      </c>
      <c r="G67" s="32"/>
    </row>
    <row r="68" spans="1:7" x14ac:dyDescent="0.25">
      <c r="A68" s="32"/>
      <c r="B68" s="32"/>
      <c r="C68" s="32"/>
      <c r="D68" s="40" t="s">
        <v>340</v>
      </c>
      <c r="E68" s="32">
        <f>+COUNTIF('Gastos medicos y sepelios'!$M$4:$M$299,Distrito!D68)</f>
        <v>2</v>
      </c>
      <c r="F68" s="41">
        <f>E68/$C$10*100</f>
        <v>0.68965517241379315</v>
      </c>
      <c r="G68" s="32"/>
    </row>
    <row r="69" spans="1:7" x14ac:dyDescent="0.25">
      <c r="A69" s="32"/>
      <c r="B69" s="32"/>
      <c r="C69" s="32"/>
      <c r="D69" s="40" t="s">
        <v>713</v>
      </c>
      <c r="E69" s="32">
        <f>+COUNTIF('Gastos medicos y sepelios'!$M$4:$M$299,Distrito!D69)</f>
        <v>1</v>
      </c>
      <c r="F69" s="41">
        <f t="shared" si="2"/>
        <v>0.34482758620689657</v>
      </c>
      <c r="G69" s="32"/>
    </row>
    <row r="70" spans="1:7" x14ac:dyDescent="0.25">
      <c r="A70" s="32"/>
      <c r="B70" s="32"/>
      <c r="C70" s="32"/>
      <c r="D70" s="40" t="s">
        <v>434</v>
      </c>
      <c r="E70" s="32">
        <f>+COUNTIF('Gastos medicos y sepelios'!$M$4:$M$299,Distrito!D70)</f>
        <v>1</v>
      </c>
      <c r="F70" s="41">
        <f t="shared" si="2"/>
        <v>0.34482758620689657</v>
      </c>
      <c r="G70" s="32"/>
    </row>
    <row r="71" spans="1:7" x14ac:dyDescent="0.25">
      <c r="A71" s="32"/>
      <c r="B71" s="32"/>
      <c r="C71" s="32"/>
      <c r="D71" s="40" t="s">
        <v>797</v>
      </c>
      <c r="E71" s="32">
        <f>+COUNTIF('Gastos medicos y sepelios'!$M$4:$M$299,Distrito!D71)</f>
        <v>2</v>
      </c>
      <c r="F71" s="41">
        <f t="shared" si="2"/>
        <v>0.68965517241379315</v>
      </c>
      <c r="G71" s="32"/>
    </row>
    <row r="72" spans="1:7" x14ac:dyDescent="0.25">
      <c r="A72" s="32"/>
      <c r="B72" s="32"/>
      <c r="C72" s="32"/>
      <c r="D72" s="40" t="s">
        <v>382</v>
      </c>
      <c r="E72" s="32">
        <f>+COUNTIF('Gastos medicos y sepelios'!$M$4:$M$299,Distrito!D72)</f>
        <v>1</v>
      </c>
      <c r="F72" s="41">
        <f t="shared" si="2"/>
        <v>0.34482758620689657</v>
      </c>
      <c r="G72" s="32"/>
    </row>
    <row r="73" spans="1:7" x14ac:dyDescent="0.25">
      <c r="A73" s="32"/>
      <c r="B73" s="32"/>
      <c r="C73" s="32"/>
      <c r="D73" s="40" t="s">
        <v>336</v>
      </c>
      <c r="E73" s="32">
        <f>+COUNTIF('Gastos medicos y sepelios'!$M$4:$M$299,Distrito!D73)</f>
        <v>1</v>
      </c>
      <c r="F73" s="41">
        <f t="shared" si="2"/>
        <v>0.34482758620689657</v>
      </c>
      <c r="G73" s="32"/>
    </row>
    <row r="74" spans="1:7" x14ac:dyDescent="0.25">
      <c r="A74" s="32"/>
      <c r="B74" s="32"/>
      <c r="C74" s="32"/>
      <c r="D74" s="40" t="s">
        <v>516</v>
      </c>
      <c r="E74" s="32">
        <f>+COUNTIF('Gastos medicos y sepelios'!$M$4:$M$299,Distrito!D74)</f>
        <v>3</v>
      </c>
      <c r="F74" s="41">
        <f t="shared" si="2"/>
        <v>1.0344827586206897</v>
      </c>
      <c r="G74" s="32"/>
    </row>
    <row r="75" spans="1:7" x14ac:dyDescent="0.25">
      <c r="A75" s="32"/>
      <c r="B75" s="32"/>
      <c r="C75" s="32"/>
      <c r="D75" s="40" t="s">
        <v>686</v>
      </c>
      <c r="E75" s="32">
        <f>+COUNTIF('Gastos medicos y sepelios'!$M$4:$M$299,Distrito!D75)</f>
        <v>1</v>
      </c>
      <c r="F75" s="41">
        <f t="shared" si="2"/>
        <v>0.34482758620689657</v>
      </c>
      <c r="G75" s="32"/>
    </row>
    <row r="76" spans="1:7" x14ac:dyDescent="0.25">
      <c r="A76" s="32"/>
      <c r="B76" s="32"/>
      <c r="C76" s="32"/>
      <c r="D76" s="40" t="s">
        <v>672</v>
      </c>
      <c r="E76" s="32">
        <f>+COUNTIF('Gastos medicos y sepelios'!$M$4:$M$299,Distrito!D76)</f>
        <v>1</v>
      </c>
      <c r="F76" s="41">
        <f t="shared" si="2"/>
        <v>0.34482758620689657</v>
      </c>
      <c r="G76" s="32"/>
    </row>
    <row r="77" spans="1:7" x14ac:dyDescent="0.25">
      <c r="A77" s="32"/>
      <c r="B77" s="32"/>
      <c r="C77" s="32"/>
      <c r="D77" s="40" t="s">
        <v>409</v>
      </c>
      <c r="E77" s="32">
        <f>+COUNTIF('Gastos medicos y sepelios'!$M$4:$M$299,Distrito!D77)</f>
        <v>1</v>
      </c>
      <c r="F77" s="41">
        <f t="shared" si="2"/>
        <v>0.34482758620689657</v>
      </c>
      <c r="G77" s="32"/>
    </row>
    <row r="78" spans="1:7" x14ac:dyDescent="0.25">
      <c r="A78" s="32"/>
      <c r="B78" s="32"/>
      <c r="C78" s="32"/>
      <c r="D78" s="40" t="s">
        <v>113</v>
      </c>
      <c r="E78" s="32">
        <f>+COUNTIF('Gastos medicos y sepelios'!$M$4:$M$299,Distrito!D78)</f>
        <v>2</v>
      </c>
      <c r="F78" s="41">
        <f t="shared" si="2"/>
        <v>0.68965517241379315</v>
      </c>
      <c r="G78" s="32"/>
    </row>
    <row r="79" spans="1:7" x14ac:dyDescent="0.25">
      <c r="A79" s="32"/>
      <c r="B79" s="32"/>
      <c r="C79" s="32"/>
      <c r="D79" s="40" t="s">
        <v>78</v>
      </c>
      <c r="E79" s="32">
        <f>+COUNTIF('Gastos medicos y sepelios'!$M$4:$M$299,Distrito!D79)</f>
        <v>3</v>
      </c>
      <c r="F79" s="41">
        <f t="shared" si="2"/>
        <v>1.0344827586206897</v>
      </c>
      <c r="G79" s="32"/>
    </row>
    <row r="80" spans="1:7" x14ac:dyDescent="0.25">
      <c r="A80" s="32"/>
      <c r="B80" s="32"/>
      <c r="C80" s="32"/>
      <c r="D80" s="40" t="s">
        <v>229</v>
      </c>
      <c r="E80" s="32">
        <f>+COUNTIF('Gastos medicos y sepelios'!$M$4:$M$299,Distrito!D80)</f>
        <v>1</v>
      </c>
      <c r="F80" s="41">
        <f t="shared" si="2"/>
        <v>0.34482758620689657</v>
      </c>
      <c r="G80" s="32"/>
    </row>
    <row r="81" spans="1:7" x14ac:dyDescent="0.25">
      <c r="A81" s="32"/>
      <c r="B81" s="32"/>
      <c r="C81" s="32"/>
      <c r="D81" s="40" t="s">
        <v>297</v>
      </c>
      <c r="E81" s="32">
        <f>+COUNTIF('Gastos medicos y sepelios'!$M$4:$M$299,Distrito!D81)</f>
        <v>1</v>
      </c>
      <c r="F81" s="41">
        <f t="shared" si="2"/>
        <v>0.34482758620689657</v>
      </c>
      <c r="G81" s="32"/>
    </row>
    <row r="82" spans="1:7" x14ac:dyDescent="0.25">
      <c r="A82" s="32"/>
      <c r="B82" s="32"/>
      <c r="C82" s="32"/>
      <c r="D82" s="40" t="s">
        <v>167</v>
      </c>
      <c r="E82" s="32">
        <f>+COUNTIF('Gastos medicos y sepelios'!$M$4:$M$299,Distrito!D82)</f>
        <v>5</v>
      </c>
      <c r="F82" s="41">
        <f t="shared" si="2"/>
        <v>1.7241379310344827</v>
      </c>
      <c r="G82" s="32"/>
    </row>
    <row r="83" spans="1:7" x14ac:dyDescent="0.25">
      <c r="A83" s="32"/>
      <c r="B83" s="32"/>
      <c r="C83" s="32"/>
      <c r="D83" s="40" t="s">
        <v>793</v>
      </c>
      <c r="E83" s="32">
        <f>+COUNTIF('Gastos medicos y sepelios'!$M$4:$M$299,Distrito!D83)</f>
        <v>1</v>
      </c>
      <c r="F83" s="41">
        <f>E83/$C$10*100</f>
        <v>0.34482758620689657</v>
      </c>
      <c r="G83" s="32"/>
    </row>
    <row r="84" spans="1:7" x14ac:dyDescent="0.25">
      <c r="A84" s="32"/>
      <c r="B84" s="32"/>
      <c r="C84" s="32"/>
      <c r="D84" s="40" t="s">
        <v>242</v>
      </c>
      <c r="E84" s="32">
        <f>+COUNTIF('Gastos medicos y sepelios'!$M$4:$M$299,Distrito!D84)</f>
        <v>5</v>
      </c>
      <c r="F84" s="41">
        <f>E84/$C$10*100</f>
        <v>1.7241379310344827</v>
      </c>
      <c r="G84" s="32"/>
    </row>
    <row r="85" spans="1:7" x14ac:dyDescent="0.25">
      <c r="A85" s="32"/>
      <c r="B85" s="32"/>
      <c r="C85" s="32"/>
      <c r="D85" s="40" t="s">
        <v>283</v>
      </c>
      <c r="E85" s="32">
        <f>+COUNTIF('Gastos medicos y sepelios'!$M$4:$M$299,Distrito!D85)</f>
        <v>3</v>
      </c>
      <c r="F85" s="41">
        <f t="shared" si="2"/>
        <v>1.0344827586206897</v>
      </c>
      <c r="G85" s="32"/>
    </row>
    <row r="86" spans="1:7" x14ac:dyDescent="0.25">
      <c r="A86" s="32"/>
      <c r="B86" s="32"/>
      <c r="C86" s="32"/>
      <c r="D86" s="40" t="s">
        <v>147</v>
      </c>
      <c r="E86" s="32">
        <f>+COUNTIF('Gastos medicos y sepelios'!$M$4:$M$299,Distrito!D86)</f>
        <v>1</v>
      </c>
      <c r="F86" s="41">
        <f>E86/$C$10*100</f>
        <v>0.34482758620689657</v>
      </c>
      <c r="G86" s="32"/>
    </row>
    <row r="87" spans="1:7" x14ac:dyDescent="0.25">
      <c r="A87" s="32"/>
      <c r="B87" s="32"/>
      <c r="C87" s="32"/>
      <c r="D87" s="40" t="s">
        <v>855</v>
      </c>
      <c r="E87" s="32">
        <f>+COUNTIF('Gastos medicos y sepelios'!$M$4:$M$299,Distrito!D87)</f>
        <v>1</v>
      </c>
      <c r="F87" s="41">
        <f t="shared" ref="F87:F106" si="3">E87/$C$10*100</f>
        <v>0.34482758620689657</v>
      </c>
      <c r="G87" s="32"/>
    </row>
    <row r="88" spans="1:7" x14ac:dyDescent="0.25">
      <c r="A88" s="32"/>
      <c r="B88" s="32"/>
      <c r="C88" s="32"/>
      <c r="D88" s="40" t="s">
        <v>35</v>
      </c>
      <c r="E88" s="32">
        <f>+COUNTIF('Gastos medicos y sepelios'!$M$4:$M$299,Distrito!D88)</f>
        <v>10</v>
      </c>
      <c r="F88" s="41">
        <f>E88/$C$10*100</f>
        <v>3.4482758620689653</v>
      </c>
      <c r="G88" s="32"/>
    </row>
    <row r="89" spans="1:7" x14ac:dyDescent="0.25">
      <c r="A89" s="32"/>
      <c r="B89" s="32"/>
      <c r="C89" s="32"/>
      <c r="D89" s="40" t="s">
        <v>318</v>
      </c>
      <c r="E89" s="32">
        <f>+COUNTIF('Gastos medicos y sepelios'!$M$4:$M$299,Distrito!D89)</f>
        <v>5</v>
      </c>
      <c r="F89" s="41">
        <f>E89/$C$10*100</f>
        <v>1.7241379310344827</v>
      </c>
      <c r="G89" s="32"/>
    </row>
    <row r="90" spans="1:7" x14ac:dyDescent="0.25">
      <c r="A90" s="32"/>
      <c r="B90" s="32"/>
      <c r="C90" s="32"/>
      <c r="D90" s="40" t="s">
        <v>616</v>
      </c>
      <c r="E90" s="32">
        <f>+COUNTIF('Gastos medicos y sepelios'!$M$4:$M$299,Distrito!D90)</f>
        <v>4</v>
      </c>
      <c r="F90" s="41">
        <f t="shared" si="3"/>
        <v>1.3793103448275863</v>
      </c>
      <c r="G90" s="32"/>
    </row>
    <row r="91" spans="1:7" x14ac:dyDescent="0.25">
      <c r="A91" s="32"/>
      <c r="B91" s="32"/>
      <c r="C91" s="32"/>
      <c r="D91" s="40" t="s">
        <v>266</v>
      </c>
      <c r="E91" s="32">
        <f>+COUNTIF('Gastos medicos y sepelios'!$M$4:$M$299,Distrito!D91)</f>
        <v>7</v>
      </c>
      <c r="F91" s="41">
        <f t="shared" si="3"/>
        <v>2.4137931034482758</v>
      </c>
      <c r="G91" s="32"/>
    </row>
    <row r="92" spans="1:7" x14ac:dyDescent="0.25">
      <c r="A92" s="32"/>
      <c r="B92" s="32"/>
      <c r="C92" s="32"/>
      <c r="D92" s="40" t="s">
        <v>122</v>
      </c>
      <c r="E92" s="32">
        <f>+COUNTIF('Gastos medicos y sepelios'!$M$4:$M$299,Distrito!D92)</f>
        <v>1</v>
      </c>
      <c r="F92" s="41">
        <f t="shared" si="3"/>
        <v>0.34482758620689657</v>
      </c>
      <c r="G92" s="32"/>
    </row>
    <row r="93" spans="1:7" x14ac:dyDescent="0.25">
      <c r="A93" s="32"/>
      <c r="B93" s="32"/>
      <c r="C93" s="32"/>
      <c r="D93" s="40" t="s">
        <v>64</v>
      </c>
      <c r="E93" s="32">
        <f>+COUNTIF('Gastos medicos y sepelios'!$M$4:$M$299,Distrito!D93)</f>
        <v>5</v>
      </c>
      <c r="F93" s="41">
        <f>E93/$C$10*100</f>
        <v>1.7241379310344827</v>
      </c>
      <c r="G93" s="32"/>
    </row>
    <row r="94" spans="1:7" x14ac:dyDescent="0.25">
      <c r="A94" s="32"/>
      <c r="B94" s="32"/>
      <c r="C94" s="32"/>
      <c r="D94" s="40" t="s">
        <v>83</v>
      </c>
      <c r="E94" s="32">
        <f>+COUNTIF('Gastos medicos y sepelios'!$M$4:$M$299,Distrito!D94)</f>
        <v>3</v>
      </c>
      <c r="F94" s="41">
        <f>E94/$C$10*100</f>
        <v>1.0344827586206897</v>
      </c>
      <c r="G94" s="32"/>
    </row>
    <row r="95" spans="1:7" x14ac:dyDescent="0.25">
      <c r="A95" s="32"/>
      <c r="B95" s="43"/>
      <c r="C95" s="43"/>
      <c r="D95" s="40" t="s">
        <v>464</v>
      </c>
      <c r="E95" s="32">
        <f>+COUNTIF('Gastos medicos y sepelios'!$M$4:$M$299,Distrito!D95)</f>
        <v>1</v>
      </c>
      <c r="F95" s="41">
        <f t="shared" si="3"/>
        <v>0.34482758620689657</v>
      </c>
      <c r="G95" s="32"/>
    </row>
    <row r="96" spans="1:7" x14ac:dyDescent="0.25">
      <c r="A96" s="32"/>
      <c r="B96" s="43"/>
      <c r="C96" s="43"/>
      <c r="D96" s="40" t="s">
        <v>363</v>
      </c>
      <c r="E96" s="32">
        <f>+COUNTIF('Gastos medicos y sepelios'!$M$4:$M$299,Distrito!D96)</f>
        <v>2</v>
      </c>
      <c r="F96" s="41">
        <f t="shared" si="3"/>
        <v>0.68965517241379315</v>
      </c>
      <c r="G96" s="32"/>
    </row>
    <row r="97" spans="1:7" x14ac:dyDescent="0.25">
      <c r="A97" s="32"/>
      <c r="B97" s="44"/>
      <c r="C97" s="44"/>
      <c r="D97" s="40" t="s">
        <v>55</v>
      </c>
      <c r="E97" s="32">
        <f>+COUNTIF('Gastos medicos y sepelios'!$M$4:$M$299,Distrito!D97)</f>
        <v>1</v>
      </c>
      <c r="F97" s="41">
        <f t="shared" si="3"/>
        <v>0.34482758620689657</v>
      </c>
      <c r="G97" s="32"/>
    </row>
    <row r="98" spans="1:7" x14ac:dyDescent="0.25">
      <c r="A98" s="32"/>
      <c r="B98" s="44"/>
      <c r="C98" s="44"/>
      <c r="D98" s="40" t="s">
        <v>280</v>
      </c>
      <c r="E98" s="32">
        <f>+COUNTIF('Gastos medicos y sepelios'!$M$4:$M$299,Distrito!D98)</f>
        <v>4</v>
      </c>
      <c r="F98" s="41">
        <f>E98/$C$10*100</f>
        <v>1.3793103448275863</v>
      </c>
      <c r="G98" s="32"/>
    </row>
    <row r="99" spans="1:7" x14ac:dyDescent="0.25">
      <c r="A99" s="32"/>
      <c r="B99" s="44"/>
      <c r="C99" s="44"/>
      <c r="D99" s="40" t="s">
        <v>112</v>
      </c>
      <c r="E99" s="32">
        <f>+COUNTIF('Gastos medicos y sepelios'!$M$4:$M$299,Distrito!D99)</f>
        <v>1</v>
      </c>
      <c r="F99" s="41">
        <f t="shared" si="3"/>
        <v>0.34482758620689657</v>
      </c>
      <c r="G99" s="32"/>
    </row>
    <row r="100" spans="1:7" x14ac:dyDescent="0.25">
      <c r="A100" s="32"/>
      <c r="B100" s="44"/>
      <c r="C100" s="44"/>
      <c r="D100" s="40" t="s">
        <v>545</v>
      </c>
      <c r="E100" s="32">
        <f>+COUNTIF('Gastos medicos y sepelios'!$M$4:$M$299,Distrito!D100)</f>
        <v>2</v>
      </c>
      <c r="F100" s="41">
        <f t="shared" si="3"/>
        <v>0.68965517241379315</v>
      </c>
      <c r="G100" s="32"/>
    </row>
    <row r="101" spans="1:7" x14ac:dyDescent="0.25">
      <c r="A101" s="32"/>
      <c r="B101" s="44"/>
      <c r="C101" s="44"/>
      <c r="D101" s="40" t="s">
        <v>134</v>
      </c>
      <c r="E101" s="32">
        <f>+COUNTIF('Gastos medicos y sepelios'!$M$4:$M$299,Distrito!D101)</f>
        <v>3</v>
      </c>
      <c r="F101" s="41">
        <f t="shared" si="3"/>
        <v>1.0344827586206897</v>
      </c>
      <c r="G101" s="32"/>
    </row>
    <row r="102" spans="1:7" x14ac:dyDescent="0.25">
      <c r="A102" s="32"/>
      <c r="B102" s="44"/>
      <c r="C102" s="44"/>
      <c r="D102" s="40" t="s">
        <v>215</v>
      </c>
      <c r="E102" s="32">
        <f>+COUNTIF('Gastos medicos y sepelios'!$M$4:$M$299,Distrito!D102)</f>
        <v>1</v>
      </c>
      <c r="F102" s="41">
        <f t="shared" si="3"/>
        <v>0.34482758620689657</v>
      </c>
      <c r="G102" s="32"/>
    </row>
    <row r="103" spans="1:7" x14ac:dyDescent="0.25">
      <c r="A103" s="32"/>
      <c r="B103" s="44"/>
      <c r="C103" s="44"/>
      <c r="D103" s="40" t="s">
        <v>304</v>
      </c>
      <c r="E103" s="32">
        <f>+COUNTIF('Gastos medicos y sepelios'!$M$4:$M$299,Distrito!D103)</f>
        <v>1</v>
      </c>
      <c r="F103" s="41">
        <f>E103/$C$10*100</f>
        <v>0.34482758620689657</v>
      </c>
      <c r="G103" s="32"/>
    </row>
    <row r="104" spans="1:7" x14ac:dyDescent="0.25">
      <c r="A104" s="32"/>
      <c r="B104" s="44"/>
      <c r="C104" s="44"/>
      <c r="D104" s="40" t="s">
        <v>69</v>
      </c>
      <c r="E104" s="32">
        <f>+COUNTIF('Gastos medicos y sepelios'!$M$4:$M$299,Distrito!D104)</f>
        <v>4</v>
      </c>
      <c r="F104" s="41">
        <f t="shared" si="3"/>
        <v>1.3793103448275863</v>
      </c>
      <c r="G104" s="32"/>
    </row>
    <row r="105" spans="1:7" x14ac:dyDescent="0.25">
      <c r="A105" s="32"/>
      <c r="B105" s="44"/>
      <c r="C105" s="44"/>
      <c r="D105" s="40" t="s">
        <v>276</v>
      </c>
      <c r="E105" s="32">
        <f>+COUNTIF('Gastos medicos y sepelios'!$M$4:$M$299,Distrito!D105)</f>
        <v>4</v>
      </c>
      <c r="F105" s="41">
        <f>E105/$C$10*100</f>
        <v>1.3793103448275863</v>
      </c>
      <c r="G105" s="32"/>
    </row>
    <row r="106" spans="1:7" x14ac:dyDescent="0.25">
      <c r="A106" s="32"/>
      <c r="B106" s="32"/>
      <c r="C106" s="32"/>
      <c r="D106" s="40" t="s">
        <v>750</v>
      </c>
      <c r="E106" s="32">
        <f>+COUNTIF('Gastos medicos y sepelios'!$M$4:$M$299,Distrito!D106)</f>
        <v>1</v>
      </c>
      <c r="F106" s="41">
        <f t="shared" si="3"/>
        <v>0.34482758620689657</v>
      </c>
      <c r="G106" s="32"/>
    </row>
    <row r="107" spans="1:7" x14ac:dyDescent="0.25">
      <c r="A107" s="32"/>
      <c r="B107" s="32"/>
      <c r="C107" s="32"/>
      <c r="D107" s="40" t="s">
        <v>118</v>
      </c>
      <c r="E107" s="32">
        <f>+COUNTIF('Gastos medicos y sepelios'!$M$4:$M$299,Distrito!D107)</f>
        <v>1</v>
      </c>
      <c r="F107" s="41">
        <f>E107/$C$10*100</f>
        <v>0.34482758620689657</v>
      </c>
      <c r="G107" s="32"/>
    </row>
    <row r="108" spans="1:7" x14ac:dyDescent="0.25">
      <c r="A108" s="32"/>
      <c r="B108" s="32"/>
      <c r="C108" s="32"/>
      <c r="D108" s="32"/>
      <c r="E108" s="32"/>
      <c r="F108" s="41"/>
      <c r="G108" s="32"/>
    </row>
    <row r="109" spans="1:7" ht="15.75" thickBot="1" x14ac:dyDescent="0.3">
      <c r="A109" s="32"/>
      <c r="B109" s="45"/>
      <c r="C109" s="45"/>
      <c r="D109" s="46"/>
      <c r="E109" s="45"/>
      <c r="F109" s="47"/>
      <c r="G109" s="32"/>
    </row>
    <row r="110" spans="1:7" x14ac:dyDescent="0.25">
      <c r="A110" s="32"/>
      <c r="B110" s="32"/>
      <c r="C110" s="32"/>
      <c r="D110" s="40"/>
      <c r="E110" s="32"/>
      <c r="F110" s="41"/>
      <c r="G110" s="32"/>
    </row>
    <row r="111" spans="1:7" x14ac:dyDescent="0.25">
      <c r="A111" s="32"/>
      <c r="B111" s="35" t="s">
        <v>1052</v>
      </c>
      <c r="C111" s="32"/>
      <c r="D111" s="32"/>
      <c r="E111" s="32"/>
      <c r="F111" s="41"/>
      <c r="G111" s="32"/>
    </row>
    <row r="112" spans="1:7" x14ac:dyDescent="0.25">
      <c r="A112" s="32"/>
      <c r="B112" s="32"/>
      <c r="C112" s="32"/>
      <c r="D112" s="32"/>
      <c r="E112" s="32"/>
      <c r="F112" s="41"/>
      <c r="G112" s="32"/>
    </row>
  </sheetData>
  <mergeCells count="4">
    <mergeCell ref="A2:G2"/>
    <mergeCell ref="A5:G5"/>
    <mergeCell ref="A6:G6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topLeftCell="A13" workbookViewId="0">
      <selection activeCell="J42" sqref="J42"/>
    </sheetView>
  </sheetViews>
  <sheetFormatPr baseColWidth="10" defaultRowHeight="15" x14ac:dyDescent="0.25"/>
  <cols>
    <col min="3" max="3" width="18" customWidth="1"/>
    <col min="4" max="5" width="15.2851562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x14ac:dyDescent="0.25">
      <c r="A2" s="32"/>
      <c r="B2" s="32"/>
      <c r="C2" s="32"/>
      <c r="D2" s="32"/>
      <c r="E2" s="32"/>
      <c r="F2" s="32"/>
      <c r="G2" s="32"/>
    </row>
    <row r="3" spans="1:7" x14ac:dyDescent="0.25">
      <c r="A3" s="32"/>
      <c r="B3" s="32"/>
      <c r="C3" s="32"/>
      <c r="D3" s="32"/>
      <c r="E3" s="32"/>
      <c r="F3" s="32"/>
      <c r="G3" s="32"/>
    </row>
    <row r="4" spans="1:7" ht="20.25" x14ac:dyDescent="0.25">
      <c r="A4" s="113" t="s">
        <v>1053</v>
      </c>
      <c r="B4" s="113"/>
      <c r="C4" s="113"/>
      <c r="D4" s="113"/>
      <c r="E4" s="113"/>
      <c r="F4" s="113"/>
      <c r="G4" s="113"/>
    </row>
    <row r="5" spans="1:7" ht="20.25" x14ac:dyDescent="0.25">
      <c r="A5" s="115" t="str">
        <f>Distrito!A3</f>
        <v>de Enero a Diciembre 2022</v>
      </c>
      <c r="B5" s="115"/>
      <c r="C5" s="115"/>
      <c r="D5" s="115"/>
      <c r="E5" s="115"/>
      <c r="F5" s="115"/>
      <c r="G5" s="115"/>
    </row>
    <row r="6" spans="1:7" ht="18" x14ac:dyDescent="0.25">
      <c r="A6" s="32"/>
      <c r="B6" s="48"/>
      <c r="C6" s="48"/>
      <c r="D6" s="48"/>
      <c r="E6" s="48"/>
      <c r="F6" s="48"/>
      <c r="G6" s="32"/>
    </row>
    <row r="7" spans="1:7" ht="18" x14ac:dyDescent="0.25">
      <c r="A7" s="114" t="s">
        <v>1054</v>
      </c>
      <c r="B7" s="114"/>
      <c r="C7" s="114"/>
      <c r="D7" s="114"/>
      <c r="E7" s="114"/>
      <c r="F7" s="114"/>
      <c r="G7" s="114"/>
    </row>
    <row r="8" spans="1:7" x14ac:dyDescent="0.25">
      <c r="A8" s="32"/>
      <c r="B8" s="42"/>
      <c r="C8" s="42"/>
      <c r="D8" s="42"/>
      <c r="E8" s="42"/>
      <c r="F8" s="42"/>
      <c r="G8" s="32"/>
    </row>
    <row r="9" spans="1:7" x14ac:dyDescent="0.25">
      <c r="A9" s="32"/>
      <c r="B9" s="42"/>
      <c r="C9" s="42"/>
      <c r="D9" s="42"/>
      <c r="E9" s="42"/>
      <c r="F9" s="42"/>
      <c r="G9" s="32"/>
    </row>
    <row r="10" spans="1:7" x14ac:dyDescent="0.25">
      <c r="A10" s="32"/>
      <c r="B10" s="32"/>
      <c r="C10" s="32"/>
      <c r="D10" s="32"/>
      <c r="E10" s="32"/>
      <c r="F10" s="32"/>
      <c r="G10" s="32"/>
    </row>
    <row r="11" spans="1:7" x14ac:dyDescent="0.25">
      <c r="A11" s="32"/>
      <c r="B11" s="32"/>
      <c r="C11" s="32"/>
      <c r="D11" s="32"/>
      <c r="E11" s="32"/>
      <c r="F11" s="32"/>
      <c r="G11" s="32"/>
    </row>
    <row r="12" spans="1:7" x14ac:dyDescent="0.25">
      <c r="A12" s="32"/>
      <c r="B12" s="35" t="s">
        <v>1046</v>
      </c>
      <c r="C12" s="32"/>
      <c r="D12" s="32"/>
      <c r="E12" s="32"/>
      <c r="F12" s="32"/>
      <c r="G12" s="32"/>
    </row>
    <row r="13" spans="1:7" x14ac:dyDescent="0.25">
      <c r="A13" s="32"/>
      <c r="B13" s="32"/>
      <c r="C13" s="32"/>
      <c r="D13" s="32"/>
      <c r="E13" s="32"/>
      <c r="F13" s="32"/>
      <c r="G13" s="32"/>
    </row>
    <row r="14" spans="1:7" x14ac:dyDescent="0.25">
      <c r="A14" s="32"/>
      <c r="B14" s="50" t="s">
        <v>1047</v>
      </c>
      <c r="C14" s="50" t="s">
        <v>1055</v>
      </c>
      <c r="D14" s="50" t="s">
        <v>1056</v>
      </c>
      <c r="E14" s="50" t="s">
        <v>1050</v>
      </c>
      <c r="F14" s="50" t="s">
        <v>1051</v>
      </c>
      <c r="G14" s="32"/>
    </row>
    <row r="15" spans="1:7" x14ac:dyDescent="0.25">
      <c r="A15" s="32"/>
      <c r="B15" s="39" t="s">
        <v>1057</v>
      </c>
      <c r="C15" s="39">
        <f>SUM(E15:E26)</f>
        <v>290</v>
      </c>
      <c r="D15" s="38" t="s">
        <v>1058</v>
      </c>
      <c r="E15" s="32">
        <f>+COUNTIF('Gastos medicos y sepelios'!$D$4:$D$299,1)</f>
        <v>16</v>
      </c>
      <c r="F15" s="49">
        <f t="shared" ref="F15:F26" si="0">E15/$C$15*100</f>
        <v>5.5172413793103452</v>
      </c>
      <c r="G15" s="32"/>
    </row>
    <row r="16" spans="1:7" x14ac:dyDescent="0.25">
      <c r="A16" s="32"/>
      <c r="B16" s="42"/>
      <c r="C16" s="42"/>
      <c r="D16" s="32" t="s">
        <v>1059</v>
      </c>
      <c r="E16" s="32">
        <f>+COUNTIF('Gastos medicos y sepelios'!$D$4:$D$299,2)</f>
        <v>33</v>
      </c>
      <c r="F16" s="49">
        <f t="shared" si="0"/>
        <v>11.379310344827587</v>
      </c>
      <c r="G16" s="32"/>
    </row>
    <row r="17" spans="1:7" x14ac:dyDescent="0.25">
      <c r="A17" s="32"/>
      <c r="B17" s="42"/>
      <c r="C17" s="42"/>
      <c r="D17" s="32" t="s">
        <v>1060</v>
      </c>
      <c r="E17" s="32">
        <f>+COUNTIF('Gastos medicos y sepelios'!$D$4:$D$299,3)</f>
        <v>24</v>
      </c>
      <c r="F17" s="49">
        <f t="shared" si="0"/>
        <v>8.2758620689655178</v>
      </c>
      <c r="G17" s="32"/>
    </row>
    <row r="18" spans="1:7" x14ac:dyDescent="0.25">
      <c r="A18" s="32"/>
      <c r="B18" s="42"/>
      <c r="C18" s="42"/>
      <c r="D18" s="32" t="s">
        <v>1061</v>
      </c>
      <c r="E18" s="32">
        <f>+COUNTIF('Gastos medicos y sepelios'!$D$4:$D$299,4)</f>
        <v>23</v>
      </c>
      <c r="F18" s="49">
        <f t="shared" si="0"/>
        <v>7.931034482758621</v>
      </c>
      <c r="G18" s="32"/>
    </row>
    <row r="19" spans="1:7" x14ac:dyDescent="0.25">
      <c r="A19" s="32"/>
      <c r="B19" s="42"/>
      <c r="C19" s="42"/>
      <c r="D19" s="32" t="s">
        <v>1062</v>
      </c>
      <c r="E19" s="32">
        <f>+COUNTIF('Gastos medicos y sepelios'!$D$4:$D$299,5)</f>
        <v>23</v>
      </c>
      <c r="F19" s="49">
        <f t="shared" si="0"/>
        <v>7.931034482758621</v>
      </c>
      <c r="G19" s="32"/>
    </row>
    <row r="20" spans="1:7" x14ac:dyDescent="0.25">
      <c r="A20" s="32"/>
      <c r="B20" s="32"/>
      <c r="C20" s="32"/>
      <c r="D20" s="32" t="s">
        <v>1063</v>
      </c>
      <c r="E20" s="32">
        <f>+COUNTIF('Gastos medicos y sepelios'!$D$4:$D$299,6)</f>
        <v>23</v>
      </c>
      <c r="F20" s="49">
        <f t="shared" si="0"/>
        <v>7.931034482758621</v>
      </c>
      <c r="G20" s="32"/>
    </row>
    <row r="21" spans="1:7" x14ac:dyDescent="0.25">
      <c r="A21" s="32"/>
      <c r="B21" s="32"/>
      <c r="C21" s="32"/>
      <c r="D21" s="32" t="s">
        <v>1064</v>
      </c>
      <c r="E21" s="32">
        <f>+COUNTIF('Gastos medicos y sepelios'!$D$4:$D$299,7)</f>
        <v>19</v>
      </c>
      <c r="F21" s="49">
        <f t="shared" si="0"/>
        <v>6.5517241379310347</v>
      </c>
      <c r="G21" s="32"/>
    </row>
    <row r="22" spans="1:7" x14ac:dyDescent="0.25">
      <c r="A22" s="32"/>
      <c r="B22" s="32"/>
      <c r="C22" s="32"/>
      <c r="D22" s="32" t="s">
        <v>1065</v>
      </c>
      <c r="E22" s="32">
        <f>+COUNTIF('Gastos medicos y sepelios'!$D$4:$D$299,8)</f>
        <v>21</v>
      </c>
      <c r="F22" s="49">
        <f t="shared" si="0"/>
        <v>7.2413793103448283</v>
      </c>
      <c r="G22" s="32"/>
    </row>
    <row r="23" spans="1:7" x14ac:dyDescent="0.25">
      <c r="A23" s="32"/>
      <c r="B23" s="32"/>
      <c r="C23" s="32"/>
      <c r="D23" s="32" t="s">
        <v>1066</v>
      </c>
      <c r="E23" s="32">
        <f>+COUNTIF('Gastos medicos y sepelios'!$D$4:$D$299,9)</f>
        <v>30</v>
      </c>
      <c r="F23" s="49">
        <f t="shared" si="0"/>
        <v>10.344827586206897</v>
      </c>
      <c r="G23" s="32"/>
    </row>
    <row r="24" spans="1:7" x14ac:dyDescent="0.25">
      <c r="A24" s="32"/>
      <c r="B24" s="32"/>
      <c r="C24" s="32"/>
      <c r="D24" s="32" t="s">
        <v>1067</v>
      </c>
      <c r="E24" s="32">
        <f>+COUNTIF('Gastos medicos y sepelios'!$D$4:$D$299,10)</f>
        <v>26</v>
      </c>
      <c r="F24" s="49">
        <f t="shared" si="0"/>
        <v>8.9655172413793096</v>
      </c>
      <c r="G24" s="32"/>
    </row>
    <row r="25" spans="1:7" x14ac:dyDescent="0.25">
      <c r="A25" s="32"/>
      <c r="B25" s="32"/>
      <c r="C25" s="32"/>
      <c r="D25" s="32" t="s">
        <v>1068</v>
      </c>
      <c r="E25" s="32">
        <f>+COUNTIF('Gastos medicos y sepelios'!$D$4:$D$299,11)</f>
        <v>30</v>
      </c>
      <c r="F25" s="49">
        <f t="shared" si="0"/>
        <v>10.344827586206897</v>
      </c>
      <c r="G25" s="32"/>
    </row>
    <row r="26" spans="1:7" x14ac:dyDescent="0.25">
      <c r="A26" s="32"/>
      <c r="B26" s="32"/>
      <c r="C26" s="32"/>
      <c r="D26" s="32" t="s">
        <v>1069</v>
      </c>
      <c r="E26" s="32">
        <f>+COUNTIF('Gastos medicos y sepelios'!$D$4:$D$299,12)</f>
        <v>22</v>
      </c>
      <c r="F26" s="49">
        <f t="shared" si="0"/>
        <v>7.5862068965517242</v>
      </c>
      <c r="G26" s="32"/>
    </row>
    <row r="27" spans="1:7" ht="15.75" thickBot="1" x14ac:dyDescent="0.3">
      <c r="A27" s="32"/>
      <c r="B27" s="45"/>
      <c r="C27" s="45"/>
      <c r="D27" s="45"/>
      <c r="E27" s="45"/>
      <c r="F27" s="45"/>
      <c r="G27" s="32"/>
    </row>
    <row r="28" spans="1:7" x14ac:dyDescent="0.25">
      <c r="A28" s="32"/>
      <c r="B28" s="32"/>
      <c r="C28" s="32"/>
      <c r="D28" s="32"/>
      <c r="E28" s="32"/>
      <c r="F28" s="32"/>
      <c r="G28" s="32"/>
    </row>
    <row r="29" spans="1:7" x14ac:dyDescent="0.25">
      <c r="A29" s="32"/>
      <c r="B29" s="32"/>
      <c r="C29" s="32"/>
      <c r="D29" s="32"/>
      <c r="E29" s="32"/>
      <c r="F29" s="32"/>
      <c r="G29" s="32"/>
    </row>
    <row r="30" spans="1:7" x14ac:dyDescent="0.25">
      <c r="A30" s="32"/>
      <c r="B30" s="35" t="s">
        <v>1052</v>
      </c>
      <c r="C30" s="32"/>
      <c r="D30" s="32"/>
      <c r="E30" s="32"/>
      <c r="F30" s="32"/>
      <c r="G30" s="32"/>
    </row>
    <row r="31" spans="1:7" x14ac:dyDescent="0.25">
      <c r="A31" s="32"/>
      <c r="B31" s="32"/>
      <c r="C31" s="32"/>
      <c r="D31" s="32"/>
      <c r="E31" s="32"/>
      <c r="F31" s="32"/>
      <c r="G31" s="32"/>
    </row>
    <row r="32" spans="1:7" x14ac:dyDescent="0.25">
      <c r="A32" s="32"/>
      <c r="B32" s="32"/>
      <c r="C32" s="32"/>
      <c r="D32" s="32"/>
      <c r="E32" s="32"/>
      <c r="F32" s="32"/>
      <c r="G32" s="32"/>
    </row>
    <row r="33" spans="1:7" x14ac:dyDescent="0.25">
      <c r="A33" s="32"/>
      <c r="B33" s="32"/>
      <c r="C33" s="32"/>
      <c r="D33" s="32"/>
      <c r="E33" s="32"/>
      <c r="F33" s="32"/>
      <c r="G33" s="32"/>
    </row>
  </sheetData>
  <mergeCells count="3">
    <mergeCell ref="A4:G4"/>
    <mergeCell ref="A7:G7"/>
    <mergeCell ref="A5:G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activeCell="I28" sqref="I28"/>
    </sheetView>
  </sheetViews>
  <sheetFormatPr baseColWidth="10" defaultRowHeight="15" x14ac:dyDescent="0.25"/>
  <cols>
    <col min="2" max="2" width="15.85546875" customWidth="1"/>
    <col min="3" max="3" width="20.28515625" customWidth="1"/>
    <col min="4" max="4" width="18.140625" customWidth="1"/>
    <col min="5" max="5" width="16.5703125" customWidth="1"/>
  </cols>
  <sheetData>
    <row r="1" spans="1:7" x14ac:dyDescent="0.25">
      <c r="A1" s="32"/>
      <c r="B1" s="32"/>
      <c r="C1" s="32"/>
      <c r="D1" s="32"/>
      <c r="E1" s="32"/>
      <c r="F1" s="32"/>
    </row>
    <row r="2" spans="1:7" ht="20.25" x14ac:dyDescent="0.25">
      <c r="A2" s="113" t="str">
        <f>+[1]Meses!A4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ht="20.25" x14ac:dyDescent="0.25">
      <c r="A4" s="34"/>
      <c r="B4" s="34"/>
      <c r="C4" s="34"/>
      <c r="D4" s="34"/>
      <c r="E4" s="34"/>
      <c r="F4" s="34"/>
    </row>
    <row r="5" spans="1:7" ht="18" x14ac:dyDescent="0.25">
      <c r="A5" s="114" t="s">
        <v>1070</v>
      </c>
      <c r="B5" s="114"/>
      <c r="C5" s="114"/>
      <c r="D5" s="114"/>
      <c r="E5" s="114"/>
      <c r="F5" s="114"/>
      <c r="G5" s="114"/>
    </row>
    <row r="6" spans="1:7" x14ac:dyDescent="0.25">
      <c r="A6" s="32"/>
      <c r="B6" s="42"/>
      <c r="C6" s="42"/>
      <c r="D6" s="42"/>
      <c r="E6" s="42"/>
      <c r="F6" s="42"/>
    </row>
    <row r="7" spans="1:7" x14ac:dyDescent="0.25">
      <c r="A7" s="32"/>
      <c r="B7" s="32"/>
      <c r="C7" s="32"/>
      <c r="D7" s="32"/>
      <c r="E7" s="32"/>
      <c r="F7" s="32"/>
    </row>
    <row r="8" spans="1:7" x14ac:dyDescent="0.25">
      <c r="A8" s="32"/>
      <c r="B8" s="32"/>
      <c r="C8" s="32"/>
      <c r="D8" s="32"/>
      <c r="E8" s="32"/>
      <c r="F8" s="32"/>
    </row>
    <row r="9" spans="1:7" x14ac:dyDescent="0.25">
      <c r="A9" s="32"/>
      <c r="B9" s="35" t="s">
        <v>1046</v>
      </c>
      <c r="C9" s="32"/>
      <c r="D9" s="32"/>
      <c r="E9" s="32"/>
      <c r="F9" s="32"/>
    </row>
    <row r="10" spans="1:7" x14ac:dyDescent="0.25">
      <c r="A10" s="32"/>
      <c r="B10" s="32"/>
      <c r="C10" s="32"/>
      <c r="D10" s="32"/>
      <c r="E10" s="32"/>
      <c r="F10" s="32"/>
    </row>
    <row r="11" spans="1:7" x14ac:dyDescent="0.25">
      <c r="A11" s="32"/>
      <c r="B11" s="50" t="s">
        <v>1047</v>
      </c>
      <c r="C11" s="50" t="s">
        <v>1055</v>
      </c>
      <c r="D11" s="50" t="s">
        <v>9</v>
      </c>
      <c r="E11" s="50" t="s">
        <v>1050</v>
      </c>
      <c r="F11" s="50" t="s">
        <v>1051</v>
      </c>
    </row>
    <row r="12" spans="1:7" x14ac:dyDescent="0.25">
      <c r="A12" s="32"/>
      <c r="B12" s="39" t="s">
        <v>9</v>
      </c>
      <c r="C12" s="39">
        <f>SUM(E12:E13)</f>
        <v>290</v>
      </c>
      <c r="D12" s="38" t="s">
        <v>63</v>
      </c>
      <c r="E12" s="38">
        <f>+COUNTIF('Gastos medicos y sepelios'!$I$4:$I$299,"FEMENINO")</f>
        <v>57</v>
      </c>
      <c r="F12" s="51">
        <f>E12/$C$12*100</f>
        <v>19.655172413793103</v>
      </c>
    </row>
    <row r="13" spans="1:7" x14ac:dyDescent="0.25">
      <c r="A13" s="32"/>
      <c r="B13" s="32"/>
      <c r="C13" s="32"/>
      <c r="D13" s="32" t="s">
        <v>24</v>
      </c>
      <c r="E13" s="32">
        <f>+COUNTIF('Gastos medicos y sepelios'!$I$4:$I$299,"MASCULINO")</f>
        <v>233</v>
      </c>
      <c r="F13" s="49">
        <f>E13/$C$12*100</f>
        <v>80.344827586206904</v>
      </c>
    </row>
    <row r="14" spans="1:7" ht="15.75" thickBot="1" x14ac:dyDescent="0.3">
      <c r="A14" s="32"/>
      <c r="B14" s="45"/>
      <c r="C14" s="45"/>
      <c r="D14" s="45"/>
      <c r="E14" s="53"/>
      <c r="F14" s="47"/>
    </row>
    <row r="15" spans="1:7" x14ac:dyDescent="0.25">
      <c r="A15" s="32"/>
      <c r="B15" s="32"/>
      <c r="C15" s="32"/>
      <c r="D15" s="32"/>
      <c r="E15" s="32"/>
      <c r="F15" s="32"/>
    </row>
    <row r="16" spans="1:7" x14ac:dyDescent="0.25">
      <c r="A16" s="32"/>
      <c r="B16" s="32"/>
      <c r="C16" s="32"/>
      <c r="D16" s="32"/>
      <c r="E16" s="52"/>
      <c r="F16" s="32"/>
    </row>
    <row r="17" spans="1:6" x14ac:dyDescent="0.25">
      <c r="A17" s="32"/>
      <c r="B17" s="32"/>
      <c r="C17" s="32"/>
      <c r="D17" s="32"/>
      <c r="E17" s="32"/>
      <c r="F17" s="32"/>
    </row>
    <row r="18" spans="1:6" x14ac:dyDescent="0.25">
      <c r="A18" s="32"/>
      <c r="B18" s="32"/>
      <c r="C18" s="32"/>
      <c r="D18" s="32"/>
      <c r="E18" s="32"/>
      <c r="F18" s="32"/>
    </row>
    <row r="19" spans="1:6" x14ac:dyDescent="0.25">
      <c r="A19" s="32"/>
      <c r="B19" s="35" t="s">
        <v>1052</v>
      </c>
      <c r="C19" s="32"/>
      <c r="D19" s="32"/>
      <c r="E19" s="32"/>
      <c r="F19" s="32"/>
    </row>
    <row r="20" spans="1:6" x14ac:dyDescent="0.25">
      <c r="A20" s="32"/>
      <c r="B20" s="32"/>
      <c r="C20" s="32"/>
      <c r="D20" s="32"/>
      <c r="E20" s="32"/>
      <c r="F20" s="32"/>
    </row>
    <row r="21" spans="1:6" x14ac:dyDescent="0.25">
      <c r="A21" s="32"/>
      <c r="B21" s="32"/>
      <c r="C21" s="32"/>
      <c r="D21" s="32"/>
      <c r="E21" s="32"/>
      <c r="F21" s="32"/>
    </row>
  </sheetData>
  <mergeCells count="3">
    <mergeCell ref="A5:G5"/>
    <mergeCell ref="A3:G3"/>
    <mergeCell ref="A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7" workbookViewId="0">
      <selection activeCell="I37" sqref="I37"/>
    </sheetView>
  </sheetViews>
  <sheetFormatPr baseColWidth="10" defaultRowHeight="15" x14ac:dyDescent="0.25"/>
  <cols>
    <col min="3" max="3" width="19.85546875" customWidth="1"/>
    <col min="4" max="4" width="16.140625" customWidth="1"/>
    <col min="5" max="5" width="16.570312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Distrito!A2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ht="20.25" x14ac:dyDescent="0.25">
      <c r="A4" s="33"/>
      <c r="B4" s="33"/>
      <c r="C4" s="33"/>
      <c r="D4" s="33"/>
      <c r="E4" s="33"/>
      <c r="F4" s="33"/>
      <c r="G4" s="33"/>
    </row>
    <row r="5" spans="1:7" ht="18" x14ac:dyDescent="0.25">
      <c r="A5" s="114" t="s">
        <v>1071</v>
      </c>
      <c r="B5" s="114"/>
      <c r="C5" s="114"/>
      <c r="D5" s="114"/>
      <c r="E5" s="114"/>
      <c r="F5" s="114"/>
      <c r="G5" s="114"/>
    </row>
    <row r="6" spans="1:7" x14ac:dyDescent="0.25">
      <c r="A6" s="32"/>
      <c r="B6" s="42"/>
      <c r="C6" s="42"/>
      <c r="D6" s="42"/>
      <c r="E6" s="42"/>
      <c r="F6" s="42"/>
      <c r="G6" s="32"/>
    </row>
    <row r="7" spans="1:7" x14ac:dyDescent="0.25">
      <c r="A7" s="32"/>
      <c r="B7" s="42"/>
      <c r="C7" s="42"/>
      <c r="D7" s="42"/>
      <c r="E7" s="42"/>
      <c r="F7" s="42"/>
      <c r="G7" s="32"/>
    </row>
    <row r="8" spans="1:7" x14ac:dyDescent="0.25">
      <c r="A8" s="32"/>
      <c r="B8" s="32"/>
      <c r="C8" s="32"/>
      <c r="D8" s="32"/>
      <c r="E8" s="32"/>
      <c r="F8" s="32"/>
      <c r="G8" s="32"/>
    </row>
    <row r="9" spans="1:7" x14ac:dyDescent="0.25">
      <c r="A9" s="32"/>
      <c r="B9" s="32"/>
      <c r="C9" s="32"/>
      <c r="D9" s="32"/>
      <c r="E9" s="32"/>
      <c r="F9" s="32"/>
      <c r="G9" s="32"/>
    </row>
    <row r="10" spans="1:7" x14ac:dyDescent="0.25">
      <c r="A10" s="32"/>
      <c r="B10" s="35" t="s">
        <v>1046</v>
      </c>
      <c r="C10" s="32"/>
      <c r="D10" s="32"/>
      <c r="E10" s="32"/>
      <c r="F10" s="32"/>
      <c r="G10" s="32"/>
    </row>
    <row r="11" spans="1:7" x14ac:dyDescent="0.25">
      <c r="A11" s="32"/>
      <c r="B11" s="32"/>
      <c r="C11" s="32"/>
      <c r="D11" s="32"/>
      <c r="E11" s="32"/>
      <c r="F11" s="32"/>
      <c r="G11" s="32"/>
    </row>
    <row r="12" spans="1:7" x14ac:dyDescent="0.25">
      <c r="A12" s="32"/>
      <c r="B12" s="50" t="s">
        <v>1047</v>
      </c>
      <c r="C12" s="50" t="s">
        <v>1055</v>
      </c>
      <c r="D12" s="50" t="s">
        <v>10</v>
      </c>
      <c r="E12" s="50" t="s">
        <v>1050</v>
      </c>
      <c r="F12" s="50" t="s">
        <v>1051</v>
      </c>
      <c r="G12" s="32"/>
    </row>
    <row r="13" spans="1:7" x14ac:dyDescent="0.25">
      <c r="A13" s="32"/>
      <c r="B13" s="42" t="s">
        <v>10</v>
      </c>
      <c r="C13" s="42">
        <f>SUM(E13:E21)</f>
        <v>290</v>
      </c>
      <c r="D13" s="42" t="s">
        <v>1072</v>
      </c>
      <c r="E13" s="32">
        <f>+COUNTIF('Gastos medicos y sepelios'!$J$4:$J$299,"&lt;10")</f>
        <v>9</v>
      </c>
      <c r="F13" s="56">
        <f>E13/$C$13*100</f>
        <v>3.103448275862069</v>
      </c>
      <c r="G13" s="32"/>
    </row>
    <row r="14" spans="1:7" x14ac:dyDescent="0.25">
      <c r="A14" s="32"/>
      <c r="B14" s="32"/>
      <c r="C14" s="32"/>
      <c r="D14" s="55" t="s">
        <v>1073</v>
      </c>
      <c r="E14" s="32">
        <f>+COUNTIF('Gastos medicos y sepelios'!$J$4:$J$299,"&lt;20")-E13</f>
        <v>20</v>
      </c>
      <c r="F14" s="56">
        <f t="shared" ref="F14:F21" si="0">E14/$C$13*100</f>
        <v>6.8965517241379306</v>
      </c>
      <c r="G14" s="32"/>
    </row>
    <row r="15" spans="1:7" x14ac:dyDescent="0.25">
      <c r="A15" s="32"/>
      <c r="B15" s="32"/>
      <c r="C15" s="32"/>
      <c r="D15" s="42" t="s">
        <v>1074</v>
      </c>
      <c r="E15" s="32">
        <f>+COUNTIF('Gastos medicos y sepelios'!$J$4:$J$299,"&lt;30")-SUM(E13:E14)</f>
        <v>47</v>
      </c>
      <c r="F15" s="56">
        <f t="shared" si="0"/>
        <v>16.206896551724135</v>
      </c>
      <c r="G15" s="32"/>
    </row>
    <row r="16" spans="1:7" x14ac:dyDescent="0.25">
      <c r="A16" s="32"/>
      <c r="B16" s="32"/>
      <c r="C16" s="32"/>
      <c r="D16" s="42" t="s">
        <v>1075</v>
      </c>
      <c r="E16" s="32">
        <f>+COUNTIF('Gastos medicos y sepelios'!$J$4:$J$299,"&lt;40")-SUM(E13:E15)</f>
        <v>55</v>
      </c>
      <c r="F16" s="56">
        <f t="shared" si="0"/>
        <v>18.96551724137931</v>
      </c>
      <c r="G16" s="32"/>
    </row>
    <row r="17" spans="1:7" x14ac:dyDescent="0.25">
      <c r="A17" s="32"/>
      <c r="B17" s="32"/>
      <c r="C17" s="32"/>
      <c r="D17" s="42" t="s">
        <v>1076</v>
      </c>
      <c r="E17" s="32">
        <f>+COUNTIF('Gastos medicos y sepelios'!$J$4:$J$299,"&lt;50")-SUM(E13:E16)</f>
        <v>47</v>
      </c>
      <c r="F17" s="56">
        <f t="shared" si="0"/>
        <v>16.206896551724135</v>
      </c>
      <c r="G17" s="32"/>
    </row>
    <row r="18" spans="1:7" x14ac:dyDescent="0.25">
      <c r="A18" s="32"/>
      <c r="B18" s="32"/>
      <c r="C18" s="32"/>
      <c r="D18" s="42" t="s">
        <v>1077</v>
      </c>
      <c r="E18" s="32">
        <f>+COUNTIF('Gastos medicos y sepelios'!$J$4:$J$299,"&lt;60")-SUM(E13:E17)</f>
        <v>42</v>
      </c>
      <c r="F18" s="56">
        <f t="shared" si="0"/>
        <v>14.482758620689657</v>
      </c>
      <c r="G18" s="32"/>
    </row>
    <row r="19" spans="1:7" x14ac:dyDescent="0.25">
      <c r="A19" s="32"/>
      <c r="B19" s="32"/>
      <c r="C19" s="32"/>
      <c r="D19" s="42" t="s">
        <v>1078</v>
      </c>
      <c r="E19" s="32">
        <f>+COUNTIF('Gastos medicos y sepelios'!$J$4:$J$299,"&lt;70")-SUM(E13:E18)</f>
        <v>34</v>
      </c>
      <c r="F19" s="56">
        <f t="shared" si="0"/>
        <v>11.724137931034482</v>
      </c>
      <c r="G19" s="32"/>
    </row>
    <row r="20" spans="1:7" x14ac:dyDescent="0.25">
      <c r="A20" s="32"/>
      <c r="B20" s="32"/>
      <c r="C20" s="32"/>
      <c r="D20" s="42" t="s">
        <v>1079</v>
      </c>
      <c r="E20" s="32">
        <f>+COUNTIF('Gastos medicos y sepelios'!$J$4:$J$299,"&lt;80")-SUM(E13:E19)</f>
        <v>26</v>
      </c>
      <c r="F20" s="56">
        <f t="shared" si="0"/>
        <v>8.9655172413793096</v>
      </c>
      <c r="G20" s="32"/>
    </row>
    <row r="21" spans="1:7" x14ac:dyDescent="0.25">
      <c r="A21" s="32"/>
      <c r="B21" s="32"/>
      <c r="C21" s="32"/>
      <c r="D21" s="42" t="s">
        <v>1080</v>
      </c>
      <c r="E21" s="32">
        <f>+COUNTIF('Gastos medicos y sepelios'!$J$4:$J$299,"&gt;79")</f>
        <v>10</v>
      </c>
      <c r="F21" s="56">
        <f t="shared" si="0"/>
        <v>3.4482758620689653</v>
      </c>
      <c r="G21" s="32"/>
    </row>
    <row r="22" spans="1:7" ht="15.75" thickBot="1" x14ac:dyDescent="0.3">
      <c r="A22" s="32"/>
      <c r="B22" s="45"/>
      <c r="C22" s="45"/>
      <c r="D22" s="45"/>
      <c r="E22" s="53"/>
      <c r="F22" s="47"/>
      <c r="G22" s="32"/>
    </row>
    <row r="23" spans="1:7" x14ac:dyDescent="0.25">
      <c r="A23" s="32"/>
      <c r="B23" s="32"/>
      <c r="C23" s="32"/>
      <c r="D23" s="32"/>
      <c r="E23" s="32"/>
      <c r="F23" s="32"/>
      <c r="G23" s="32"/>
    </row>
    <row r="24" spans="1:7" x14ac:dyDescent="0.25">
      <c r="A24" s="32"/>
      <c r="B24" s="32"/>
      <c r="C24" s="32"/>
      <c r="D24" s="32"/>
      <c r="E24" s="32"/>
      <c r="F24" s="32"/>
      <c r="G24" s="32"/>
    </row>
    <row r="25" spans="1:7" x14ac:dyDescent="0.25">
      <c r="A25" s="32"/>
      <c r="B25" s="35" t="s">
        <v>1052</v>
      </c>
      <c r="C25" s="32"/>
      <c r="D25" s="32"/>
      <c r="E25" s="32"/>
      <c r="F25" s="32"/>
      <c r="G25" s="32"/>
    </row>
    <row r="26" spans="1:7" x14ac:dyDescent="0.25">
      <c r="A26" s="32"/>
      <c r="B26" s="32"/>
      <c r="C26" s="32"/>
      <c r="D26" s="32"/>
      <c r="E26" s="32"/>
      <c r="F26" s="32"/>
      <c r="G26" s="32"/>
    </row>
    <row r="27" spans="1:7" x14ac:dyDescent="0.25">
      <c r="A27" s="32"/>
      <c r="B27" s="32"/>
      <c r="C27" s="32"/>
      <c r="D27" s="32"/>
      <c r="E27" s="32"/>
      <c r="F27" s="32"/>
      <c r="G27" s="32"/>
    </row>
    <row r="28" spans="1:7" x14ac:dyDescent="0.25">
      <c r="A28" s="32"/>
      <c r="B28" s="32"/>
      <c r="C28" s="32"/>
      <c r="D28" s="32"/>
      <c r="E28" s="32"/>
      <c r="F28" s="32"/>
      <c r="G28" s="32"/>
    </row>
  </sheetData>
  <mergeCells count="3">
    <mergeCell ref="A2:G2"/>
    <mergeCell ref="A3:G3"/>
    <mergeCell ref="A5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workbookViewId="0">
      <selection activeCell="I21" sqref="I21"/>
    </sheetView>
  </sheetViews>
  <sheetFormatPr baseColWidth="10" defaultRowHeight="15" x14ac:dyDescent="0.25"/>
  <cols>
    <col min="4" max="4" width="46.85546875" customWidth="1"/>
  </cols>
  <sheetData>
    <row r="1" spans="1:7" x14ac:dyDescent="0.25">
      <c r="A1" s="32"/>
      <c r="B1" s="32"/>
      <c r="C1" s="32"/>
      <c r="D1" s="32"/>
      <c r="E1" s="32"/>
      <c r="F1" s="32"/>
    </row>
    <row r="2" spans="1:7" ht="20.25" x14ac:dyDescent="0.25">
      <c r="A2" s="113" t="str">
        <f>+[1]Edad!A4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x14ac:dyDescent="0.25">
      <c r="A4" s="42"/>
      <c r="B4" s="42"/>
      <c r="C4" s="42"/>
      <c r="D4" s="42"/>
      <c r="E4" s="42"/>
      <c r="F4" s="42"/>
    </row>
    <row r="5" spans="1:7" ht="18" x14ac:dyDescent="0.25">
      <c r="A5" s="114" t="s">
        <v>1081</v>
      </c>
      <c r="B5" s="114"/>
      <c r="C5" s="114"/>
      <c r="D5" s="114"/>
      <c r="E5" s="114"/>
      <c r="F5" s="114"/>
      <c r="G5" s="114"/>
    </row>
    <row r="6" spans="1:7" x14ac:dyDescent="0.25">
      <c r="A6" s="32"/>
      <c r="B6" s="42"/>
      <c r="C6" s="42"/>
      <c r="D6" s="42"/>
      <c r="E6" s="42"/>
      <c r="F6" s="32"/>
    </row>
    <row r="7" spans="1:7" x14ac:dyDescent="0.25">
      <c r="A7" s="32"/>
      <c r="B7" s="42"/>
      <c r="C7" s="42"/>
      <c r="D7" s="42"/>
      <c r="E7" s="42"/>
      <c r="F7" s="32"/>
    </row>
    <row r="8" spans="1:7" x14ac:dyDescent="0.25">
      <c r="A8" s="32"/>
      <c r="B8" s="32"/>
      <c r="C8" s="32"/>
      <c r="D8" s="32"/>
      <c r="E8" s="32"/>
      <c r="F8" s="32"/>
    </row>
    <row r="9" spans="1:7" x14ac:dyDescent="0.25">
      <c r="A9" s="32"/>
      <c r="B9" s="35" t="s">
        <v>1046</v>
      </c>
      <c r="C9" s="32"/>
      <c r="D9" s="32"/>
      <c r="E9" s="32"/>
      <c r="F9" s="32"/>
    </row>
    <row r="10" spans="1:7" x14ac:dyDescent="0.25">
      <c r="A10" s="32"/>
      <c r="B10" s="32"/>
      <c r="C10" s="32"/>
      <c r="D10" s="32"/>
      <c r="E10" s="32"/>
      <c r="F10" s="32"/>
    </row>
    <row r="11" spans="1:7" x14ac:dyDescent="0.25">
      <c r="A11" s="32"/>
      <c r="B11" s="50" t="s">
        <v>1047</v>
      </c>
      <c r="C11" s="50" t="s">
        <v>1082</v>
      </c>
      <c r="D11" s="50" t="s">
        <v>1083</v>
      </c>
      <c r="E11" s="50" t="s">
        <v>1050</v>
      </c>
      <c r="F11" s="50" t="s">
        <v>1051</v>
      </c>
    </row>
    <row r="12" spans="1:7" x14ac:dyDescent="0.25">
      <c r="A12" s="32"/>
      <c r="B12" s="32" t="s">
        <v>1083</v>
      </c>
      <c r="C12" s="57">
        <f>SUM(E12:E13)</f>
        <v>290</v>
      </c>
      <c r="D12" s="107" t="s">
        <v>1118</v>
      </c>
      <c r="E12" s="52">
        <f>+COUNTIF('Gastos medicos y sepelios'!$L$4:$L$299,"LESIONADO")</f>
        <v>197</v>
      </c>
      <c r="F12" s="41">
        <f t="shared" ref="F12:F13" si="0">E12/$C$12*100</f>
        <v>67.931034482758619</v>
      </c>
    </row>
    <row r="13" spans="1:7" x14ac:dyDescent="0.25">
      <c r="A13" s="32"/>
      <c r="B13" s="32"/>
      <c r="C13" s="32"/>
      <c r="D13" s="107" t="s">
        <v>31</v>
      </c>
      <c r="E13" s="52">
        <f>+COUNTIF('Gastos medicos y sepelios'!$L$4:$L$299,"FALLECIDO")</f>
        <v>93</v>
      </c>
      <c r="F13" s="41">
        <f t="shared" si="0"/>
        <v>32.068965517241374</v>
      </c>
    </row>
    <row r="14" spans="1:7" ht="15.75" thickBot="1" x14ac:dyDescent="0.3">
      <c r="A14" s="32"/>
      <c r="B14" s="45"/>
      <c r="C14" s="45"/>
      <c r="D14" s="45"/>
      <c r="E14" s="45"/>
      <c r="F14" s="45"/>
    </row>
    <row r="15" spans="1:7" x14ac:dyDescent="0.25">
      <c r="A15" s="32"/>
      <c r="B15" s="32"/>
      <c r="C15" s="32"/>
      <c r="D15" s="32"/>
      <c r="E15" s="52"/>
      <c r="F15" s="32"/>
    </row>
    <row r="16" spans="1:7" x14ac:dyDescent="0.25">
      <c r="A16" s="32"/>
      <c r="B16" s="32"/>
      <c r="C16" s="32"/>
      <c r="D16" s="32"/>
      <c r="E16" s="32"/>
      <c r="F16" s="32"/>
    </row>
    <row r="17" spans="1:6" x14ac:dyDescent="0.25">
      <c r="A17" s="32"/>
      <c r="B17" s="35" t="s">
        <v>1052</v>
      </c>
      <c r="C17" s="32"/>
      <c r="D17" s="32"/>
      <c r="E17" s="32"/>
      <c r="F17" s="32"/>
    </row>
    <row r="18" spans="1:6" x14ac:dyDescent="0.25">
      <c r="A18" s="32"/>
      <c r="B18" s="32"/>
      <c r="C18" s="32"/>
      <c r="D18" s="32"/>
      <c r="E18" s="32"/>
      <c r="F18" s="32"/>
    </row>
    <row r="19" spans="1:6" x14ac:dyDescent="0.25">
      <c r="A19" s="32"/>
      <c r="B19" s="32"/>
      <c r="C19" s="32"/>
      <c r="D19" s="32"/>
      <c r="E19" s="32"/>
      <c r="F19" s="32"/>
    </row>
    <row r="20" spans="1:6" x14ac:dyDescent="0.25">
      <c r="A20" s="32"/>
      <c r="B20" s="32"/>
      <c r="C20" s="32"/>
      <c r="D20" s="32"/>
      <c r="E20" s="32"/>
      <c r="F20" s="32"/>
    </row>
    <row r="21" spans="1:6" x14ac:dyDescent="0.25">
      <c r="A21" s="32"/>
      <c r="B21" s="32"/>
      <c r="C21" s="32"/>
      <c r="D21" s="32"/>
      <c r="E21" s="32"/>
      <c r="F21" s="32"/>
    </row>
  </sheetData>
  <mergeCells count="3">
    <mergeCell ref="A2:G2"/>
    <mergeCell ref="A3:G3"/>
    <mergeCell ref="A5:G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J46" sqref="J46"/>
    </sheetView>
  </sheetViews>
  <sheetFormatPr baseColWidth="10" defaultRowHeight="15" x14ac:dyDescent="0.25"/>
  <cols>
    <col min="5" max="5" width="18.8554687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0.25" x14ac:dyDescent="0.25">
      <c r="A2" s="113" t="str">
        <f>Distrito!A2</f>
        <v>Siniestros Cubiertos por el Fondo</v>
      </c>
      <c r="B2" s="113"/>
      <c r="C2" s="113"/>
      <c r="D2" s="113"/>
      <c r="E2" s="113"/>
      <c r="F2" s="113"/>
      <c r="G2" s="113"/>
    </row>
    <row r="3" spans="1:7" ht="20.25" x14ac:dyDescent="0.25">
      <c r="A3" s="113" t="str">
        <f>Distrito!A3</f>
        <v>de Enero a Diciembre 2022</v>
      </c>
      <c r="B3" s="113"/>
      <c r="C3" s="113"/>
      <c r="D3" s="113"/>
      <c r="E3" s="113"/>
      <c r="F3" s="113"/>
      <c r="G3" s="113"/>
    </row>
    <row r="4" spans="1:7" ht="20.25" x14ac:dyDescent="0.25">
      <c r="A4" s="34"/>
      <c r="B4" s="34"/>
      <c r="C4" s="34"/>
      <c r="D4" s="34"/>
      <c r="E4" s="34"/>
      <c r="F4" s="34"/>
      <c r="G4" s="34"/>
    </row>
    <row r="5" spans="1:7" ht="18" x14ac:dyDescent="0.25">
      <c r="A5" s="114" t="s">
        <v>1044</v>
      </c>
      <c r="B5" s="114"/>
      <c r="C5" s="114"/>
      <c r="D5" s="114"/>
      <c r="E5" s="114"/>
      <c r="F5" s="114"/>
      <c r="G5" s="114"/>
    </row>
    <row r="6" spans="1:7" ht="18" x14ac:dyDescent="0.25">
      <c r="A6" s="114" t="s">
        <v>1084</v>
      </c>
      <c r="B6" s="114"/>
      <c r="C6" s="114"/>
      <c r="D6" s="114"/>
      <c r="E6" s="114"/>
      <c r="F6" s="114"/>
      <c r="G6" s="114"/>
    </row>
    <row r="7" spans="1:7" x14ac:dyDescent="0.25">
      <c r="A7" s="32"/>
      <c r="B7" s="35" t="s">
        <v>1046</v>
      </c>
      <c r="C7" s="32"/>
      <c r="D7" s="32"/>
      <c r="E7" s="32"/>
      <c r="F7" s="32"/>
      <c r="G7" s="32"/>
    </row>
    <row r="8" spans="1:7" ht="15.75" thickBot="1" x14ac:dyDescent="0.3">
      <c r="A8" s="32"/>
      <c r="B8" s="32"/>
      <c r="C8" s="32"/>
      <c r="D8" s="32"/>
      <c r="E8" s="32"/>
      <c r="F8" s="32"/>
      <c r="G8" s="32"/>
    </row>
    <row r="9" spans="1:7" x14ac:dyDescent="0.25">
      <c r="A9" s="32"/>
      <c r="B9" s="36" t="s">
        <v>1047</v>
      </c>
      <c r="C9" s="36" t="s">
        <v>1048</v>
      </c>
      <c r="D9" s="37" t="s">
        <v>1049</v>
      </c>
      <c r="E9" s="37" t="s">
        <v>1050</v>
      </c>
      <c r="F9" s="37" t="s">
        <v>1051</v>
      </c>
      <c r="G9" s="32"/>
    </row>
    <row r="10" spans="1:7" x14ac:dyDescent="0.25">
      <c r="A10" s="32"/>
      <c r="B10" s="38" t="s">
        <v>1049</v>
      </c>
      <c r="C10" s="39">
        <f>SUM(E10:E29)</f>
        <v>290</v>
      </c>
      <c r="D10" s="40" t="s">
        <v>123</v>
      </c>
      <c r="E10" s="32">
        <f>+COUNTIF('Gastos medicos y sepelios'!$N$4:$N$299,Dpto!D10)</f>
        <v>6</v>
      </c>
      <c r="F10" s="41">
        <f>E10/$C$10*100</f>
        <v>2.0689655172413794</v>
      </c>
      <c r="G10" s="32"/>
    </row>
    <row r="11" spans="1:7" x14ac:dyDescent="0.25">
      <c r="A11" s="32"/>
      <c r="B11" s="32"/>
      <c r="C11" s="42"/>
      <c r="D11" s="40" t="s">
        <v>389</v>
      </c>
      <c r="E11" s="32">
        <f>+COUNTIF('Gastos medicos y sepelios'!$N$4:$N$299,Dpto!D11)</f>
        <v>2</v>
      </c>
      <c r="F11" s="41">
        <f>E11/$C$10*100</f>
        <v>0.68965517241379315</v>
      </c>
      <c r="G11" s="32"/>
    </row>
    <row r="12" spans="1:7" x14ac:dyDescent="0.25">
      <c r="A12" s="32"/>
      <c r="B12" s="32"/>
      <c r="C12" s="32"/>
      <c r="D12" s="40" t="s">
        <v>261</v>
      </c>
      <c r="E12" s="32">
        <f>+COUNTIF('Gastos medicos y sepelios'!$N$4:$N$299,Dpto!D12)</f>
        <v>19</v>
      </c>
      <c r="F12" s="41">
        <f t="shared" ref="F12:F28" si="0">E12/$C$10*100</f>
        <v>6.5517241379310347</v>
      </c>
      <c r="G12" s="32"/>
    </row>
    <row r="13" spans="1:7" x14ac:dyDescent="0.25">
      <c r="A13" s="32"/>
      <c r="B13" s="32"/>
      <c r="C13" s="32"/>
      <c r="D13" s="40" t="s">
        <v>577</v>
      </c>
      <c r="E13" s="32">
        <f>+COUNTIF('Gastos medicos y sepelios'!$N$4:$N$299,Dpto!D13)</f>
        <v>4</v>
      </c>
      <c r="F13" s="41">
        <f t="shared" si="0"/>
        <v>1.3793103448275863</v>
      </c>
      <c r="G13" s="32"/>
    </row>
    <row r="14" spans="1:7" x14ac:dyDescent="0.25">
      <c r="A14" s="32"/>
      <c r="B14" s="32"/>
      <c r="C14" s="32"/>
      <c r="D14" s="40" t="s">
        <v>706</v>
      </c>
      <c r="E14" s="32">
        <f>+COUNTIF('Gastos medicos y sepelios'!$N$4:$N$299,Dpto!D14)</f>
        <v>4</v>
      </c>
      <c r="F14" s="41">
        <f t="shared" si="0"/>
        <v>1.3793103448275863</v>
      </c>
      <c r="G14" s="32"/>
    </row>
    <row r="15" spans="1:7" x14ac:dyDescent="0.25">
      <c r="A15" s="32"/>
      <c r="B15" s="32"/>
      <c r="C15" s="32"/>
      <c r="D15" s="40" t="s">
        <v>593</v>
      </c>
      <c r="E15" s="32">
        <f>+COUNTIF('Gastos medicos y sepelios'!$N$4:$N$299,Dpto!D15)</f>
        <v>5</v>
      </c>
      <c r="F15" s="41">
        <f t="shared" si="0"/>
        <v>1.7241379310344827</v>
      </c>
      <c r="G15" s="32"/>
    </row>
    <row r="16" spans="1:7" x14ac:dyDescent="0.25">
      <c r="A16" s="32"/>
      <c r="B16" s="32"/>
      <c r="C16" s="32"/>
      <c r="D16" s="40" t="s">
        <v>148</v>
      </c>
      <c r="E16" s="32">
        <f>+COUNTIF('Gastos medicos y sepelios'!$N$4:$N$299,Dpto!D16)</f>
        <v>10</v>
      </c>
      <c r="F16" s="41">
        <f t="shared" si="0"/>
        <v>3.4482758620689653</v>
      </c>
      <c r="G16" s="32"/>
    </row>
    <row r="17" spans="1:7" x14ac:dyDescent="0.25">
      <c r="A17" s="32"/>
      <c r="B17" s="32"/>
      <c r="C17" s="32"/>
      <c r="D17" s="40" t="s">
        <v>26</v>
      </c>
      <c r="E17" s="32">
        <f>+COUNTIF('Gastos medicos y sepelios'!$N$4:$N$299,Dpto!D17)</f>
        <v>26</v>
      </c>
      <c r="F17" s="41">
        <f t="shared" si="0"/>
        <v>8.9655172413793096</v>
      </c>
      <c r="G17" s="32"/>
    </row>
    <row r="18" spans="1:7" x14ac:dyDescent="0.25">
      <c r="A18" s="32"/>
      <c r="B18" s="32"/>
      <c r="C18" s="32"/>
      <c r="D18" s="40" t="s">
        <v>135</v>
      </c>
      <c r="E18" s="32">
        <f>+COUNTIF('Gastos medicos y sepelios'!$N$4:$N$299,Dpto!D18)</f>
        <v>6</v>
      </c>
      <c r="F18" s="41">
        <f t="shared" si="0"/>
        <v>2.0689655172413794</v>
      </c>
      <c r="G18" s="32"/>
    </row>
    <row r="19" spans="1:7" x14ac:dyDescent="0.25">
      <c r="A19" s="32"/>
      <c r="B19" s="32"/>
      <c r="C19" s="32"/>
      <c r="D19" s="40" t="s">
        <v>153</v>
      </c>
      <c r="E19" s="32">
        <f>+COUNTIF('Gastos medicos y sepelios'!$N$4:$N$299,Dpto!D19)</f>
        <v>13</v>
      </c>
      <c r="F19" s="41">
        <f t="shared" si="0"/>
        <v>4.4827586206896548</v>
      </c>
      <c r="G19" s="32"/>
    </row>
    <row r="20" spans="1:7" x14ac:dyDescent="0.25">
      <c r="A20" s="32"/>
      <c r="B20" s="32"/>
      <c r="C20" s="32"/>
      <c r="D20" s="40" t="s">
        <v>36</v>
      </c>
      <c r="E20" s="32">
        <f>+COUNTIF('Gastos medicos y sepelios'!$N$4:$N$299,Dpto!D20)</f>
        <v>144</v>
      </c>
      <c r="F20" s="41">
        <f t="shared" si="0"/>
        <v>49.655172413793103</v>
      </c>
      <c r="G20" s="32"/>
    </row>
    <row r="21" spans="1:7" x14ac:dyDescent="0.25">
      <c r="A21" s="32"/>
      <c r="B21" s="32"/>
      <c r="C21" s="32"/>
      <c r="D21" s="40" t="s">
        <v>336</v>
      </c>
      <c r="E21" s="32">
        <f>+COUNTIF('Gastos medicos y sepelios'!$N$4:$N$299,Dpto!D21)</f>
        <v>1</v>
      </c>
      <c r="F21" s="41">
        <f t="shared" si="0"/>
        <v>0.34482758620689657</v>
      </c>
      <c r="G21" s="32"/>
    </row>
    <row r="22" spans="1:7" x14ac:dyDescent="0.25">
      <c r="A22" s="32"/>
      <c r="B22" s="32"/>
      <c r="C22" s="32"/>
      <c r="D22" s="40" t="s">
        <v>113</v>
      </c>
      <c r="E22" s="32">
        <f>+COUNTIF('Gastos medicos y sepelios'!$N$4:$N$299,Dpto!D22)</f>
        <v>5</v>
      </c>
      <c r="F22" s="41">
        <f t="shared" si="0"/>
        <v>1.7241379310344827</v>
      </c>
      <c r="G22" s="32"/>
    </row>
    <row r="23" spans="1:7" x14ac:dyDescent="0.25">
      <c r="A23" s="32"/>
      <c r="B23" s="32"/>
      <c r="C23" s="32"/>
      <c r="D23" s="40" t="s">
        <v>223</v>
      </c>
      <c r="E23" s="32">
        <f>+COUNTIF('Gastos medicos y sepelios'!$N$4:$N$299,Dpto!D23)</f>
        <v>1</v>
      </c>
      <c r="F23" s="41">
        <f t="shared" si="0"/>
        <v>0.34482758620689657</v>
      </c>
      <c r="G23" s="32"/>
    </row>
    <row r="24" spans="1:7" x14ac:dyDescent="0.25">
      <c r="A24" s="32"/>
      <c r="B24" s="32"/>
      <c r="C24" s="32"/>
      <c r="D24" s="40" t="s">
        <v>167</v>
      </c>
      <c r="E24" s="32">
        <f>+COUNTIF('Gastos medicos y sepelios'!$N$4:$N$299,Dpto!D24)</f>
        <v>31</v>
      </c>
      <c r="F24" s="41">
        <f t="shared" si="0"/>
        <v>10.689655172413794</v>
      </c>
      <c r="G24" s="32"/>
    </row>
    <row r="25" spans="1:7" x14ac:dyDescent="0.25">
      <c r="A25" s="32"/>
      <c r="B25" s="32"/>
      <c r="C25" s="32"/>
      <c r="D25" s="40" t="s">
        <v>284</v>
      </c>
      <c r="E25" s="32">
        <f>+COUNTIF('Gastos medicos y sepelios'!$N$4:$N$299,Dpto!D25)</f>
        <v>7</v>
      </c>
      <c r="F25" s="41">
        <f t="shared" si="0"/>
        <v>2.4137931034482758</v>
      </c>
      <c r="G25" s="32"/>
    </row>
    <row r="26" spans="1:7" x14ac:dyDescent="0.25">
      <c r="A26" s="32"/>
      <c r="B26" s="32"/>
      <c r="C26" s="32"/>
      <c r="D26" s="40" t="s">
        <v>280</v>
      </c>
      <c r="E26" s="32">
        <f>+COUNTIF('Gastos medicos y sepelios'!$N$4:$N$299,Dpto!D26)</f>
        <v>4</v>
      </c>
      <c r="F26" s="41">
        <f t="shared" si="0"/>
        <v>1.3793103448275863</v>
      </c>
      <c r="G26" s="32"/>
    </row>
    <row r="27" spans="1:7" x14ac:dyDescent="0.25">
      <c r="A27" s="32"/>
      <c r="B27" s="32"/>
      <c r="C27" s="32"/>
      <c r="D27" s="40" t="s">
        <v>215</v>
      </c>
      <c r="E27" s="32">
        <f>+COUNTIF('Gastos medicos y sepelios'!$N$4:$N$299,Dpto!D27)</f>
        <v>1</v>
      </c>
      <c r="F27" s="41">
        <f t="shared" si="0"/>
        <v>0.34482758620689657</v>
      </c>
      <c r="G27" s="32"/>
    </row>
    <row r="28" spans="1:7" x14ac:dyDescent="0.25">
      <c r="A28" s="32"/>
      <c r="B28" s="32"/>
      <c r="C28" s="32"/>
      <c r="D28" s="40" t="s">
        <v>621</v>
      </c>
      <c r="E28" s="32">
        <f>+COUNTIF('Gastos medicos y sepelios'!$N$4:$N$299,Dpto!D28)</f>
        <v>1</v>
      </c>
      <c r="F28" s="41">
        <f t="shared" si="0"/>
        <v>0.34482758620689657</v>
      </c>
      <c r="G28" s="32"/>
    </row>
    <row r="29" spans="1:7" x14ac:dyDescent="0.25">
      <c r="A29" s="32"/>
      <c r="B29" s="32"/>
      <c r="C29" s="32"/>
      <c r="D29" s="32"/>
      <c r="E29" s="32"/>
      <c r="F29" s="41"/>
      <c r="G29" s="32"/>
    </row>
    <row r="30" spans="1:7" ht="15.75" thickBot="1" x14ac:dyDescent="0.3">
      <c r="A30" s="32"/>
      <c r="B30" s="45"/>
      <c r="C30" s="45"/>
      <c r="D30" s="46"/>
      <c r="E30" s="46"/>
      <c r="F30" s="47"/>
      <c r="G30" s="32"/>
    </row>
    <row r="31" spans="1:7" x14ac:dyDescent="0.25">
      <c r="A31" s="32"/>
      <c r="B31" s="32"/>
      <c r="C31" s="32"/>
      <c r="D31" s="40"/>
      <c r="E31" s="32"/>
      <c r="F31" s="41"/>
      <c r="G31" s="32"/>
    </row>
    <row r="32" spans="1:7" x14ac:dyDescent="0.25">
      <c r="A32" s="32"/>
      <c r="B32" s="35" t="s">
        <v>1052</v>
      </c>
      <c r="C32" s="32"/>
      <c r="D32" s="32"/>
      <c r="E32" s="32"/>
      <c r="F32" s="41"/>
      <c r="G32" s="32"/>
    </row>
    <row r="33" spans="1:7" x14ac:dyDescent="0.25">
      <c r="A33" s="32"/>
      <c r="B33" s="32"/>
      <c r="C33" s="32"/>
      <c r="D33" s="32"/>
      <c r="E33" s="32"/>
      <c r="F33" s="41"/>
      <c r="G33" s="32"/>
    </row>
    <row r="34" spans="1:7" x14ac:dyDescent="0.25">
      <c r="A34" s="32"/>
      <c r="B34" s="32"/>
      <c r="C34" s="32"/>
      <c r="D34" s="32"/>
      <c r="E34" s="32"/>
      <c r="F34" s="32"/>
      <c r="G34" s="32"/>
    </row>
    <row r="35" spans="1:7" x14ac:dyDescent="0.25">
      <c r="A35" s="32"/>
      <c r="B35" s="32"/>
      <c r="C35" s="32"/>
      <c r="D35" s="32"/>
      <c r="E35" s="32"/>
      <c r="F35" s="32"/>
      <c r="G35" s="32"/>
    </row>
    <row r="36" spans="1:7" x14ac:dyDescent="0.25">
      <c r="A36" s="32"/>
      <c r="B36" s="32"/>
      <c r="C36" s="32"/>
      <c r="D36" s="32"/>
      <c r="E36" s="32"/>
      <c r="F36" s="32"/>
      <c r="G36" s="32"/>
    </row>
  </sheetData>
  <mergeCells count="4">
    <mergeCell ref="A2:G2"/>
    <mergeCell ref="A3:G3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>
      <selection activeCell="K43" sqref="K43"/>
    </sheetView>
  </sheetViews>
  <sheetFormatPr baseColWidth="10" defaultRowHeight="15" x14ac:dyDescent="0.25"/>
  <cols>
    <col min="4" max="4" width="19.28515625" customWidth="1"/>
    <col min="5" max="5" width="17.28515625" customWidth="1"/>
  </cols>
  <sheetData>
    <row r="1" spans="1:7" x14ac:dyDescent="0.25">
      <c r="A1" s="58"/>
      <c r="B1" s="58"/>
      <c r="C1" s="58"/>
      <c r="D1" s="58"/>
      <c r="E1" s="58"/>
      <c r="F1" s="58"/>
      <c r="G1" s="58"/>
    </row>
    <row r="2" spans="1:7" ht="20.25" x14ac:dyDescent="0.25">
      <c r="A2" s="116" t="str">
        <f>Distrito!A2</f>
        <v>Siniestros Cubiertos por el Fondo</v>
      </c>
      <c r="B2" s="116"/>
      <c r="C2" s="116"/>
      <c r="D2" s="116"/>
      <c r="E2" s="116"/>
      <c r="F2" s="116"/>
      <c r="G2" s="116"/>
    </row>
    <row r="3" spans="1:7" ht="20.25" x14ac:dyDescent="0.25">
      <c r="A3" s="116" t="str">
        <f>Distrito!A3</f>
        <v>de Enero a Diciembre 2022</v>
      </c>
      <c r="B3" s="116"/>
      <c r="C3" s="116"/>
      <c r="D3" s="116"/>
      <c r="E3" s="116"/>
      <c r="F3" s="116"/>
      <c r="G3" s="116"/>
    </row>
    <row r="4" spans="1:7" x14ac:dyDescent="0.25">
      <c r="A4" s="59"/>
      <c r="B4" s="59"/>
      <c r="C4" s="59"/>
      <c r="D4" s="59"/>
      <c r="E4" s="59"/>
      <c r="F4" s="59"/>
      <c r="G4" s="59"/>
    </row>
    <row r="5" spans="1:7" ht="18" x14ac:dyDescent="0.25">
      <c r="A5" s="117" t="s">
        <v>1085</v>
      </c>
      <c r="B5" s="117"/>
      <c r="C5" s="117"/>
      <c r="D5" s="117"/>
      <c r="E5" s="117"/>
      <c r="F5" s="117"/>
      <c r="G5" s="117"/>
    </row>
    <row r="6" spans="1:7" x14ac:dyDescent="0.25">
      <c r="A6" s="58"/>
      <c r="B6" s="59"/>
      <c r="C6" s="59"/>
      <c r="D6" s="59"/>
      <c r="E6" s="59"/>
      <c r="F6" s="59"/>
      <c r="G6" s="58"/>
    </row>
    <row r="7" spans="1:7" x14ac:dyDescent="0.25">
      <c r="A7" s="58"/>
      <c r="B7" s="58"/>
      <c r="C7" s="58"/>
      <c r="D7" s="58"/>
      <c r="E7" s="58"/>
      <c r="F7" s="58"/>
      <c r="G7" s="58"/>
    </row>
    <row r="8" spans="1:7" x14ac:dyDescent="0.25">
      <c r="A8" s="58"/>
      <c r="B8" s="58"/>
      <c r="C8" s="58"/>
      <c r="D8" s="58"/>
      <c r="E8" s="58"/>
      <c r="F8" s="58"/>
      <c r="G8" s="58"/>
    </row>
    <row r="9" spans="1:7" x14ac:dyDescent="0.25">
      <c r="A9" s="58"/>
      <c r="B9" s="60" t="s">
        <v>1046</v>
      </c>
      <c r="C9" s="58"/>
      <c r="D9" s="58"/>
      <c r="E9" s="58"/>
      <c r="F9" s="58"/>
      <c r="G9" s="58"/>
    </row>
    <row r="10" spans="1:7" ht="15.75" thickBot="1" x14ac:dyDescent="0.3">
      <c r="A10" s="58"/>
      <c r="B10" s="58"/>
      <c r="C10" s="58"/>
      <c r="D10" s="58"/>
      <c r="E10" s="58"/>
      <c r="F10" s="58"/>
      <c r="G10" s="58"/>
    </row>
    <row r="11" spans="1:7" ht="25.5" x14ac:dyDescent="0.25">
      <c r="A11" s="58"/>
      <c r="B11" s="61" t="s">
        <v>1047</v>
      </c>
      <c r="C11" s="61" t="s">
        <v>1055</v>
      </c>
      <c r="D11" s="61" t="s">
        <v>1086</v>
      </c>
      <c r="E11" s="61" t="s">
        <v>1050</v>
      </c>
      <c r="F11" s="62" t="s">
        <v>1051</v>
      </c>
      <c r="G11" s="58"/>
    </row>
    <row r="12" spans="1:7" x14ac:dyDescent="0.25">
      <c r="A12" s="58"/>
      <c r="B12" s="63" t="s">
        <v>1087</v>
      </c>
      <c r="C12" s="64">
        <f>SUM(E12:E18)</f>
        <v>290</v>
      </c>
      <c r="D12" s="63" t="s">
        <v>1088</v>
      </c>
      <c r="E12" s="64">
        <f>+COUNTIF('Gastos medicos y sepelios'!$S$4:$S$299,"&lt;1000")</f>
        <v>35</v>
      </c>
      <c r="F12" s="65">
        <f t="shared" ref="F12:F17" si="0">E12/$C$12*100</f>
        <v>12.068965517241379</v>
      </c>
      <c r="G12" s="58"/>
    </row>
    <row r="13" spans="1:7" ht="30" x14ac:dyDescent="0.25">
      <c r="A13" s="58"/>
      <c r="B13" s="58"/>
      <c r="C13" s="58"/>
      <c r="D13" s="66" t="s">
        <v>1089</v>
      </c>
      <c r="E13" s="67">
        <f>+COUNTIF('Gastos medicos y sepelios'!$S$4:$S$299,"&lt;5000")-E12</f>
        <v>178</v>
      </c>
      <c r="F13" s="65">
        <f t="shared" si="0"/>
        <v>61.379310344827587</v>
      </c>
      <c r="G13" s="58"/>
    </row>
    <row r="14" spans="1:7" ht="30" x14ac:dyDescent="0.25">
      <c r="A14" s="58"/>
      <c r="B14" s="58"/>
      <c r="C14" s="58"/>
      <c r="D14" s="59" t="s">
        <v>1090</v>
      </c>
      <c r="E14" s="67">
        <f>+COUNTIF('Gastos medicos y sepelios'!$S$4:$S$299,"&lt;10000")-SUM($E$12:E13)</f>
        <v>45</v>
      </c>
      <c r="F14" s="65">
        <f t="shared" si="0"/>
        <v>15.517241379310345</v>
      </c>
      <c r="G14" s="58"/>
    </row>
    <row r="15" spans="1:7" ht="30" x14ac:dyDescent="0.25">
      <c r="A15" s="58"/>
      <c r="B15" s="58"/>
      <c r="C15" s="58"/>
      <c r="D15" s="59" t="s">
        <v>1091</v>
      </c>
      <c r="E15" s="67">
        <f>+COUNTIF('Gastos medicos y sepelios'!$S$4:$S$299,"&lt;15000")-SUM($E$12:E14)</f>
        <v>16</v>
      </c>
      <c r="F15" s="65">
        <f t="shared" si="0"/>
        <v>5.5172413793103452</v>
      </c>
      <c r="G15" s="58"/>
    </row>
    <row r="16" spans="1:7" ht="30" x14ac:dyDescent="0.25">
      <c r="A16" s="58"/>
      <c r="B16" s="58"/>
      <c r="C16" s="58"/>
      <c r="D16" s="59" t="s">
        <v>1092</v>
      </c>
      <c r="E16" s="67">
        <f>+COUNTIF('Gastos medicos y sepelios'!$S$4:$S$299,"&lt;21001")-SUM($E$12:E15)</f>
        <v>8</v>
      </c>
      <c r="F16" s="65">
        <f t="shared" si="0"/>
        <v>2.7586206896551726</v>
      </c>
      <c r="G16" s="58"/>
    </row>
    <row r="17" spans="1:7" ht="30" x14ac:dyDescent="0.25">
      <c r="A17" s="58"/>
      <c r="B17" s="58"/>
      <c r="C17" s="58"/>
      <c r="D17" s="59" t="s">
        <v>1093</v>
      </c>
      <c r="E17" s="67">
        <f>+COUNTIF('Gastos medicos y sepelios'!$S$4:$S$299,"&lt;25001")-SUM($E$12:E16)</f>
        <v>8</v>
      </c>
      <c r="F17" s="65">
        <f t="shared" si="0"/>
        <v>2.7586206896551726</v>
      </c>
      <c r="G17" s="58"/>
    </row>
    <row r="18" spans="1:7" x14ac:dyDescent="0.25">
      <c r="A18" s="58"/>
      <c r="B18" s="58"/>
      <c r="C18" s="58"/>
      <c r="D18" s="68"/>
      <c r="E18" s="67"/>
      <c r="F18" s="65"/>
      <c r="G18" s="58"/>
    </row>
    <row r="19" spans="1:7" ht="15.75" thickBot="1" x14ac:dyDescent="0.3">
      <c r="A19" s="58"/>
      <c r="B19" s="69"/>
      <c r="C19" s="69"/>
      <c r="D19" s="69"/>
      <c r="E19" s="69"/>
      <c r="F19" s="69"/>
      <c r="G19" s="58"/>
    </row>
    <row r="20" spans="1:7" x14ac:dyDescent="0.25">
      <c r="A20" s="58"/>
      <c r="B20" s="58"/>
      <c r="C20" s="58"/>
      <c r="D20" s="58"/>
      <c r="E20" s="70"/>
      <c r="F20" s="70"/>
      <c r="G20" s="58"/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58"/>
      <c r="B22" s="118" t="s">
        <v>1052</v>
      </c>
      <c r="C22" s="118"/>
      <c r="D22" s="58"/>
      <c r="E22" s="58"/>
      <c r="F22" s="58"/>
      <c r="G22" s="58"/>
    </row>
  </sheetData>
  <mergeCells count="4">
    <mergeCell ref="A2:G2"/>
    <mergeCell ref="A3:G3"/>
    <mergeCell ref="A5:G5"/>
    <mergeCell ref="B22:C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6"/>
  <sheetViews>
    <sheetView workbookViewId="0">
      <selection activeCell="H91" sqref="H91"/>
    </sheetView>
  </sheetViews>
  <sheetFormatPr baseColWidth="10" defaultRowHeight="15" x14ac:dyDescent="0.25"/>
  <cols>
    <col min="1" max="1" width="22.85546875" customWidth="1"/>
    <col min="3" max="3" width="45.85546875" customWidth="1"/>
    <col min="4" max="4" width="17" customWidth="1"/>
  </cols>
  <sheetData>
    <row r="1" spans="1:5" x14ac:dyDescent="0.25">
      <c r="A1" s="32"/>
      <c r="B1" s="32"/>
      <c r="C1" s="32"/>
      <c r="D1" s="32"/>
      <c r="E1" s="32"/>
    </row>
    <row r="2" spans="1:5" ht="20.25" x14ac:dyDescent="0.25">
      <c r="A2" s="113" t="str">
        <f>Distrito!A2</f>
        <v>Siniestros Cubiertos por el Fondo</v>
      </c>
      <c r="B2" s="113"/>
      <c r="C2" s="113"/>
      <c r="D2" s="113"/>
      <c r="E2" s="113"/>
    </row>
    <row r="3" spans="1:5" ht="20.25" x14ac:dyDescent="0.25">
      <c r="A3" s="113" t="str">
        <f>Distrito!A3</f>
        <v>de Enero a Diciembre 2022</v>
      </c>
      <c r="B3" s="113"/>
      <c r="C3" s="113"/>
      <c r="D3" s="113"/>
      <c r="E3" s="113"/>
    </row>
    <row r="4" spans="1:5" ht="18" x14ac:dyDescent="0.25">
      <c r="A4" s="114"/>
      <c r="B4" s="114"/>
      <c r="C4" s="114"/>
      <c r="D4" s="114"/>
      <c r="E4" s="114"/>
    </row>
    <row r="5" spans="1:5" ht="18" x14ac:dyDescent="0.25">
      <c r="A5" s="114" t="s">
        <v>1094</v>
      </c>
      <c r="B5" s="114"/>
      <c r="C5" s="114"/>
      <c r="D5" s="114"/>
      <c r="E5" s="114"/>
    </row>
    <row r="6" spans="1:5" x14ac:dyDescent="0.25">
      <c r="A6" s="42"/>
      <c r="B6" s="42"/>
      <c r="C6" s="42"/>
      <c r="D6" s="42"/>
      <c r="E6" s="42"/>
    </row>
    <row r="7" spans="1:5" x14ac:dyDescent="0.25">
      <c r="A7" s="32"/>
      <c r="B7" s="32"/>
      <c r="C7" s="32"/>
      <c r="D7" s="32"/>
      <c r="E7" s="32"/>
    </row>
    <row r="8" spans="1:5" x14ac:dyDescent="0.25">
      <c r="A8" s="35" t="s">
        <v>1046</v>
      </c>
      <c r="B8" s="32"/>
      <c r="C8" s="32"/>
      <c r="D8" s="32"/>
      <c r="E8" s="32"/>
    </row>
    <row r="9" spans="1:5" x14ac:dyDescent="0.25">
      <c r="A9" s="32"/>
      <c r="B9" s="32"/>
      <c r="C9" s="32"/>
      <c r="D9" s="32"/>
      <c r="E9" s="32"/>
    </row>
    <row r="10" spans="1:5" x14ac:dyDescent="0.25">
      <c r="A10" s="50" t="s">
        <v>1047</v>
      </c>
      <c r="B10" s="50" t="s">
        <v>1095</v>
      </c>
      <c r="C10" s="50" t="s">
        <v>1096</v>
      </c>
      <c r="D10" s="50" t="s">
        <v>1050</v>
      </c>
      <c r="E10" s="50" t="s">
        <v>1051</v>
      </c>
    </row>
    <row r="11" spans="1:5" ht="15" customHeight="1" x14ac:dyDescent="0.25">
      <c r="A11" s="119" t="s">
        <v>17</v>
      </c>
      <c r="B11" s="43">
        <f>SUM(D11:D91)</f>
        <v>290</v>
      </c>
      <c r="C11" s="40" t="s">
        <v>114</v>
      </c>
      <c r="D11" s="40">
        <f>+COUNTIF('Gastos medicos y sepelios'!$R$4:$R$299,Establecimiento!C11)</f>
        <v>1</v>
      </c>
      <c r="E11" s="72">
        <f t="shared" ref="E11:E74" si="0">D11/$B$11*100</f>
        <v>0.34482758620689657</v>
      </c>
    </row>
    <row r="12" spans="1:5" x14ac:dyDescent="0.25">
      <c r="A12" s="119"/>
      <c r="B12" s="43"/>
      <c r="C12" s="40" t="s">
        <v>952</v>
      </c>
      <c r="D12" s="40">
        <f>+COUNTIF('Gastos medicos y sepelios'!$R$4:$R$299,Establecimiento!C12)</f>
        <v>2</v>
      </c>
      <c r="E12" s="72">
        <f t="shared" si="0"/>
        <v>0.68965517241379315</v>
      </c>
    </row>
    <row r="13" spans="1:5" x14ac:dyDescent="0.25">
      <c r="A13" s="71"/>
      <c r="B13" s="43"/>
      <c r="C13" s="40" t="s">
        <v>659</v>
      </c>
      <c r="D13" s="40">
        <f>+COUNTIF('Gastos medicos y sepelios'!$R$4:$R$299,Establecimiento!C13)</f>
        <v>2</v>
      </c>
      <c r="E13" s="72">
        <f t="shared" si="0"/>
        <v>0.68965517241379315</v>
      </c>
    </row>
    <row r="14" spans="1:5" x14ac:dyDescent="0.25">
      <c r="A14" s="71"/>
      <c r="B14" s="43"/>
      <c r="C14" s="40" t="s">
        <v>57</v>
      </c>
      <c r="D14" s="40">
        <f>+COUNTIF('Gastos medicos y sepelios'!$R$4:$R$299,Establecimiento!C14)</f>
        <v>1</v>
      </c>
      <c r="E14" s="72">
        <f t="shared" si="0"/>
        <v>0.34482758620689657</v>
      </c>
    </row>
    <row r="15" spans="1:5" x14ac:dyDescent="0.25">
      <c r="A15" s="71"/>
      <c r="B15" s="43"/>
      <c r="C15" s="40" t="s">
        <v>879</v>
      </c>
      <c r="D15" s="40">
        <f>+COUNTIF('Gastos medicos y sepelios'!$R$4:$R$299,Establecimiento!C15)</f>
        <v>1</v>
      </c>
      <c r="E15" s="72">
        <f t="shared" si="0"/>
        <v>0.34482758620689657</v>
      </c>
    </row>
    <row r="16" spans="1:5" x14ac:dyDescent="0.25">
      <c r="A16" s="71"/>
      <c r="B16" s="43"/>
      <c r="C16" s="32" t="s">
        <v>843</v>
      </c>
      <c r="D16" s="40">
        <f>+COUNTIF('Gastos medicos y sepelios'!$R$4:$R$299,Establecimiento!C16)</f>
        <v>1</v>
      </c>
      <c r="E16" s="72">
        <f t="shared" si="0"/>
        <v>0.34482758620689657</v>
      </c>
    </row>
    <row r="17" spans="1:5" x14ac:dyDescent="0.25">
      <c r="A17" s="71"/>
      <c r="B17" s="43"/>
      <c r="C17" s="40" t="s">
        <v>360</v>
      </c>
      <c r="D17" s="40">
        <f>+COUNTIF('Gastos medicos y sepelios'!$R$4:$R$299,Establecimiento!C17)</f>
        <v>1</v>
      </c>
      <c r="E17" s="72">
        <f t="shared" si="0"/>
        <v>0.34482758620689657</v>
      </c>
    </row>
    <row r="18" spans="1:5" x14ac:dyDescent="0.25">
      <c r="A18" s="71"/>
      <c r="B18" s="43"/>
      <c r="C18" s="32" t="s">
        <v>776</v>
      </c>
      <c r="D18" s="40">
        <f>+COUNTIF('Gastos medicos y sepelios'!$R$4:$R$299,Establecimiento!C18)</f>
        <v>1</v>
      </c>
      <c r="E18" s="72">
        <f t="shared" si="0"/>
        <v>0.34482758620689657</v>
      </c>
    </row>
    <row r="19" spans="1:5" x14ac:dyDescent="0.25">
      <c r="A19" s="71"/>
      <c r="B19" s="43"/>
      <c r="C19" s="32" t="s">
        <v>298</v>
      </c>
      <c r="D19" s="40">
        <f>+COUNTIF('Gastos medicos y sepelios'!$R$4:$R$299,Establecimiento!C19)</f>
        <v>1</v>
      </c>
      <c r="E19" s="72">
        <f t="shared" si="0"/>
        <v>0.34482758620689657</v>
      </c>
    </row>
    <row r="20" spans="1:5" x14ac:dyDescent="0.25">
      <c r="A20" s="71"/>
      <c r="B20" s="43"/>
      <c r="C20" s="32" t="s">
        <v>927</v>
      </c>
      <c r="D20" s="40">
        <f>+COUNTIF('Gastos medicos y sepelios'!$R$4:$R$299,Establecimiento!C20)</f>
        <v>1</v>
      </c>
      <c r="E20" s="72">
        <f t="shared" si="0"/>
        <v>0.34482758620689657</v>
      </c>
    </row>
    <row r="21" spans="1:5" x14ac:dyDescent="0.25">
      <c r="A21" s="71"/>
      <c r="B21" s="43"/>
      <c r="C21" s="32" t="s">
        <v>199</v>
      </c>
      <c r="D21" s="40">
        <f>+COUNTIF('Gastos medicos y sepelios'!$R$4:$R$299,Establecimiento!C21)</f>
        <v>1</v>
      </c>
      <c r="E21" s="72">
        <f t="shared" si="0"/>
        <v>0.34482758620689657</v>
      </c>
    </row>
    <row r="22" spans="1:5" x14ac:dyDescent="0.25">
      <c r="A22" s="71"/>
      <c r="B22" s="43"/>
      <c r="C22" s="40" t="s">
        <v>1001</v>
      </c>
      <c r="D22" s="40">
        <f>+COUNTIF('Gastos medicos y sepelios'!$R$4:$R$299,Establecimiento!C22)</f>
        <v>1</v>
      </c>
      <c r="E22" s="72">
        <f t="shared" si="0"/>
        <v>0.34482758620689657</v>
      </c>
    </row>
    <row r="23" spans="1:5" x14ac:dyDescent="0.25">
      <c r="A23" s="71"/>
      <c r="B23" s="43"/>
      <c r="C23" s="32" t="s">
        <v>344</v>
      </c>
      <c r="D23" s="40">
        <f>+COUNTIF('Gastos medicos y sepelios'!$R$4:$R$299,Establecimiento!C23)</f>
        <v>3</v>
      </c>
      <c r="E23" s="72">
        <f t="shared" si="0"/>
        <v>1.0344827586206897</v>
      </c>
    </row>
    <row r="24" spans="1:5" x14ac:dyDescent="0.25">
      <c r="A24" s="71"/>
      <c r="B24" s="43"/>
      <c r="C24" s="40" t="s">
        <v>405</v>
      </c>
      <c r="D24" s="40">
        <f>+COUNTIF('Gastos medicos y sepelios'!$R$4:$R$299,Establecimiento!C24)</f>
        <v>1</v>
      </c>
      <c r="E24" s="72">
        <f t="shared" si="0"/>
        <v>0.34482758620689657</v>
      </c>
    </row>
    <row r="25" spans="1:5" x14ac:dyDescent="0.25">
      <c r="A25" s="71"/>
      <c r="B25" s="43"/>
      <c r="C25" s="40" t="s">
        <v>871</v>
      </c>
      <c r="D25" s="40">
        <f>+COUNTIF('Gastos medicos y sepelios'!$R$4:$R$299,Establecimiento!C25)</f>
        <v>1</v>
      </c>
      <c r="E25" s="72">
        <f t="shared" si="0"/>
        <v>0.34482758620689657</v>
      </c>
    </row>
    <row r="26" spans="1:5" x14ac:dyDescent="0.25">
      <c r="A26" s="71"/>
      <c r="B26" s="43"/>
      <c r="C26" s="40" t="s">
        <v>301</v>
      </c>
      <c r="D26" s="40">
        <f>+COUNTIF('Gastos medicos y sepelios'!$R$4:$R$299,Establecimiento!C26)</f>
        <v>5</v>
      </c>
      <c r="E26" s="72">
        <f t="shared" si="0"/>
        <v>1.7241379310344827</v>
      </c>
    </row>
    <row r="27" spans="1:5" x14ac:dyDescent="0.25">
      <c r="A27" s="71"/>
      <c r="B27" s="43"/>
      <c r="C27" s="40" t="s">
        <v>225</v>
      </c>
      <c r="D27" s="40">
        <f>+COUNTIF('Gastos medicos y sepelios'!$R$4:$R$299,Establecimiento!C27)</f>
        <v>5</v>
      </c>
      <c r="E27" s="72">
        <f t="shared" si="0"/>
        <v>1.7241379310344827</v>
      </c>
    </row>
    <row r="28" spans="1:5" x14ac:dyDescent="0.25">
      <c r="A28" s="71"/>
      <c r="B28" s="43"/>
      <c r="C28" s="40" t="s">
        <v>257</v>
      </c>
      <c r="D28" s="40">
        <f>+COUNTIF('Gastos medicos y sepelios'!$R$4:$R$299,Establecimiento!C28)</f>
        <v>1</v>
      </c>
      <c r="E28" s="72">
        <f t="shared" si="0"/>
        <v>0.34482758620689657</v>
      </c>
    </row>
    <row r="29" spans="1:5" x14ac:dyDescent="0.25">
      <c r="A29" s="71"/>
      <c r="B29" s="43"/>
      <c r="C29" s="40" t="s">
        <v>185</v>
      </c>
      <c r="D29" s="40">
        <f>+COUNTIF('Gastos medicos y sepelios'!$R$4:$R$299,Establecimiento!C29)</f>
        <v>1</v>
      </c>
      <c r="E29" s="72">
        <f t="shared" si="0"/>
        <v>0.34482758620689657</v>
      </c>
    </row>
    <row r="30" spans="1:5" x14ac:dyDescent="0.25">
      <c r="A30" s="71"/>
      <c r="B30" s="43"/>
      <c r="C30" s="32" t="s">
        <v>755</v>
      </c>
      <c r="D30" s="40">
        <f>+COUNTIF('Gastos medicos y sepelios'!$R$4:$R$299,Establecimiento!C30)</f>
        <v>1</v>
      </c>
      <c r="E30" s="72">
        <f t="shared" si="0"/>
        <v>0.34482758620689657</v>
      </c>
    </row>
    <row r="31" spans="1:5" x14ac:dyDescent="0.25">
      <c r="A31" s="71"/>
      <c r="B31" s="43"/>
      <c r="C31" s="40" t="s">
        <v>364</v>
      </c>
      <c r="D31" s="40">
        <f>+COUNTIF('Gastos medicos y sepelios'!$R$4:$R$299,Establecimiento!C31)</f>
        <v>2</v>
      </c>
      <c r="E31" s="72">
        <f t="shared" si="0"/>
        <v>0.68965517241379315</v>
      </c>
    </row>
    <row r="32" spans="1:5" x14ac:dyDescent="0.25">
      <c r="A32" s="71"/>
      <c r="B32" s="43"/>
      <c r="C32" s="40" t="s">
        <v>652</v>
      </c>
      <c r="D32" s="40">
        <f>+COUNTIF('Gastos medicos y sepelios'!$R$4:$R$299,Establecimiento!C32)</f>
        <v>1</v>
      </c>
      <c r="E32" s="72">
        <f t="shared" si="0"/>
        <v>0.34482758620689657</v>
      </c>
    </row>
    <row r="33" spans="1:5" x14ac:dyDescent="0.25">
      <c r="A33" s="71"/>
      <c r="B33" s="43"/>
      <c r="C33" s="32" t="s">
        <v>204</v>
      </c>
      <c r="D33" s="40">
        <f>+COUNTIF('Gastos medicos y sepelios'!$R$4:$R$299,Establecimiento!C33)</f>
        <v>4</v>
      </c>
      <c r="E33" s="72">
        <f t="shared" si="0"/>
        <v>1.3793103448275863</v>
      </c>
    </row>
    <row r="34" spans="1:5" x14ac:dyDescent="0.25">
      <c r="A34" s="71"/>
      <c r="B34" s="43"/>
      <c r="C34" s="32" t="s">
        <v>89</v>
      </c>
      <c r="D34" s="40">
        <f>+COUNTIF('Gastos medicos y sepelios'!$R$4:$R$299,Establecimiento!C34)</f>
        <v>3</v>
      </c>
      <c r="E34" s="72">
        <f>D34/$B$11*100</f>
        <v>1.0344827586206897</v>
      </c>
    </row>
    <row r="35" spans="1:5" x14ac:dyDescent="0.25">
      <c r="A35" s="71"/>
      <c r="B35" s="43"/>
      <c r="C35" s="40" t="s">
        <v>820</v>
      </c>
      <c r="D35" s="40">
        <f>+COUNTIF('Gastos medicos y sepelios'!$R$4:$R$299,Establecimiento!C35)</f>
        <v>1</v>
      </c>
      <c r="E35" s="72">
        <f>D35/$B$11*100</f>
        <v>0.34482758620689657</v>
      </c>
    </row>
    <row r="36" spans="1:5" x14ac:dyDescent="0.25">
      <c r="A36" s="71"/>
      <c r="B36" s="43"/>
      <c r="C36" s="32" t="s">
        <v>72</v>
      </c>
      <c r="D36" s="40">
        <f>+COUNTIF('Gastos medicos y sepelios'!$R$4:$R$299,Establecimiento!C36)</f>
        <v>7</v>
      </c>
      <c r="E36" s="72">
        <f t="shared" si="0"/>
        <v>2.4137931034482758</v>
      </c>
    </row>
    <row r="37" spans="1:5" x14ac:dyDescent="0.25">
      <c r="A37" s="71"/>
      <c r="B37" s="43"/>
      <c r="C37" s="40" t="s">
        <v>744</v>
      </c>
      <c r="D37" s="40">
        <f>+COUNTIF('Gastos medicos y sepelios'!$R$4:$R$299,Establecimiento!C37)</f>
        <v>1</v>
      </c>
      <c r="E37" s="72">
        <f t="shared" si="0"/>
        <v>0.34482758620689657</v>
      </c>
    </row>
    <row r="38" spans="1:5" x14ac:dyDescent="0.25">
      <c r="A38" s="71"/>
      <c r="B38" s="43"/>
      <c r="C38" s="40" t="s">
        <v>695</v>
      </c>
      <c r="D38" s="40">
        <f>+COUNTIF('Gastos medicos y sepelios'!$R$4:$R$299,Establecimiento!C38)</f>
        <v>1</v>
      </c>
      <c r="E38" s="72">
        <f t="shared" si="0"/>
        <v>0.34482758620689657</v>
      </c>
    </row>
    <row r="39" spans="1:5" x14ac:dyDescent="0.25">
      <c r="A39" s="71"/>
      <c r="B39" s="43"/>
      <c r="C39" s="40" t="s">
        <v>457</v>
      </c>
      <c r="D39" s="40">
        <f>+COUNTIF('Gastos medicos y sepelios'!$R$4:$R$299,Establecimiento!C39)</f>
        <v>3</v>
      </c>
      <c r="E39" s="72">
        <f t="shared" si="0"/>
        <v>1.0344827586206897</v>
      </c>
    </row>
    <row r="40" spans="1:5" x14ac:dyDescent="0.25">
      <c r="A40" s="71"/>
      <c r="B40" s="43"/>
      <c r="C40" s="40" t="s">
        <v>787</v>
      </c>
      <c r="D40" s="40">
        <f>+COUNTIF('Gastos medicos y sepelios'!$R$4:$R$299,Establecimiento!C40)</f>
        <v>1</v>
      </c>
      <c r="E40" s="72">
        <f t="shared" si="0"/>
        <v>0.34482758620689657</v>
      </c>
    </row>
    <row r="41" spans="1:5" x14ac:dyDescent="0.25">
      <c r="A41" s="71"/>
      <c r="B41" s="43"/>
      <c r="C41" s="40" t="s">
        <v>552</v>
      </c>
      <c r="D41" s="40">
        <f>+COUNTIF('Gastos medicos y sepelios'!$R$4:$R$299,Establecimiento!C41)</f>
        <v>3</v>
      </c>
      <c r="E41" s="72">
        <f t="shared" si="0"/>
        <v>1.0344827586206897</v>
      </c>
    </row>
    <row r="42" spans="1:5" x14ac:dyDescent="0.25">
      <c r="A42" s="71"/>
      <c r="B42" s="43"/>
      <c r="C42" s="32" t="s">
        <v>799</v>
      </c>
      <c r="D42" s="40">
        <f>+COUNTIF('Gastos medicos y sepelios'!$R$4:$R$299,Establecimiento!C42)</f>
        <v>2</v>
      </c>
      <c r="E42" s="72">
        <f t="shared" si="0"/>
        <v>0.68965517241379315</v>
      </c>
    </row>
    <row r="43" spans="1:5" x14ac:dyDescent="0.25">
      <c r="A43" s="71"/>
      <c r="B43" s="43"/>
      <c r="C43" s="32" t="s">
        <v>436</v>
      </c>
      <c r="D43" s="40">
        <f>+COUNTIF('Gastos medicos y sepelios'!$R$4:$R$299,Establecimiento!C43)</f>
        <v>1</v>
      </c>
      <c r="E43" s="72">
        <f t="shared" si="0"/>
        <v>0.34482758620689657</v>
      </c>
    </row>
    <row r="44" spans="1:5" x14ac:dyDescent="0.25">
      <c r="A44" s="71"/>
      <c r="B44" s="43"/>
      <c r="C44" s="32" t="s">
        <v>38</v>
      </c>
      <c r="D44" s="40">
        <f>+COUNTIF('Gastos medicos y sepelios'!$R$4:$R$299,Establecimiento!C44)</f>
        <v>7</v>
      </c>
      <c r="E44" s="72">
        <f t="shared" si="0"/>
        <v>2.4137931034482758</v>
      </c>
    </row>
    <row r="45" spans="1:5" x14ac:dyDescent="0.25">
      <c r="A45" s="71"/>
      <c r="B45" s="43"/>
      <c r="C45" s="32" t="s">
        <v>903</v>
      </c>
      <c r="D45" s="40">
        <f>+COUNTIF('Gastos medicos y sepelios'!$R$4:$R$299,Establecimiento!C45)</f>
        <v>2</v>
      </c>
      <c r="E45" s="72">
        <f t="shared" si="0"/>
        <v>0.68965517241379315</v>
      </c>
    </row>
    <row r="46" spans="1:5" x14ac:dyDescent="0.25">
      <c r="A46" s="71"/>
      <c r="B46" s="43"/>
      <c r="C46" s="32" t="s">
        <v>96</v>
      </c>
      <c r="D46" s="40">
        <f>+COUNTIF('Gastos medicos y sepelios'!$R$4:$R$299,Establecimiento!C46)</f>
        <v>2</v>
      </c>
      <c r="E46" s="72">
        <f t="shared" si="0"/>
        <v>0.68965517241379315</v>
      </c>
    </row>
    <row r="47" spans="1:5" x14ac:dyDescent="0.25">
      <c r="A47" s="71"/>
      <c r="B47" s="43"/>
      <c r="C47" s="40" t="s">
        <v>263</v>
      </c>
      <c r="D47" s="40">
        <f>+COUNTIF('Gastos medicos y sepelios'!$R$4:$R$299,Establecimiento!C47)</f>
        <v>2</v>
      </c>
      <c r="E47" s="72">
        <f t="shared" si="0"/>
        <v>0.68965517241379315</v>
      </c>
    </row>
    <row r="48" spans="1:5" x14ac:dyDescent="0.25">
      <c r="A48" s="71"/>
      <c r="B48" s="43"/>
      <c r="C48" s="40" t="s">
        <v>391</v>
      </c>
      <c r="D48" s="40">
        <f>+COUNTIF('Gastos medicos y sepelios'!$R$4:$R$299,Establecimiento!C48)</f>
        <v>1</v>
      </c>
      <c r="E48" s="72">
        <f t="shared" si="0"/>
        <v>0.34482758620689657</v>
      </c>
    </row>
    <row r="49" spans="1:5" x14ac:dyDescent="0.25">
      <c r="A49" s="71"/>
      <c r="B49" s="43"/>
      <c r="C49" s="40" t="s">
        <v>595</v>
      </c>
      <c r="D49" s="40">
        <f>+COUNTIF('Gastos medicos y sepelios'!$R$4:$R$299,Establecimiento!C49)</f>
        <v>1</v>
      </c>
      <c r="E49" s="72">
        <f t="shared" si="0"/>
        <v>0.34482758620689657</v>
      </c>
    </row>
    <row r="50" spans="1:5" x14ac:dyDescent="0.25">
      <c r="A50" s="71"/>
      <c r="B50" s="40"/>
      <c r="C50" s="40" t="s">
        <v>109</v>
      </c>
      <c r="D50" s="40">
        <f>+COUNTIF('Gastos medicos y sepelios'!$R$4:$R$299,Establecimiento!C50)</f>
        <v>19</v>
      </c>
      <c r="E50" s="72">
        <f t="shared" si="0"/>
        <v>6.5517241379310347</v>
      </c>
    </row>
    <row r="51" spans="1:5" x14ac:dyDescent="0.25">
      <c r="A51" s="71"/>
      <c r="B51" s="40"/>
      <c r="C51" s="32" t="s">
        <v>493</v>
      </c>
      <c r="D51" s="40">
        <f>+COUNTIF('Gastos medicos y sepelios'!$R$4:$R$299,Establecimiento!C51)</f>
        <v>1</v>
      </c>
      <c r="E51" s="72">
        <f t="shared" si="0"/>
        <v>0.34482758620689657</v>
      </c>
    </row>
    <row r="52" spans="1:5" x14ac:dyDescent="0.25">
      <c r="A52" s="71"/>
      <c r="B52" s="40"/>
      <c r="C52" s="40" t="s">
        <v>45</v>
      </c>
      <c r="D52" s="40">
        <f>+COUNTIF('Gastos medicos y sepelios'!$R$4:$R$299,Establecimiento!C52)</f>
        <v>2</v>
      </c>
      <c r="E52" s="72">
        <f t="shared" si="0"/>
        <v>0.68965517241379315</v>
      </c>
    </row>
    <row r="53" spans="1:5" x14ac:dyDescent="0.25">
      <c r="A53" s="71"/>
      <c r="B53" s="40"/>
      <c r="C53" s="32" t="s">
        <v>286</v>
      </c>
      <c r="D53" s="40">
        <f>+COUNTIF('Gastos medicos y sepelios'!$R$4:$R$299,Establecimiento!C53)</f>
        <v>3</v>
      </c>
      <c r="E53" s="72">
        <f t="shared" si="0"/>
        <v>1.0344827586206897</v>
      </c>
    </row>
    <row r="54" spans="1:5" x14ac:dyDescent="0.25">
      <c r="A54" s="71"/>
      <c r="B54" s="40"/>
      <c r="C54" s="40" t="s">
        <v>674</v>
      </c>
      <c r="D54" s="40">
        <f>+COUNTIF('Gastos medicos y sepelios'!$R$4:$R$299,Establecimiento!C54)</f>
        <v>2</v>
      </c>
      <c r="E54" s="72">
        <f t="shared" si="0"/>
        <v>0.68965517241379315</v>
      </c>
    </row>
    <row r="55" spans="1:5" x14ac:dyDescent="0.25">
      <c r="A55" s="71"/>
      <c r="B55" s="40"/>
      <c r="C55" s="40" t="s">
        <v>923</v>
      </c>
      <c r="D55" s="40">
        <f>+COUNTIF('Gastos medicos y sepelios'!$R$4:$R$299,Establecimiento!C55)</f>
        <v>1</v>
      </c>
      <c r="E55" s="72">
        <f t="shared" si="0"/>
        <v>0.34482758620689657</v>
      </c>
    </row>
    <row r="56" spans="1:5" x14ac:dyDescent="0.25">
      <c r="A56" s="71"/>
      <c r="B56" s="40"/>
      <c r="C56" s="40" t="s">
        <v>158</v>
      </c>
      <c r="D56" s="40">
        <f>+COUNTIF('Gastos medicos y sepelios'!$R$4:$R$299,Establecimiento!C56)</f>
        <v>3</v>
      </c>
      <c r="E56" s="72">
        <f t="shared" si="0"/>
        <v>1.0344827586206897</v>
      </c>
    </row>
    <row r="57" spans="1:5" x14ac:dyDescent="0.25">
      <c r="A57" s="71"/>
      <c r="B57" s="40"/>
      <c r="C57" s="40" t="s">
        <v>991</v>
      </c>
      <c r="D57" s="40">
        <f>+COUNTIF('Gastos medicos y sepelios'!$R$4:$R$299,Establecimiento!C57)</f>
        <v>1</v>
      </c>
      <c r="E57" s="72">
        <f t="shared" si="0"/>
        <v>0.34482758620689657</v>
      </c>
    </row>
    <row r="58" spans="1:5" x14ac:dyDescent="0.25">
      <c r="A58" s="71"/>
      <c r="B58" s="40"/>
      <c r="C58" s="40" t="s">
        <v>588</v>
      </c>
      <c r="D58" s="40">
        <f>+COUNTIF('Gastos medicos y sepelios'!$R$4:$R$299,Establecimiento!C58)</f>
        <v>3</v>
      </c>
      <c r="E58" s="72">
        <f t="shared" si="0"/>
        <v>1.0344827586206897</v>
      </c>
    </row>
    <row r="59" spans="1:5" x14ac:dyDescent="0.25">
      <c r="A59" s="71"/>
      <c r="B59" s="40"/>
      <c r="C59" s="40" t="s">
        <v>561</v>
      </c>
      <c r="D59" s="40">
        <f>+COUNTIF('Gastos medicos y sepelios'!$R$4:$R$299,Establecimiento!C59)</f>
        <v>2</v>
      </c>
      <c r="E59" s="72">
        <f t="shared" si="0"/>
        <v>0.68965517241379315</v>
      </c>
    </row>
    <row r="60" spans="1:5" x14ac:dyDescent="0.25">
      <c r="A60" s="71"/>
      <c r="B60" s="40"/>
      <c r="C60" s="40" t="s">
        <v>417</v>
      </c>
      <c r="D60" s="40">
        <f>+COUNTIF('Gastos medicos y sepelios'!$R$4:$R$299,Establecimiento!C60)</f>
        <v>2</v>
      </c>
      <c r="E60" s="72">
        <f t="shared" si="0"/>
        <v>0.68965517241379315</v>
      </c>
    </row>
    <row r="61" spans="1:5" x14ac:dyDescent="0.25">
      <c r="A61" s="40"/>
      <c r="B61" s="40"/>
      <c r="C61" s="32" t="s">
        <v>312</v>
      </c>
      <c r="D61" s="40">
        <f>+COUNTIF('Gastos medicos y sepelios'!$R$4:$R$299,Establecimiento!C61)</f>
        <v>5</v>
      </c>
      <c r="E61" s="72">
        <f t="shared" si="0"/>
        <v>1.7241379310344827</v>
      </c>
    </row>
    <row r="62" spans="1:5" x14ac:dyDescent="0.25">
      <c r="A62" s="40"/>
      <c r="B62" s="40"/>
      <c r="C62" s="32" t="s">
        <v>211</v>
      </c>
      <c r="D62" s="40">
        <f>+COUNTIF('Gastos medicos y sepelios'!$R$4:$R$299,Establecimiento!C62)</f>
        <v>1</v>
      </c>
      <c r="E62" s="72">
        <f t="shared" si="0"/>
        <v>0.34482758620689657</v>
      </c>
    </row>
    <row r="63" spans="1:5" x14ac:dyDescent="0.25">
      <c r="A63" s="40"/>
      <c r="B63" s="40"/>
      <c r="C63" s="40" t="s">
        <v>465</v>
      </c>
      <c r="D63" s="40">
        <f>+COUNTIF('Gastos medicos y sepelios'!$R$4:$R$299,Establecimiento!C63)</f>
        <v>1</v>
      </c>
      <c r="E63" s="72">
        <f t="shared" si="0"/>
        <v>0.34482758620689657</v>
      </c>
    </row>
    <row r="64" spans="1:5" x14ac:dyDescent="0.25">
      <c r="A64" s="40"/>
      <c r="B64" s="40"/>
      <c r="C64" s="40" t="s">
        <v>320</v>
      </c>
      <c r="D64" s="40">
        <f>+COUNTIF('Gastos medicos y sepelios'!$R$4:$R$299,Establecimiento!C64)</f>
        <v>7</v>
      </c>
      <c r="E64" s="72">
        <f t="shared" si="0"/>
        <v>2.4137931034482758</v>
      </c>
    </row>
    <row r="65" spans="1:5" x14ac:dyDescent="0.25">
      <c r="A65" s="40"/>
      <c r="B65" s="40"/>
      <c r="C65" s="32" t="s">
        <v>751</v>
      </c>
      <c r="D65" s="40">
        <f>+COUNTIF('Gastos medicos y sepelios'!$R$4:$R$299,Establecimiento!C65)</f>
        <v>1</v>
      </c>
      <c r="E65" s="72">
        <f t="shared" si="0"/>
        <v>0.34482758620689657</v>
      </c>
    </row>
    <row r="66" spans="1:5" x14ac:dyDescent="0.25">
      <c r="A66" s="40"/>
      <c r="B66" s="40"/>
      <c r="C66" s="32" t="s">
        <v>251</v>
      </c>
      <c r="D66" s="40">
        <f>+COUNTIF('Gastos medicos y sepelios'!$R$4:$R$299,Establecimiento!C66)</f>
        <v>6</v>
      </c>
      <c r="E66" s="72">
        <f t="shared" si="0"/>
        <v>2.0689655172413794</v>
      </c>
    </row>
    <row r="67" spans="1:5" x14ac:dyDescent="0.25">
      <c r="A67" s="40"/>
      <c r="B67" s="40"/>
      <c r="C67" s="32" t="s">
        <v>479</v>
      </c>
      <c r="D67" s="40">
        <f>+COUNTIF('Gastos medicos y sepelios'!$R$4:$R$299,Establecimiento!C67)</f>
        <v>12</v>
      </c>
      <c r="E67" s="72">
        <f t="shared" si="0"/>
        <v>4.1379310344827589</v>
      </c>
    </row>
    <row r="68" spans="1:5" x14ac:dyDescent="0.25">
      <c r="A68" s="40"/>
      <c r="B68" s="40"/>
      <c r="C68" s="32" t="s">
        <v>867</v>
      </c>
      <c r="D68" s="40">
        <f>+COUNTIF('Gastos medicos y sepelios'!$R$4:$R$299,Establecimiento!C68)</f>
        <v>3</v>
      </c>
      <c r="E68" s="72">
        <f t="shared" si="0"/>
        <v>1.0344827586206897</v>
      </c>
    </row>
    <row r="69" spans="1:5" x14ac:dyDescent="0.25">
      <c r="A69" s="40"/>
      <c r="B69" s="40"/>
      <c r="C69" s="32" t="s">
        <v>131</v>
      </c>
      <c r="D69" s="40">
        <f>+COUNTIF('Gastos medicos y sepelios'!$R$4:$R$299,Establecimiento!C69)</f>
        <v>2</v>
      </c>
      <c r="E69" s="72">
        <f t="shared" si="0"/>
        <v>0.68965517241379315</v>
      </c>
    </row>
    <row r="70" spans="1:5" x14ac:dyDescent="0.25">
      <c r="A70" s="40"/>
      <c r="B70" s="40"/>
      <c r="C70" s="40" t="s">
        <v>930</v>
      </c>
      <c r="D70" s="40">
        <f>+COUNTIF('Gastos medicos y sepelios'!$R$4:$R$299,Establecimiento!C70)</f>
        <v>1</v>
      </c>
      <c r="E70" s="72">
        <f t="shared" si="0"/>
        <v>0.34482758620689657</v>
      </c>
    </row>
    <row r="71" spans="1:5" x14ac:dyDescent="0.25">
      <c r="A71" s="40"/>
      <c r="B71" s="40"/>
      <c r="C71" s="32" t="s">
        <v>1015</v>
      </c>
      <c r="D71" s="40">
        <f>+COUNTIF('Gastos medicos y sepelios'!$R$4:$R$299,Establecimiento!C71)</f>
        <v>1</v>
      </c>
      <c r="E71" s="72">
        <f t="shared" si="0"/>
        <v>0.34482758620689657</v>
      </c>
    </row>
    <row r="72" spans="1:5" x14ac:dyDescent="0.25">
      <c r="A72" s="40"/>
      <c r="B72" s="40"/>
      <c r="C72" s="40" t="s">
        <v>827</v>
      </c>
      <c r="D72" s="40">
        <f>+COUNTIF('Gastos medicos y sepelios'!$R$4:$R$299,Establecimiento!C72)</f>
        <v>1</v>
      </c>
      <c r="E72" s="72">
        <f t="shared" si="0"/>
        <v>0.34482758620689657</v>
      </c>
    </row>
    <row r="73" spans="1:5" x14ac:dyDescent="0.25">
      <c r="A73" s="40"/>
      <c r="B73" s="40"/>
      <c r="C73" s="40" t="s">
        <v>578</v>
      </c>
      <c r="D73" s="40">
        <f>+COUNTIF('Gastos medicos y sepelios'!$R$4:$R$299,Establecimiento!C73)</f>
        <v>1</v>
      </c>
      <c r="E73" s="72">
        <f t="shared" si="0"/>
        <v>0.34482758620689657</v>
      </c>
    </row>
    <row r="74" spans="1:5" x14ac:dyDescent="0.25">
      <c r="A74" s="40"/>
      <c r="B74" s="40"/>
      <c r="C74" s="40" t="s">
        <v>813</v>
      </c>
      <c r="D74" s="40">
        <f>+COUNTIF('Gastos medicos y sepelios'!$R$4:$R$299,Establecimiento!C74)</f>
        <v>1</v>
      </c>
      <c r="E74" s="72">
        <f t="shared" si="0"/>
        <v>0.34482758620689657</v>
      </c>
    </row>
    <row r="75" spans="1:5" x14ac:dyDescent="0.25">
      <c r="A75" s="40"/>
      <c r="B75" s="40"/>
      <c r="C75" s="40" t="s">
        <v>623</v>
      </c>
      <c r="D75" s="40">
        <f>+COUNTIF('Gastos medicos y sepelios'!$R$4:$R$299,Establecimiento!C75)</f>
        <v>1</v>
      </c>
      <c r="E75" s="72">
        <f t="shared" ref="E75:E91" si="1">D75/$B$11*100</f>
        <v>0.34482758620689657</v>
      </c>
    </row>
    <row r="76" spans="1:5" x14ac:dyDescent="0.25">
      <c r="A76" s="40"/>
      <c r="B76" s="40"/>
      <c r="C76" s="40" t="s">
        <v>585</v>
      </c>
      <c r="D76" s="40">
        <f>+COUNTIF('Gastos medicos y sepelios'!$R$4:$R$299,Establecimiento!C76)</f>
        <v>1</v>
      </c>
      <c r="E76" s="72">
        <f t="shared" si="1"/>
        <v>0.34482758620689657</v>
      </c>
    </row>
    <row r="77" spans="1:5" x14ac:dyDescent="0.25">
      <c r="A77" s="40"/>
      <c r="B77" s="40"/>
      <c r="C77" s="40" t="s">
        <v>995</v>
      </c>
      <c r="D77" s="40">
        <f>+COUNTIF('Gastos medicos y sepelios'!$R$4:$R$299,Establecimiento!C77)</f>
        <v>1</v>
      </c>
      <c r="E77" s="72">
        <f t="shared" si="1"/>
        <v>0.34482758620689657</v>
      </c>
    </row>
    <row r="78" spans="1:5" x14ac:dyDescent="0.25">
      <c r="A78" s="40"/>
      <c r="B78" s="40"/>
      <c r="C78" s="40" t="s">
        <v>947</v>
      </c>
      <c r="D78" s="40">
        <f>+COUNTIF('Gastos medicos y sepelios'!$R$4:$R$299,Establecimiento!C78)</f>
        <v>1</v>
      </c>
      <c r="E78" s="72">
        <f t="shared" si="1"/>
        <v>0.34482758620689657</v>
      </c>
    </row>
    <row r="79" spans="1:5" x14ac:dyDescent="0.25">
      <c r="A79" s="40"/>
      <c r="B79" s="40"/>
      <c r="C79" s="32" t="s">
        <v>398</v>
      </c>
      <c r="D79" s="40">
        <f>+COUNTIF('Gastos medicos y sepelios'!$R$4:$R$299,Establecimiento!C79)</f>
        <v>1</v>
      </c>
      <c r="E79" s="72">
        <f t="shared" si="1"/>
        <v>0.34482758620689657</v>
      </c>
    </row>
    <row r="80" spans="1:5" x14ac:dyDescent="0.25">
      <c r="A80" s="40"/>
      <c r="B80" s="40"/>
      <c r="C80" s="40" t="s">
        <v>612</v>
      </c>
      <c r="D80" s="40">
        <f>+COUNTIF('Gastos medicos y sepelios'!$R$4:$R$299,Establecimiento!C80)</f>
        <v>1</v>
      </c>
      <c r="E80" s="72">
        <f t="shared" si="1"/>
        <v>0.34482758620689657</v>
      </c>
    </row>
    <row r="81" spans="1:5" x14ac:dyDescent="0.25">
      <c r="A81" s="40"/>
      <c r="B81" s="40"/>
      <c r="C81" s="40" t="s">
        <v>987</v>
      </c>
      <c r="D81" s="40">
        <f>+COUNTIF('Gastos medicos y sepelios'!$R$4:$R$299,Establecimiento!C81)</f>
        <v>1</v>
      </c>
      <c r="E81" s="72">
        <f t="shared" si="1"/>
        <v>0.34482758620689657</v>
      </c>
    </row>
    <row r="82" spans="1:5" x14ac:dyDescent="0.25">
      <c r="A82" s="40"/>
      <c r="B82" s="40"/>
      <c r="C82" s="32" t="s">
        <v>353</v>
      </c>
      <c r="D82" s="40">
        <f>+COUNTIF('Gastos medicos y sepelios'!$R$4:$R$299,Establecimiento!C82)</f>
        <v>2</v>
      </c>
      <c r="E82" s="72">
        <f t="shared" si="1"/>
        <v>0.68965517241379315</v>
      </c>
    </row>
    <row r="83" spans="1:5" x14ac:dyDescent="0.25">
      <c r="A83" s="40"/>
      <c r="B83" s="40"/>
      <c r="C83" s="40" t="s">
        <v>663</v>
      </c>
      <c r="D83" s="40">
        <f>+COUNTIF('Gastos medicos y sepelios'!$R$4:$R$299,Establecimiento!C83)</f>
        <v>2</v>
      </c>
      <c r="E83" s="72">
        <f t="shared" si="1"/>
        <v>0.68965517241379315</v>
      </c>
    </row>
    <row r="84" spans="1:5" x14ac:dyDescent="0.25">
      <c r="A84" s="40"/>
      <c r="B84" s="40"/>
      <c r="C84" s="40" t="s">
        <v>384</v>
      </c>
      <c r="D84" s="40">
        <f>+COUNTIF('Gastos medicos y sepelios'!$R$4:$R$299,Establecimiento!C84)</f>
        <v>1</v>
      </c>
      <c r="E84" s="72">
        <f t="shared" si="1"/>
        <v>0.34482758620689657</v>
      </c>
    </row>
    <row r="85" spans="1:5" x14ac:dyDescent="0.25">
      <c r="A85" s="40"/>
      <c r="B85" s="40"/>
      <c r="C85" s="32" t="s">
        <v>230</v>
      </c>
      <c r="D85" s="40">
        <f>+COUNTIF('Gastos medicos y sepelios'!$R$4:$R$299,Establecimiento!C85)</f>
        <v>2</v>
      </c>
      <c r="E85" s="72">
        <f t="shared" si="1"/>
        <v>0.68965517241379315</v>
      </c>
    </row>
    <row r="86" spans="1:5" x14ac:dyDescent="0.25">
      <c r="A86" s="40"/>
      <c r="B86" s="40"/>
      <c r="C86" s="32" t="s">
        <v>141</v>
      </c>
      <c r="D86" s="40">
        <f>+COUNTIF('Gastos medicos y sepelios'!$R$4:$R$299,Establecimiento!C86)</f>
        <v>9</v>
      </c>
      <c r="E86" s="72">
        <f t="shared" si="1"/>
        <v>3.103448275862069</v>
      </c>
    </row>
    <row r="87" spans="1:5" x14ac:dyDescent="0.25">
      <c r="A87" s="40"/>
      <c r="B87" s="40"/>
      <c r="C87" s="40" t="s">
        <v>1022</v>
      </c>
      <c r="D87" s="40">
        <f>+COUNTIF('Gastos medicos y sepelios'!$R$4:$R$299,Establecimiento!C87)</f>
        <v>1</v>
      </c>
      <c r="E87" s="72">
        <f t="shared" si="1"/>
        <v>0.34482758620689657</v>
      </c>
    </row>
    <row r="88" spans="1:5" x14ac:dyDescent="0.25">
      <c r="A88" s="40"/>
      <c r="B88" s="40"/>
      <c r="C88" s="32" t="s">
        <v>1041</v>
      </c>
      <c r="D88" s="40">
        <f>+COUNTIF('Gastos medicos y sepelios'!$R$4:$R$299,Establecimiento!C88)</f>
        <v>1</v>
      </c>
      <c r="E88" s="72">
        <f t="shared" si="1"/>
        <v>0.34482758620689657</v>
      </c>
    </row>
    <row r="89" spans="1:5" x14ac:dyDescent="0.25">
      <c r="A89" s="40"/>
      <c r="B89" s="40"/>
      <c r="C89" s="40" t="s">
        <v>119</v>
      </c>
      <c r="D89" s="40">
        <f>+COUNTIF('Gastos medicos y sepelios'!$R$4:$R$299,Establecimiento!C89)</f>
        <v>11</v>
      </c>
      <c r="E89" s="72">
        <f t="shared" si="1"/>
        <v>3.7931034482758621</v>
      </c>
    </row>
    <row r="90" spans="1:5" x14ac:dyDescent="0.25">
      <c r="A90" s="40"/>
      <c r="B90" s="40"/>
      <c r="C90" s="40" t="s">
        <v>30</v>
      </c>
      <c r="D90" s="40">
        <f>+COUNTIF('Gastos medicos y sepelios'!$R$4:$R$299,Establecimiento!C90)</f>
        <v>94</v>
      </c>
      <c r="E90" s="72">
        <f t="shared" si="1"/>
        <v>32.41379310344827</v>
      </c>
    </row>
    <row r="91" spans="1:5" x14ac:dyDescent="0.25">
      <c r="A91" s="40"/>
      <c r="B91" s="40"/>
      <c r="C91" s="32" t="s">
        <v>329</v>
      </c>
      <c r="D91" s="40">
        <f>+COUNTIF('Gastos medicos y sepelios'!$R$4:$R$299,Establecimiento!C91)</f>
        <v>1</v>
      </c>
      <c r="E91" s="72">
        <f t="shared" si="1"/>
        <v>0.34482758620689657</v>
      </c>
    </row>
    <row r="92" spans="1:5" ht="15.75" thickBot="1" x14ac:dyDescent="0.3">
      <c r="A92" s="46"/>
      <c r="B92" s="46"/>
      <c r="C92" s="46"/>
      <c r="D92" s="46"/>
      <c r="E92" s="73"/>
    </row>
    <row r="93" spans="1:5" x14ac:dyDescent="0.25">
      <c r="A93" s="74"/>
      <c r="B93" s="74"/>
      <c r="C93" s="74"/>
      <c r="D93" s="74"/>
      <c r="E93" s="75"/>
    </row>
    <row r="94" spans="1:5" x14ac:dyDescent="0.25">
      <c r="A94" s="74"/>
      <c r="B94" s="74"/>
      <c r="C94" s="74"/>
      <c r="D94" s="74"/>
      <c r="E94" s="75"/>
    </row>
    <row r="95" spans="1:5" x14ac:dyDescent="0.25">
      <c r="A95" s="35" t="s">
        <v>1052</v>
      </c>
      <c r="B95" s="74"/>
      <c r="C95" s="74"/>
      <c r="D95" s="74"/>
      <c r="E95" s="75"/>
    </row>
    <row r="96" spans="1:5" x14ac:dyDescent="0.25">
      <c r="A96" s="74"/>
      <c r="B96" s="74"/>
      <c r="C96" s="74"/>
      <c r="D96" s="74"/>
      <c r="E96" s="75"/>
    </row>
  </sheetData>
  <mergeCells count="5">
    <mergeCell ref="A2:E2"/>
    <mergeCell ref="A3:E3"/>
    <mergeCell ref="A4:E4"/>
    <mergeCell ref="A5:E5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Gastos medicos y sepelios</vt:lpstr>
      <vt:lpstr>Distrito</vt:lpstr>
      <vt:lpstr>Meses</vt:lpstr>
      <vt:lpstr>Sexo</vt:lpstr>
      <vt:lpstr>Edad</vt:lpstr>
      <vt:lpstr>Cobertura</vt:lpstr>
      <vt:lpstr>Dpto</vt:lpstr>
      <vt:lpstr>Monto Comprometido</vt:lpstr>
      <vt:lpstr>Establecimiento</vt:lpstr>
      <vt:lpstr>Comisaria</vt:lpstr>
      <vt:lpstr>Vehiculo</vt:lpstr>
      <vt:lpstr>Etilismo</vt:lpstr>
      <vt:lpstr>Diagnostico</vt:lpstr>
      <vt:lpstr>Hoja14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Suarez Estrada, Guillermo German</dc:creator>
  <cp:lastModifiedBy>Cuba Arroyo, Maria Elizabeth</cp:lastModifiedBy>
  <dcterms:created xsi:type="dcterms:W3CDTF">2024-01-24T19:22:50Z</dcterms:created>
  <dcterms:modified xsi:type="dcterms:W3CDTF">2024-07-30T21:53:08Z</dcterms:modified>
</cp:coreProperties>
</file>